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土地比较法-工业" sheetId="40"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Y6" i="1" s="1"/>
  <c r="C14" i="74"/>
  <c r="B14" i="74"/>
  <c r="B60" i="1"/>
  <c r="I36" i="1"/>
  <c r="I33" i="1"/>
  <c r="C7" i="80"/>
  <c r="G84" i="43"/>
  <c r="G85" i="43"/>
  <c r="G86" i="43"/>
  <c r="G87" i="43"/>
  <c r="G88" i="43"/>
  <c r="G89" i="43"/>
  <c r="G90" i="43"/>
  <c r="G83" i="43"/>
  <c r="D33" i="43"/>
  <c r="V20" i="1"/>
  <c r="V19" i="1"/>
  <c r="T19" i="1"/>
  <c r="L19" i="1"/>
  <c r="B21" i="1"/>
  <c r="F19" i="6"/>
  <c r="V21" i="1" l="1"/>
  <c r="V22" i="1" s="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F26" i="15"/>
  <c r="M24" i="67"/>
  <c r="M28" i="15"/>
  <c r="F4" i="73"/>
  <c r="F30" i="15"/>
  <c r="C71" i="15"/>
  <c r="E11" i="76"/>
  <c r="B9" i="76"/>
  <c r="M31" i="15"/>
  <c r="F43" i="67"/>
  <c r="F6" i="73"/>
  <c r="M24" i="15"/>
  <c r="F22" i="15"/>
  <c r="E2" i="69"/>
  <c r="C76" i="67"/>
  <c r="F13" i="67"/>
  <c r="F5" i="73"/>
  <c r="F26" i="67"/>
  <c r="D6" i="73"/>
  <c r="M8" i="15"/>
  <c r="E7" i="76"/>
  <c r="M30" i="15"/>
  <c r="F3" i="73"/>
  <c r="C88" i="15"/>
  <c r="M6" i="15"/>
  <c r="F38" i="15"/>
  <c r="M36" i="15"/>
  <c r="L56" i="15"/>
  <c r="F16" i="67"/>
  <c r="F7" i="15"/>
  <c r="M23" i="67"/>
  <c r="F6" i="67"/>
  <c r="E9" i="76"/>
  <c r="F8" i="67"/>
  <c r="M29" i="67"/>
  <c r="M6" i="67"/>
  <c r="F7" i="67"/>
  <c r="B10" i="76"/>
  <c r="AO13" i="1"/>
  <c r="F42" i="67"/>
  <c r="M22" i="15"/>
  <c r="F20" i="31"/>
  <c r="F24" i="15"/>
  <c r="F7" i="73"/>
  <c r="F38" i="67"/>
  <c r="F8" i="15"/>
  <c r="M9" i="67"/>
  <c r="F9" i="67"/>
  <c r="B13" i="76"/>
  <c r="E8" i="76"/>
  <c r="F36" i="67"/>
  <c r="F37" i="67"/>
  <c r="B12" i="76"/>
  <c r="M28" i="67"/>
  <c r="M8" i="67"/>
  <c r="F6" i="15"/>
  <c r="E13" i="76"/>
  <c r="F52" i="15"/>
  <c r="B11" i="76"/>
  <c r="B8" i="76"/>
  <c r="M26" i="15"/>
  <c r="E10" i="76"/>
  <c r="F9" i="15"/>
  <c r="F28" i="15"/>
  <c r="M26" i="67"/>
  <c r="B7" i="76"/>
  <c r="F48" i="15"/>
  <c r="F32" i="15"/>
  <c r="J15" i="67"/>
  <c r="E12" i="76"/>
  <c r="M9" i="15"/>
  <c r="F40" i="67"/>
  <c r="M22" i="67"/>
  <c r="D45" i="15" l="1"/>
  <c r="M20" i="67"/>
  <c r="G29" i="6"/>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D15" i="80"/>
  <c r="L48" i="67"/>
  <c r="C88" i="81"/>
  <c r="F52" i="81"/>
  <c r="F9" i="81"/>
  <c r="F7" i="81"/>
  <c r="M28" i="81"/>
  <c r="F30" i="81"/>
  <c r="M36" i="81"/>
  <c r="F22" i="81"/>
  <c r="L56" i="81"/>
  <c r="F38" i="81"/>
  <c r="F24" i="81"/>
  <c r="M6" i="81"/>
  <c r="F26" i="81"/>
  <c r="F8" i="81"/>
  <c r="D7" i="73"/>
  <c r="F28" i="81"/>
  <c r="D3" i="73"/>
  <c r="C16" i="67"/>
  <c r="M30" i="81"/>
  <c r="D4" i="73"/>
  <c r="F48" i="81"/>
  <c r="M9" i="81"/>
  <c r="M31" i="81"/>
  <c r="D5" i="73"/>
  <c r="C38" i="15"/>
  <c r="M8" i="81"/>
  <c r="M26" i="81"/>
  <c r="M24" i="81"/>
  <c r="M22" i="81"/>
  <c r="F32" i="81"/>
  <c r="L57" i="15"/>
  <c r="F6" i="81"/>
  <c r="L57" i="81"/>
  <c r="C71" i="81"/>
  <c r="D20" i="53" l="1"/>
  <c r="B40" i="72" s="1"/>
  <c r="C67"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C19" i="81"/>
  <c r="C38" i="81"/>
  <c r="C19" i="15"/>
  <c r="G1" i="73"/>
  <c r="F52" i="80" l="1"/>
  <c r="U7" i="36"/>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C10" i="80"/>
  <c r="AE6" i="1"/>
  <c r="M29" i="81"/>
  <c r="F29" i="15"/>
  <c r="M27" i="67"/>
  <c r="F41" i="67"/>
  <c r="F29" i="81"/>
  <c r="M29" i="15"/>
  <c r="C6" i="74" l="1"/>
  <c r="W12" i="40"/>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D16" i="80"/>
  <c r="C36" i="81"/>
  <c r="C39" i="81"/>
  <c r="C17" i="67"/>
  <c r="C39" i="15"/>
  <c r="C14" i="67"/>
  <c r="C16" i="80" l="1"/>
  <c r="C14" i="80" s="1"/>
  <c r="D17" i="80"/>
  <c r="C17" i="80" s="1"/>
  <c r="C30" i="43"/>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67"/>
  <c r="F35" i="67"/>
  <c r="M21" i="15"/>
  <c r="M21" i="81"/>
  <c r="F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D35" i="9"/>
  <c r="D34" i="9"/>
  <c r="F2" i="34"/>
  <c r="C20" i="9"/>
  <c r="F2" i="35"/>
  <c r="L60" i="81"/>
  <c r="F2" i="37"/>
  <c r="F2" i="36"/>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9" i="9" s="1"/>
  <c r="H118" i="9" s="1"/>
  <c r="D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C34" i="9" s="1"/>
  <c r="B3" i="40"/>
  <c r="B4" i="40"/>
  <c r="B5" i="40"/>
  <c r="C95" i="15"/>
  <c r="C94" i="15" s="1"/>
  <c r="E14" i="74"/>
  <c r="F14" i="74"/>
  <c r="B5" i="74"/>
  <c r="AO6" i="1"/>
  <c r="AO9" i="1"/>
  <c r="AO8" i="1"/>
  <c r="D5" i="74" l="1"/>
  <c r="C5" i="74"/>
  <c r="M119" i="9"/>
  <c r="M117" i="9"/>
  <c r="L119" i="9"/>
  <c r="L117" i="9"/>
  <c r="B9" i="70"/>
  <c r="B8" i="70"/>
  <c r="B6" i="70"/>
  <c r="B3" i="15"/>
  <c r="B6" i="74"/>
  <c r="D6" i="74" s="1"/>
  <c r="C104" i="9"/>
  <c r="H4" i="52"/>
  <c r="I4" i="52"/>
  <c r="H119" i="9"/>
  <c r="H5" i="52" s="1"/>
  <c r="H101" i="9"/>
  <c r="D5" i="53" s="1"/>
  <c r="D118" i="9" l="1"/>
  <c r="J118" i="9" s="1"/>
  <c r="F118" i="9"/>
  <c r="G118" i="9" s="1"/>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<sst xmlns="http://schemas.openxmlformats.org/spreadsheetml/2006/main" count="9036" uniqueCount="4026">
  <si>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</si>
  <si>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</si>
  <si>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</si>
  <si>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</si>
  <si>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</si>
  <si>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</si>
  <si>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</si>
  <si>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</si>
  <si>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</si>
  <si>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</si>
  <si>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</si>
  <si>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</si>
  <si>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</si>
  <si>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</si>
  <si>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</si>
  <si>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</si>
  <si>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</si>
  <si>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</si>
  <si>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</si>
  <si>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</si>
  <si>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</si>
  <si>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</si>
  <si>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</si>
  <si>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</si>
  <si>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</si>
  <si>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</si>
  <si>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</si>
  <si>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</si>
  <si>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</si>
  <si>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</si>
  <si>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</si>
  <si>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</si>
  <si>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</si>
  <si>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</si>
  <si>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</si>
  <si>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</si>
  <si>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</si>
  <si>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</si>
  <si>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</si>
  <si>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</si>
  <si>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</si>
  <si>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</si>
  <si>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</si>
  <si>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</si>
  <si>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</si>
  <si>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</si>
  <si>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</si>
  <si>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</si>
  <si>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</si>
  <si>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</si>
  <si>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</si>
  <si>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</si>
  <si>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</si>
  <si>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</si>
  <si>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</si>
  <si>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</si>
  <si>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</si>
  <si>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</si>
  <si>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</si>
  <si>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</si>
  <si>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</si>
  <si>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</si>
  <si>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</si>
  <si>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</si>
  <si>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</si>
  <si>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</si>
  <si>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</si>
  <si>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</si>
  <si>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</si>
  <si>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</si>
  <si>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</si>
  <si>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</si>
  <si>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</si>
  <si>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</si>
  <si>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</si>
  <si>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</si>
  <si>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</si>
  <si>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</si>
  <si>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</si>
  <si>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</si>
  <si>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</si>
  <si>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</si>
  <si>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</si>
  <si>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</si>
  <si>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</si>
  <si>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</si>
  <si>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</si>
  <si>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</si>
  <si>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</si>
  <si>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</si>
  <si>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</si>
  <si>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</si>
  <si>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</si>
  <si>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</si>
  <si>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</si>
  <si>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</si>
  <si>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</si>
  <si>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</si>
  <si>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</si>
  <si>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</si>
  <si>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</si>
  <si>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</si>
  <si>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</si>
  <si>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</si>
  <si>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</si>
  <si>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</si>
  <si>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</si>
  <si>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</si>
  <si>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</si>
  <si>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</si>
  <si>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</si>
  <si>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</si>
  <si>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</si>
  <si>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</si>
  <si>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</si>
  <si>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</si>
  <si>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</si>
  <si>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</si>
  <si>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</si>
  <si>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</si>
  <si>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</si>
  <si>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</si>
  <si>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</si>
  <si>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</si>
  <si>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</si>
  <si>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</si>
  <si>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</si>
  <si>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</si>
  <si>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</si>
  <si>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</si>
  <si>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</si>
  <si>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</si>
  <si>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</si>
  <si>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</si>
  <si>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</si>
  <si>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</si>
  <si>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</si>
  <si>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</si>
  <si>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</si>
  <si>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</si>
  <si>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</si>
  <si>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</si>
  <si>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</si>
  <si>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</si>
  <si>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</si>
  <si>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</si>
  <si>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</si>
  <si>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</si>
  <si>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</si>
  <si>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</si>
  <si>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</si>
  <si>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</si>
  <si>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</si>
  <si>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</si>
  <si>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</si>
  <si>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</si>
  <si>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</si>
  <si>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</si>
  <si>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</si>
  <si>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</si>
  <si>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</si>
  <si>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</si>
  <si>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</si>
  <si>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</si>
  <si>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</si>
  <si>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</si>
  <si>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</si>
  <si>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</si>
  <si>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</si>
  <si>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</si>
  <si>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</si>
  <si>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</si>
  <si>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</si>
  <si>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</si>
  <si>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</si>
  <si>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</si>
  <si>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</si>
  <si>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</si>
  <si>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</si>
  <si>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</si>
  <si>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</si>
  <si>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</si>
  <si>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</si>
  <si>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</si>
  <si>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</si>
  <si>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</si>
  <si>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</si>
  <si>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</si>
  <si>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</si>
  <si>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</si>
  <si>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</si>
  <si>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</si>
  <si>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</si>
  <si>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</si>
  <si>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</si>
  <si>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</si>
  <si>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</si>
  <si>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</si>
  <si>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</si>
  <si>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</si>
  <si>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</si>
  <si>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</si>
  <si>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</si>
  <si>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</si>
  <si>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</si>
  <si>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</si>
  <si>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</si>
  <si>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</si>
  <si>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</si>
  <si>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</si>
  <si>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</si>
  <si>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</si>
  <si>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</si>
  <si>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</si>
  <si>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</si>
  <si>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</si>
  <si>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</si>
  <si>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</si>
  <si>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</si>
  <si>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</si>
  <si>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</si>
  <si>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</si>
  <si>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</si>
  <si>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</si>
  <si>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</si>
  <si>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</si>
  <si>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</si>
  <si>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</si>
  <si>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</si>
  <si>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</si>
  <si>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</si>
  <si>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</si>
  <si>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</si>
  <si>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</si>
  <si>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</si>
  <si>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</si>
  <si>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</si>
  <si>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</si>
  <si>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</si>
  <si>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</si>
  <si>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</si>
  <si>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</si>
  <si>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</si>
  <si>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</si>
  <si>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</si>
  <si>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</si>
  <si>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</si>
  <si>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</si>
  <si>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</si>
  <si>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</si>
  <si>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</si>
  <si>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</si>
  <si>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</si>
  <si>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</si>
  <si>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</si>
  <si>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</si>
  <si>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</si>
  <si>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</si>
  <si>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</si>
  <si>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</si>
  <si>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</si>
  <si>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</si>
  <si>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</si>
  <si>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</si>
  <si>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</si>
  <si>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</si>
  <si>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</si>
  <si>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</si>
  <si>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</si>
  <si>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</si>
  <si>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</si>
  <si>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</si>
  <si>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</si>
  <si>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</si>
  <si>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</si>
  <si>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</si>
  <si>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</si>
  <si>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</si>
  <si>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</si>
  <si>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</si>
  <si>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</si>
  <si>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</si>
  <si>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</si>
  <si>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</si>
  <si>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</si>
  <si>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</si>
  <si>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</si>
  <si>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</si>
  <si>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</si>
  <si>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</si>
  <si>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</si>
  <si>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</si>
  <si>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</si>
  <si>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</si>
  <si>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</si>
  <si>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</si>
  <si>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</si>
  <si>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</si>
  <si>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</si>
  <si>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</si>
  <si>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</si>
  <si>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</si>
  <si>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</si>
  <si>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</si>
  <si>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</si>
  <si>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</si>
  <si>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</si>
  <si>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</si>
  <si>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</si>
  <si>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</si>
  <si>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</si>
  <si>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</si>
  <si>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</si>
  <si>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</si>
  <si>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</si>
  <si>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</si>
  <si>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</si>
  <si>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</si>
  <si>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</si>
  <si>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</si>
  <si>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</si>
  <si>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</si>
  <si>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</si>
  <si>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</si>
  <si>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</si>
  <si>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</si>
  <si>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</si>
  <si>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</si>
  <si>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</si>
  <si>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</si>
  <si>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</si>
  <si>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</si>
  <si>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</si>
  <si>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</si>
  <si>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</si>
  <si>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</si>
  <si>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</si>
  <si>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</si>
  <si>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</si>
  <si>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</si>
  <si>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</si>
  <si>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</si>
  <si>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</si>
  <si>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</si>
  <si>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</si>
  <si>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</si>
  <si>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</si>
  <si>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</si>
  <si>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</si>
  <si>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</si>
  <si>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</si>
  <si>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</si>
  <si>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</si>
  <si>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</si>
  <si>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</si>
  <si>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</si>
  <si>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</si>
  <si>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</si>
  <si>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</si>
  <si>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</si>
  <si>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</si>
  <si>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</si>
  <si>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</si>
  <si>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</si>
  <si>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</si>
  <si>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</si>
  <si>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</si>
  <si>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</si>
  <si>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</si>
  <si>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</si>
  <si>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</si>
  <si>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</si>
  <si>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</si>
  <si>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</si>
  <si>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</si>
  <si>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</si>
  <si>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</si>
  <si>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</si>
  <si>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</si>
  <si>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</si>
  <si>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</si>
  <si>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</si>
  <si>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</si>
  <si>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</si>
  <si>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</si>
  <si>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</si>
  <si>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</si>
  <si>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</si>
  <si>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</si>
  <si>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</si>
  <si>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</si>
  <si>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</si>
  <si>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</si>
  <si>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</si>
  <si>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</si>
  <si>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</si>
  <si>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</si>
  <si>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</si>
  <si>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</si>
  <si>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</si>
  <si>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</si>
  <si>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</si>
  <si>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</si>
  <si>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</si>
  <si>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</si>
  <si>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</si>
  <si>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</si>
  <si>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</si>
  <si>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</si>
  <si>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</si>
  <si>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</si>
  <si>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</si>
  <si>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</si>
  <si>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</si>
  <si>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</si>
  <si>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</si>
  <si>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</si>
  <si>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</si>
  <si>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</si>
  <si>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</si>
  <si>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</si>
  <si>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</si>
  <si>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</si>
  <si>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</si>
  <si>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</si>
  <si>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</si>
  <si>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</si>
  <si>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</si>
  <si>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</si>
  <si>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</si>
  <si>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</si>
  <si>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</si>
  <si>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</si>
  <si>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</si>
  <si>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</si>
  <si>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</si>
  <si>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</si>
  <si>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</si>
  <si>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</si>
  <si>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</si>
  <si>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</si>
  <si>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</si>
  <si>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</si>
  <si>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</si>
  <si>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</si>
  <si>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</si>
  <si>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</si>
  <si>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</si>
  <si>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</si>
  <si>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</si>
  <si>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</si>
  <si>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</si>
  <si>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</si>
  <si>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</si>
  <si>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</si>
  <si>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</si>
  <si>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</si>
  <si>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</si>
  <si>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</si>
  <si>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</si>
  <si>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</si>
  <si>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</si>
  <si>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</si>
  <si>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</si>
  <si>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</si>
  <si>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</si>
  <si>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</si>
  <si>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</si>
  <si>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</si>
  <si>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</si>
  <si>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</si>
  <si>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</si>
  <si>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</si>
  <si>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</si>
  <si>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</si>
  <si>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</si>
  <si>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</si>
  <si>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</si>
  <si>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</si>
  <si>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</si>
  <si>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</si>
  <si>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</si>
  <si>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</si>
  <si>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</si>
  <si>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</si>
  <si>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</si>
  <si>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</si>
  <si>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</si>
  <si>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</si>
  <si>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</si>
  <si>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</si>
  <si>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</si>
  <si>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</si>
  <si>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</si>
  <si>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</si>
  <si>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</si>
  <si>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</si>
  <si>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</si>
  <si>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</si>
  <si>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</si>
  <si>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</si>
  <si>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</si>
  <si>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</si>
  <si>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</si>
  <si>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</si>
  <si>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</si>
  <si>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</si>
  <si>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</si>
  <si>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</si>
  <si>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</si>
  <si>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</si>
  <si>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</si>
  <si>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</si>
  <si>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</si>
  <si>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</si>
  <si>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</si>
  <si>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</si>
  <si>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</si>
  <si>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</si>
  <si>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</si>
  <si>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</si>
  <si>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</si>
  <si>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</si>
  <si>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</si>
  <si>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</si>
  <si>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</si>
  <si>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</si>
  <si>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</si>
  <si>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</si>
  <si>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</si>
  <si>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</si>
  <si>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</si>
  <si>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</si>
  <si>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</si>
  <si>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</si>
  <si>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</si>
  <si>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</si>
  <si>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</si>
  <si>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</si>
  <si>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</si>
  <si>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</si>
  <si>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</si>
  <si>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</si>
  <si>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</si>
  <si>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</si>
  <si>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</si>
  <si>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</si>
  <si>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</si>
  <si>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</si>
  <si>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</si>
  <si>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</si>
  <si>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</si>
  <si>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</si>
  <si>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</si>
  <si>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</si>
  <si>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</si>
  <si>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</si>
  <si>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</si>
  <si>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</si>
  <si>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</si>
  <si>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</si>
  <si>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</si>
  <si>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</si>
  <si>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</si>
  <si>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</si>
  <si>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</si>
  <si>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</si>
  <si>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</si>
  <si>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</si>
  <si>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</si>
  <si>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</si>
  <si>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</si>
  <si>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</si>
  <si>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</si>
  <si>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</si>
  <si>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</si>
  <si>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</si>
  <si>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</si>
  <si>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</si>
  <si>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</si>
  <si>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</si>
  <si>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</si>
  <si>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</si>
  <si>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</si>
  <si>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</si>
  <si>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</si>
  <si>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</si>
  <si>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</si>
  <si>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</si>
  <si>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</si>
  <si>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</si>
  <si>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</si>
  <si>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</si>
  <si>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</si>
  <si>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</si>
  <si>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</si>
  <si>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</si>
  <si>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</si>
  <si>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</si>
  <si>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</si>
  <si>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</si>
  <si>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</si>
  <si>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</si>
  <si>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</si>
  <si>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</si>
  <si>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</si>
  <si>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</si>
  <si>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</si>
  <si>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</si>
  <si>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</si>
  <si>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</si>
  <si>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</si>
  <si>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</si>
  <si>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</si>
  <si>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</si>
  <si>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</si>
  <si>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</si>
  <si>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</si>
  <si>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</si>
  <si>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</si>
  <si>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</si>
  <si>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</si>
  <si>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</si>
  <si>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</si>
  <si>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</si>
  <si>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</si>
  <si>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</si>
  <si>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</si>
  <si>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</si>
  <si>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</si>
  <si>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</si>
  <si>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</si>
  <si>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</si>
  <si>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</si>
  <si>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</si>
  <si>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</si>
  <si>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</si>
  <si>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</si>
  <si>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</si>
  <si>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</si>
  <si>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</si>
  <si>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</si>
  <si>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</si>
  <si>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</si>
  <si>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</si>
  <si>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</si>
  <si>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</si>
  <si>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</si>
  <si>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</si>
  <si>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</si>
  <si>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</si>
  <si>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</si>
  <si>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</si>
  <si>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</si>
  <si>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</si>
  <si>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</si>
  <si>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</si>
  <si>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</si>
  <si>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</si>
  <si>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</si>
  <si>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</si>
  <si>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</si>
  <si>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</si>
  <si>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</si>
  <si>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</si>
  <si>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</si>
  <si>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</si>
  <si>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</si>
  <si>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</si>
  <si>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</si>
  <si>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</si>
  <si>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</si>
  <si>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</si>
  <si>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</si>
  <si>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</si>
  <si>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</si>
  <si>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</si>
  <si>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</si>
  <si>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</si>
  <si>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</si>
  <si>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</si>
  <si>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</si>
  <si>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</si>
  <si>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</si>
  <si>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</si>
  <si>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</si>
  <si>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</si>
  <si>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</si>
  <si>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</si>
  <si>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</si>
  <si>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</si>
  <si>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</si>
  <si>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</si>
  <si>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</si>
  <si>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</si>
  <si>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</si>
  <si>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</si>
  <si>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</si>
  <si>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</si>
  <si>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</si>
  <si>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</si>
  <si>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</si>
  <si>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</si>
  <si>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</si>
  <si>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</si>
  <si>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</si>
  <si>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</si>
  <si>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</si>
  <si>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</si>
  <si>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</si>
  <si>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</si>
  <si>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</si>
  <si>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</si>
  <si>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</si>
  <si>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</si>
  <si>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</si>
  <si>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</si>
  <si>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</si>
  <si>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</si>
  <si>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</si>
  <si>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</si>
  <si>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</si>
  <si>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</si>
  <si>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</si>
  <si>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</si>
  <si>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</si>
  <si>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</si>
  <si>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</si>
  <si>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</si>
  <si>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</si>
  <si>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</si>
  <si>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</si>
  <si>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</si>
  <si>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</si>
  <si>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</si>
  <si>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</si>
  <si>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</si>
  <si>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</si>
  <si>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</si>
  <si>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</si>
  <si>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</si>
  <si>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</si>
  <si>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</si>
  <si>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</si>
  <si>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</si>
  <si>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</si>
  <si>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</si>
  <si>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</si>
  <si>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</si>
  <si>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</si>
  <si>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</si>
  <si>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</si>
  <si>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</si>
  <si>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</si>
  <si>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</si>
  <si>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</si>
  <si>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</si>
  <si>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</si>
  <si>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</si>
  <si>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</si>
  <si>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</si>
  <si>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</si>
  <si>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</si>
  <si>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</si>
  <si>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</si>
  <si>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</si>
  <si>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</si>
  <si>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</si>
  <si>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</si>
  <si>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</si>
  <si>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</si>
  <si>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</si>
  <si>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</si>
  <si>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</si>
  <si>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</si>
  <si>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</si>
  <si>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</si>
  <si>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</si>
  <si>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</si>
  <si>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</si>
  <si>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</si>
  <si>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</si>
  <si>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</si>
  <si>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</si>
  <si>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</si>
  <si>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</si>
  <si>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</si>
  <si>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</si>
  <si>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</si>
  <si>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</si>
  <si>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</si>
  <si>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</si>
  <si>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</si>
  <si>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</si>
  <si>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</si>
  <si>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</si>
  <si>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</si>
  <si>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</si>
  <si>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</si>
  <si>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</si>
  <si>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</si>
  <si>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</si>
  <si>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</si>
  <si>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</si>
  <si>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</si>
  <si>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</si>
  <si>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</si>
  <si>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</si>
  <si>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</si>
  <si>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</si>
  <si>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</si>
  <si>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</si>
  <si>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</si>
  <si>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</si>
  <si>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</si>
  <si>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</si>
  <si>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</si>
  <si>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</si>
  <si>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</si>
  <si>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</si>
  <si>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</si>
  <si>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</si>
  <si>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</si>
  <si>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</si>
  <si>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</si>
  <si>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</si>
  <si>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</si>
  <si>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</si>
  <si>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</si>
  <si>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</si>
  <si>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</si>
  <si>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</si>
  <si>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</si>
  <si>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</si>
  <si>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</si>
  <si>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</si>
  <si>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</si>
  <si>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</si>
  <si>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</si>
  <si>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</si>
  <si>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</si>
  <si>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</si>
  <si>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</si>
  <si>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</si>
  <si>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</si>
  <si>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</si>
  <si>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</si>
  <si>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</si>
  <si>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</si>
  <si>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</si>
  <si>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</si>
  <si>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</si>
  <si>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</si>
  <si>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</si>
  <si>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</si>
  <si>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</si>
  <si>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</si>
  <si>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</si>
  <si>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</si>
  <si>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</si>
  <si>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</si>
  <si>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</si>
  <si>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</si>
  <si>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</si>
  <si>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</si>
  <si>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</si>
  <si>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</si>
  <si>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</si>
  <si>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</si>
  <si>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</si>
  <si>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</si>
  <si>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</si>
  <si>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</si>
  <si>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</si>
  <si>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</si>
  <si>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</si>
  <si>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</si>
  <si>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</si>
  <si>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</si>
  <si>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</si>
  <si>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</si>
  <si>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</si>
  <si>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</si>
  <si>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</si>
  <si>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</si>
  <si>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</si>
  <si>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</si>
  <si>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</si>
  <si>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</si>
  <si>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</si>
  <si>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</si>
  <si>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</si>
  <si>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</si>
  <si>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</si>
  <si>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</si>
  <si>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</si>
  <si>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</si>
  <si>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</si>
  <si>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</si>
  <si>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</si>
  <si>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</si>
  <si>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</si>
  <si>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</si>
  <si>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</si>
  <si>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</si>
  <si>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</si>
  <si>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</si>
  <si>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</si>
  <si>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</si>
  <si>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</si>
  <si>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</si>
  <si>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</si>
  <si>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</si>
  <si>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</si>
  <si>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</si>
  <si>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</si>
  <si>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</si>
  <si>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</si>
  <si>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</si>
  <si>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</si>
  <si>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</si>
  <si>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</si>
  <si>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</si>
  <si>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</si>
  <si>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</si>
  <si>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</si>
  <si>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</si>
  <si>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</si>
  <si>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</si>
  <si>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</si>
  <si>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</si>
  <si>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</si>
  <si>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</si>
  <si>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</si>
  <si>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</si>
  <si>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</si>
  <si>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</si>
  <si>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</si>
  <si>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</si>
  <si>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</si>
  <si>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</si>
  <si>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</si>
  <si>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</si>
  <si>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</si>
  <si>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</si>
  <si>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</si>
  <si>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</si>
  <si>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</si>
  <si>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</si>
  <si>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</si>
  <si>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</si>
  <si>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</si>
  <si>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</si>
  <si>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</si>
  <si>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</si>
  <si>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</si>
  <si>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</si>
  <si>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</si>
  <si>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</si>
  <si>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</si>
  <si>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</si>
  <si>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</si>
  <si>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</si>
  <si>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</si>
  <si>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</si>
  <si>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</si>
  <si>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</si>
  <si>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</si>
  <si>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</si>
  <si>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</si>
  <si>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</si>
  <si>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</si>
  <si>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</si>
  <si>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</si>
  <si>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</si>
  <si>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</si>
  <si>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</si>
  <si>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</si>
  <si>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</si>
  <si>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</si>
  <si>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</si>
  <si>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</si>
  <si>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</si>
  <si>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</si>
  <si>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</si>
  <si>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</si>
  <si>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</si>
  <si>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</si>
  <si>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</si>
  <si>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</si>
  <si>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</si>
  <si>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</si>
  <si>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</si>
  <si>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</si>
  <si>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</si>
  <si>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</si>
  <si>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</si>
  <si>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</si>
  <si>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</si>
  <si>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</si>
  <si>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</si>
  <si>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</si>
  <si>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</si>
  <si>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</si>
  <si>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</si>
  <si>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</si>
  <si>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</si>
  <si>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</si>
  <si>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</si>
  <si>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</si>
  <si>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</si>
  <si>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</si>
  <si>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</si>
  <si>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</si>
  <si>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</si>
  <si>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</si>
  <si>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</si>
  <si>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</si>
  <si>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</si>
  <si>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</si>
  <si>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</si>
  <si>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</si>
  <si>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</si>
  <si>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</si>
  <si>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</si>
  <si>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</si>
  <si>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</si>
  <si>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</si>
  <si>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</si>
  <si>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</si>
  <si>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</si>
  <si>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</si>
  <si>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</si>
  <si>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</si>
  <si>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</si>
  <si>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</si>
  <si>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</si>
  <si>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</si>
  <si>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</si>
  <si>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</si>
  <si>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</si>
  <si>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</si>
  <si>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</si>
  <si>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</si>
  <si>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</si>
  <si>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</si>
  <si>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</si>
  <si>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</si>
  <si>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</si>
  <si>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</si>
  <si>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</si>
  <si>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</si>
  <si>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</si>
  <si>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</si>
  <si>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</si>
  <si>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</si>
  <si>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</si>
  <si>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</si>
  <si>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</si>
  <si>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</si>
  <si>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</si>
  <si>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</si>
  <si>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</si>
  <si>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</si>
  <si>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</si>
  <si>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</si>
  <si>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</si>
  <si>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</si>
  <si>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</si>
  <si>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</si>
  <si>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</si>
  <si>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</si>
  <si>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</si>
  <si>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</si>
  <si>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</si>
  <si>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</si>
  <si>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</si>
  <si>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</si>
  <si>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</si>
  <si>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</si>
  <si>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</si>
  <si>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</si>
  <si>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</si>
  <si>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</si>
  <si>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</si>
  <si>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</si>
  <si>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</si>
  <si>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</si>
  <si>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</si>
  <si>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</si>
  <si>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</si>
  <si>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</si>
  <si>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</si>
  <si>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</si>
  <si>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</si>
  <si>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</si>
  <si>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</si>
  <si>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</si>
  <si>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</si>
  <si>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</si>
  <si>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</si>
  <si>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</si>
  <si>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</si>
  <si>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</si>
  <si>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</si>
  <si>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</si>
  <si>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</si>
  <si>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</si>
  <si>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</si>
  <si>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</si>
  <si>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</si>
  <si>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</si>
  <si>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</si>
  <si>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</si>
  <si>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</si>
  <si>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</si>
  <si>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</si>
  <si>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</si>
  <si>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</si>
  <si>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</si>
  <si>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</si>
  <si>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</si>
  <si>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</si>
  <si>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</si>
  <si>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</si>
  <si>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</si>
  <si>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</si>
  <si>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</si>
  <si>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</si>
  <si>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</si>
  <si>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</si>
  <si>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</si>
  <si>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</si>
  <si>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</si>
  <si>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</si>
  <si>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</si>
  <si>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</si>
  <si>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</si>
  <si>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</si>
  <si>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</si>
  <si>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</si>
  <si>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</si>
  <si>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</si>
  <si>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</si>
  <si>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</si>
  <si>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</si>
  <si>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</si>
  <si>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</si>
  <si>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</si>
  <si>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</si>
  <si>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</si>
  <si>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</si>
  <si>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</si>
  <si>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</si>
  <si>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</si>
  <si>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</si>
  <si>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</si>
  <si>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</si>
  <si>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</si>
  <si>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</si>
  <si>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</si>
  <si>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</si>
  <si>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</si>
  <si>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</si>
  <si>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</si>
  <si>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</si>
  <si>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</si>
  <si>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</si>
  <si>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</si>
  <si>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</si>
  <si>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</si>
  <si>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</si>
  <si>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</si>
  <si>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</si>
  <si>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</si>
  <si>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</si>
  <si>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</si>
  <si>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</si>
  <si>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</si>
  <si>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</si>
  <si>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</si>
  <si>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</si>
  <si>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</si>
  <si>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</si>
  <si>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</si>
  <si>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</si>
  <si>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</si>
  <si>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</si>
  <si>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</si>
  <si>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</si>
  <si>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</si>
  <si>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</si>
  <si>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</si>
  <si>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</si>
  <si>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</si>
  <si>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</si>
  <si>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</si>
  <si>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</si>
  <si>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</si>
  <si>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</si>
  <si>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</si>
  <si>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</si>
  <si>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</si>
  <si>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</si>
  <si>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</si>
  <si>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</si>
  <si>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</si>
  <si>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</si>
  <si>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</si>
  <si>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</si>
  <si>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</si>
  <si>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</si>
  <si>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</si>
  <si>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</si>
  <si>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</si>
  <si>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</si>
  <si>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</si>
  <si>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</si>
  <si>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</si>
  <si>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</si>
  <si>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</si>
  <si>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</si>
  <si>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</si>
  <si>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</si>
  <si>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</si>
  <si>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</si>
  <si>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</si>
  <si>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</si>
  <si>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</si>
  <si>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</si>
  <si>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</si>
  <si>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</si>
  <si>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</si>
  <si>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</si>
  <si>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</si>
  <si>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</si>
  <si>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</si>
  <si>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</si>
  <si>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</si>
  <si>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</si>
  <si>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</si>
  <si>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</si>
  <si>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</si>
  <si>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</si>
  <si>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</si>
  <si>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</si>
  <si>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</si>
  <si>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</si>
  <si>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</si>
  <si>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</si>
  <si>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</si>
  <si>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</si>
  <si>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</si>
  <si>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</si>
  <si>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</si>
  <si>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</si>
  <si>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</si>
  <si>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</si>
  <si>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</si>
  <si>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</si>
  <si>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</si>
  <si>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</si>
  <si>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</si>
  <si>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</si>
  <si>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</si>
  <si>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</si>
  <si>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</si>
  <si>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</si>
  <si>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</si>
  <si>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</si>
  <si>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</si>
  <si>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</si>
  <si>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</si>
  <si>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</si>
  <si>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</si>
  <si>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</si>
  <si>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</si>
  <si>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</si>
  <si>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</si>
  <si>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</si>
  <si>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</si>
  <si>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</si>
  <si>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</si>
  <si>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</si>
  <si>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</si>
  <si>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</si>
  <si>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</si>
  <si>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</si>
  <si>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</si>
  <si>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</si>
  <si>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</si>
  <si>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</si>
  <si>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</si>
  <si>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</si>
  <si>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</si>
  <si>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</si>
  <si>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</si>
  <si>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</si>
  <si>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</si>
  <si>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</si>
  <si>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</si>
  <si>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</si>
  <si>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</si>
  <si>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</si>
  <si>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</si>
  <si>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</si>
  <si>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</si>
  <si>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</si>
  <si>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</si>
  <si>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</si>
  <si>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</si>
  <si>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</si>
  <si>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</si>
  <si>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</si>
  <si>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</si>
  <si>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</si>
  <si>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</si>
  <si>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</si>
  <si>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</si>
  <si>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</si>
  <si>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</si>
  <si>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</si>
  <si>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</si>
  <si>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</si>
  <si>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</si>
  <si>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</si>
  <si>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</si>
  <si>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</si>
  <si>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</si>
  <si>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</si>
  <si>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</si>
  <si>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</si>
  <si>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</si>
  <si>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</si>
  <si>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</si>
  <si>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</si>
  <si>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</si>
  <si>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</si>
  <si>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</si>
  <si>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</si>
  <si>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</si>
  <si>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</si>
  <si>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</si>
  <si>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</si>
  <si>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</si>
  <si>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</si>
  <si>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</si>
  <si>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</si>
  <si>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</si>
  <si>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</si>
  <si>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</si>
  <si>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</si>
  <si>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</si>
  <si>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</si>
  <si>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</si>
  <si>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</si>
  <si>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</si>
  <si>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</si>
  <si>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</si>
  <si>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</si>
  <si>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</si>
  <si>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</si>
  <si>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</si>
  <si>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</si>
  <si>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</si>
  <si>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</si>
  <si>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</si>
  <si>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</si>
  <si>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</si>
  <si>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</si>
  <si>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</si>
  <si>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</si>
  <si>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</si>
  <si>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</si>
  <si>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</si>
  <si>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</si>
  <si>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</si>
  <si>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</si>
  <si>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</si>
  <si>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</si>
  <si>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</si>
  <si>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</si>
  <si>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</si>
  <si>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</si>
  <si>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</si>
  <si>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</si>
  <si>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</si>
  <si>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</si>
  <si>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</si>
  <si>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</si>
  <si>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</si>
  <si>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</si>
  <si>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</si>
  <si>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</si>
  <si>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</si>
  <si>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</si>
  <si>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</si>
  <si>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</si>
  <si>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</si>
  <si>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</si>
  <si>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</si>
  <si>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</si>
  <si>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</si>
  <si>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</si>
  <si>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</si>
  <si>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</si>
  <si>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</si>
  <si>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</si>
  <si>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</si>
  <si>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</si>
  <si>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</si>
  <si>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</si>
  <si>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</si>
  <si>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</si>
  <si>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</si>
  <si>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</si>
  <si>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</si>
  <si>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</si>
  <si>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</si>
  <si>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</si>
  <si>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</si>
  <si>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</si>
  <si>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</si>
  <si>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</si>
  <si>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</si>
  <si>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</si>
  <si>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</si>
  <si>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</si>
  <si>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</si>
  <si>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</si>
  <si>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</si>
  <si>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</si>
  <si>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</si>
  <si>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</si>
  <si>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</si>
  <si>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</si>
  <si>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</si>
  <si>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</si>
  <si>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</si>
  <si>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</si>
  <si>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</si>
  <si>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</si>
  <si>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</si>
  <si>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</si>
  <si>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</si>
  <si>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</si>
  <si>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</si>
  <si>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</si>
  <si>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</si>
  <si>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</si>
  <si>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</si>
  <si>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</si>
  <si>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</si>
  <si>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</si>
  <si>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</si>
  <si>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</si>
  <si>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</si>
  <si>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</si>
  <si>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</si>
  <si>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</si>
  <si>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</si>
  <si>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</si>
  <si>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</si>
  <si>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</si>
  <si>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</si>
  <si>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</si>
  <si>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</si>
  <si>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</si>
  <si>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</si>
  <si>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</si>
  <si>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</si>
  <si>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</si>
  <si>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</si>
  <si>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</si>
  <si>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</si>
  <si>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</si>
  <si>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</si>
  <si>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</si>
  <si>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</si>
  <si>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</si>
  <si>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</si>
  <si>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</si>
  <si>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</si>
  <si>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</si>
  <si>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</si>
  <si>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</si>
  <si>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</si>
  <si>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</si>
  <si>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</si>
  <si>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</si>
  <si>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</si>
  <si>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</si>
  <si>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</si>
  <si>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</si>
  <si>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</si>
  <si>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</si>
  <si>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</si>
  <si>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</si>
  <si>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</si>
  <si>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</si>
  <si>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</si>
  <si>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</si>
  <si>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</si>
  <si>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</si>
  <si>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</si>
  <si>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</si>
  <si>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</si>
  <si>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</si>
  <si>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</si>
  <si>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</si>
  <si>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</si>
  <si>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</si>
  <si>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</si>
  <si>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</si>
  <si>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</si>
  <si>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</si>
  <si>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</si>
  <si>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</si>
  <si>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</si>
  <si>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</si>
  <si>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</si>
  <si>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</si>
  <si>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</si>
  <si>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</si>
  <si>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</si>
  <si>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</si>
  <si>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</si>
  <si>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</si>
  <si>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</si>
  <si>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</si>
  <si>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</si>
  <si>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</si>
  <si>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</si>
  <si>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</si>
  <si>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</si>
  <si>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</si>
  <si>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</si>
  <si>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</si>
  <si>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</si>
  <si>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</si>
  <si>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</si>
  <si>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</si>
  <si>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</si>
  <si>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</si>
  <si>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</si>
  <si>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</si>
  <si>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</si>
  <si>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</si>
  <si>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</si>
  <si>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</si>
  <si>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</si>
  <si>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</si>
  <si>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</si>
  <si>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</si>
  <si>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</si>
  <si>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</si>
  <si>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</si>
  <si>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</si>
  <si>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</si>
  <si>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</si>
  <si>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</si>
  <si>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</si>
  <si>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</si>
  <si>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</si>
  <si>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</si>
  <si>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</si>
  <si>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</si>
  <si>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</si>
  <si>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</si>
  <si>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</si>
  <si>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</si>
  <si>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</si>
  <si>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</si>
  <si>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</si>
  <si>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</si>
  <si>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</si>
  <si>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</si>
  <si>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</si>
  <si>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</si>
  <si>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</si>
  <si>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</si>
  <si>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</si>
  <si>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</si>
  <si>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</si>
  <si>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</si>
  <si>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</si>
  <si>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</si>
  <si>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</si>
  <si>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</si>
  <si>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</si>
  <si>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</si>
  <si>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</si>
  <si>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</si>
  <si>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</si>
  <si>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</si>
  <si>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</si>
  <si>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</si>
  <si>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</si>
  <si>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</si>
  <si>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</si>
  <si>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</si>
  <si>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</si>
  <si>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</si>
  <si>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</si>
  <si>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</si>
  <si>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</si>
  <si>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</si>
  <si>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</si>
  <si>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</si>
  <si>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</si>
  <si>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</si>
  <si>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</si>
  <si>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</si>
  <si>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</si>
  <si>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</si>
  <si>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</si>
  <si>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</si>
  <si>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</si>
  <si>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</si>
  <si>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</si>
  <si>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</si>
  <si>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</si>
  <si>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</si>
  <si>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</si>
  <si>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</si>
  <si>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</si>
  <si>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</si>
  <si>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</si>
  <si>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</si>
  <si>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</si>
  <si>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</si>
  <si>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</si>
  <si>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</si>
  <si>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</si>
  <si>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</si>
  <si>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</si>
  <si>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</si>
  <si>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</si>
  <si>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</si>
  <si>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</si>
  <si>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</si>
  <si>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</si>
  <si>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</si>
  <si>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</si>
  <si>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</si>
  <si>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</si>
  <si>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</si>
  <si>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</si>
  <si>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</si>
  <si>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</si>
  <si>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</si>
  <si>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</si>
  <si>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</si>
  <si>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</si>
  <si>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</si>
  <si>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</si>
  <si>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</si>
  <si>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</si>
  <si>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</si>
  <si>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</si>
  <si>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</si>
  <si>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</si>
  <si>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</si>
  <si>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</si>
  <si>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</si>
  <si>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</si>
  <si>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</si>
  <si>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</si>
  <si>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</si>
  <si>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</si>
  <si>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</si>
  <si>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</si>
  <si>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</si>
  <si>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</si>
  <si>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</si>
  <si>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</si>
  <si>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</si>
  <si>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</si>
  <si>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</si>
  <si>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</si>
  <si>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</si>
  <si>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</si>
  <si>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</si>
  <si>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</si>
  <si>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</si>
  <si>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</si>
  <si>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</si>
  <si>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</si>
  <si>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</si>
  <si>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</si>
  <si>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</si>
  <si>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</si>
  <si>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</si>
  <si>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</si>
  <si>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</si>
  <si>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</si>
  <si>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</si>
  <si>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</si>
  <si>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</si>
  <si>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</si>
  <si>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</si>
  <si>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</si>
  <si>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</si>
  <si>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</si>
  <si>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</si>
  <si>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</si>
  <si>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</si>
  <si>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</si>
  <si>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</si>
  <si>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</si>
  <si>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</si>
  <si>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</si>
  <si>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</si>
  <si>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</si>
  <si>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</si>
  <si>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</si>
  <si>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</si>
  <si>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</si>
  <si>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</si>
  <si>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</si>
  <si>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</si>
  <si>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</si>
  <si>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</si>
  <si>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</si>
  <si>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</si>
  <si>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</si>
  <si>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</si>
  <si>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</si>
  <si>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</si>
  <si>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</si>
  <si>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</si>
  <si>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</si>
  <si>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</si>
  <si>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</si>
  <si>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</si>
  <si>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</si>
  <si>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</si>
  <si>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</si>
  <si>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</si>
  <si>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</si>
  <si>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</si>
  <si>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</si>
  <si>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</si>
  <si>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</si>
  <si>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</si>
  <si>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</si>
  <si>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</si>
  <si>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</si>
  <si>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</si>
  <si>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</si>
  <si>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</si>
  <si>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</si>
  <si>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</si>
  <si>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</si>
  <si>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</si>
  <si>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</si>
  <si>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</si>
  <si>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</si>
  <si>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</si>
  <si>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</si>
  <si>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</si>
  <si>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</si>
  <si>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</si>
  <si>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</si>
  <si>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</si>
  <si>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</si>
  <si>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</si>
  <si>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</si>
  <si>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</si>
  <si>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</si>
  <si>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</si>
  <si>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</si>
  <si>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</si>
  <si>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</si>
  <si>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</si>
  <si>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</si>
  <si>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</si>
  <si>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</si>
  <si>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</si>
  <si>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</si>
  <si>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</si>
  <si>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</si>
  <si>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</si>
  <si>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</si>
  <si>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</si>
  <si>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</si>
  <si>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</si>
  <si>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</si>
  <si>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</si>
  <si>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</si>
  <si>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</si>
  <si>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</si>
  <si>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</si>
  <si>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</si>
  <si>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</si>
  <si>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</si>
  <si>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</si>
  <si>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</si>
  <si>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</si>
  <si>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</si>
  <si>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</si>
  <si>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</si>
  <si>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</si>
  <si>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</si>
  <si>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</si>
  <si>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</si>
  <si>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</si>
  <si>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</si>
  <si>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</si>
  <si>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</si>
  <si>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</si>
  <si>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</si>
  <si>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</si>
  <si>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</si>
  <si>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</si>
  <si>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</si>
  <si>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</si>
  <si>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</si>
  <si>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</si>
  <si>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</si>
  <si>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</si>
  <si>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</si>
  <si>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</si>
  <si>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</si>
  <si>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</si>
  <si>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</si>
  <si>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</si>
  <si>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</si>
  <si>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</si>
  <si>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</si>
  <si>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</si>
  <si>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</si>
  <si>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</si>
  <si>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</si>
  <si>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</si>
  <si>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</si>
  <si>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</si>
  <si>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</si>
  <si>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</si>
  <si>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</si>
  <si>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</si>
  <si>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</si>
  <si>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</si>
  <si>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</si>
  <si>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</si>
  <si>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</si>
  <si>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</si>
  <si>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</si>
  <si>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</si>
  <si>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</si>
  <si>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</si>
  <si>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</si>
  <si>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</si>
  <si>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</si>
  <si>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</si>
  <si>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</si>
  <si>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</si>
  <si>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</si>
  <si>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</si>
  <si>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</si>
  <si>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</si>
  <si>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</si>
  <si>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</si>
  <si>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</si>
  <si>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</si>
  <si>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</si>
  <si>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</si>
  <si>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</si>
  <si>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</si>
  <si>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</si>
  <si>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</si>
  <si>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</si>
  <si>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</si>
  <si>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</si>
  <si>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</si>
  <si>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</si>
  <si>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</si>
  <si>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</si>
  <si>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</si>
  <si>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</si>
  <si>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</si>
  <si>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</si>
  <si>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</si>
  <si>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</si>
  <si>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</si>
  <si>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</si>
  <si>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</si>
  <si>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</si>
  <si>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</si>
  <si>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</si>
  <si>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</si>
  <si>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</si>
  <si>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</si>
  <si>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</si>
  <si>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</si>
  <si>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</si>
  <si>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</si>
  <si>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</si>
  <si>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</si>
  <si>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</si>
  <si>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</si>
  <si>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</si>
  <si>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</si>
  <si>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</si>
  <si>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</si>
  <si>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</si>
  <si>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</si>
  <si>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</si>
  <si>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</si>
  <si>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</si>
  <si>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</si>
  <si>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</si>
  <si>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</si>
  <si>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</si>
  <si>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</si>
  <si>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</si>
  <si>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</si>
  <si>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</si>
  <si>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</si>
  <si>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</si>
  <si>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</si>
  <si>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</si>
  <si>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</si>
  <si>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</si>
  <si>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</si>
  <si>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</si>
  <si>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</si>
  <si>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</si>
  <si>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</si>
  <si>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</si>
  <si>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</si>
  <si>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</si>
  <si>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</si>
  <si>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</si>
  <si>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</si>
  <si>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</si>
  <si>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</si>
  <si>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</si>
  <si>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</si>
  <si>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</si>
  <si>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</si>
  <si>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</si>
  <si>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</si>
  <si>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</si>
  <si>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</si>
  <si>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</si>
  <si>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</si>
  <si>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</si>
  <si>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</si>
  <si>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</si>
  <si>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</si>
  <si>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</si>
  <si>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</si>
  <si>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</si>
  <si>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</si>
  <si>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</si>
  <si>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</si>
  <si>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</si>
  <si>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</si>
  <si>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</si>
  <si>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</si>
  <si>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</si>
  <si>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</si>
  <si>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</si>
  <si>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</si>
  <si>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</si>
  <si>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</si>
  <si>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</si>
  <si>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</si>
  <si>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</si>
  <si>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</si>
  <si>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</si>
  <si>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</si>
  <si>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</si>
  <si>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</si>
  <si>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</si>
  <si>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</si>
  <si>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</si>
  <si>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</si>
  <si>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</si>
  <si>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</si>
  <si>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</si>
  <si>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</si>
  <si>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</si>
  <si>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</si>
  <si>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</si>
  <si>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</si>
  <si>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</si>
  <si>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</si>
  <si>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</si>
  <si>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</si>
  <si>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</si>
  <si>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</si>
  <si>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</si>
  <si>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</si>
  <si>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</si>
  <si>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</si>
  <si>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</si>
  <si>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</si>
  <si>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</si>
  <si>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</si>
  <si>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</si>
  <si>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</si>
  <si>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</si>
  <si>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</si>
  <si>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</si>
  <si>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</si>
  <si>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</si>
  <si>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</si>
  <si>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</si>
  <si>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</si>
  <si>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</si>
  <si>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</si>
  <si>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</si>
  <si>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</si>
  <si>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</si>
  <si>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</si>
  <si>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</si>
  <si>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</si>
  <si>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</si>
  <si>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</si>
  <si>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</si>
  <si>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</si>
  <si>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</si>
  <si>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</si>
  <si>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</si>
  <si>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</si>
  <si>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</si>
  <si>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</si>
  <si>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</si>
  <si>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</si>
  <si>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</si>
  <si>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</si>
  <si>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</si>
  <si>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</si>
  <si>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</si>
  <si>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</si>
  <si>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</si>
  <si>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</si>
  <si>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</si>
  <si>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</si>
  <si>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</si>
  <si>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</si>
  <si>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</si>
  <si>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</si>
  <si>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</si>
  <si>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</si>
  <si>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</si>
  <si>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</si>
  <si>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</si>
  <si>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</si>
  <si>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</si>
  <si>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</si>
  <si>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</si>
  <si>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</si>
  <si>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</si>
  <si>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</si>
  <si>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</si>
  <si>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</si>
  <si>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</si>
  <si>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</si>
  <si>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</si>
  <si>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</si>
  <si>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</si>
  <si>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</si>
  <si>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</si>
  <si>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</si>
  <si>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</si>
  <si>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</si>
  <si>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</si>
  <si>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</si>
  <si>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</si>
  <si>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</si>
  <si>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</si>
  <si>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</si>
  <si>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</si>
  <si>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</si>
  <si>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</si>
  <si>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</si>
  <si>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</si>
  <si>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</si>
  <si>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</si>
  <si>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</si>
  <si>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</si>
  <si>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</si>
  <si>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</si>
  <si>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</si>
  <si>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</si>
  <si>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</si>
  <si>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</si>
  <si>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</si>
  <si>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</si>
  <si>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</si>
  <si>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</si>
  <si>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</si>
  <si>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</si>
  <si>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</si>
  <si>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</si>
  <si>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</si>
  <si>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</si>
  <si>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</si>
  <si>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</si>
  <si>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</si>
  <si>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</si>
  <si>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</si>
  <si>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</si>
  <si>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</si>
  <si>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</si>
  <si>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</si>
  <si>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</si>
  <si>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</si>
  <si>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</si>
  <si>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</si>
  <si>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</si>
  <si>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</si>
  <si>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</si>
  <si>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</si>
  <si>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</si>
  <si>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</si>
  <si>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</si>
  <si>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</si>
  <si>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</si>
  <si>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</si>
  <si>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</si>
  <si>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</si>
  <si>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</si>
  <si>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</si>
  <si>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</si>
  <si>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</si>
  <si>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</si>
  <si>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</si>
  <si>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</si>
  <si>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</si>
  <si>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</si>
  <si>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</si>
  <si>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</si>
  <si>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</si>
  <si>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</si>
  <si>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</si>
  <si>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</si>
  <si>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</si>
  <si>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</si>
  <si>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</si>
  <si>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</si>
  <si>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</si>
  <si>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</si>
  <si>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</si>
  <si>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</si>
  <si>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</si>
  <si>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</si>
  <si>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</si>
  <si>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</si>
  <si>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</si>
  <si>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</si>
  <si>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</si>
  <si>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</si>
  <si>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</si>
  <si>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</si>
  <si>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</si>
  <si>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</si>
  <si>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</si>
  <si>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</si>
  <si>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</si>
  <si>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</si>
  <si>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</si>
  <si>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</si>
  <si>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</si>
  <si>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</si>
  <si>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</si>
  <si>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</si>
  <si>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</si>
  <si>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</si>
  <si>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</si>
  <si>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</si>
  <si>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</si>
  <si>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</si>
  <si>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</si>
  <si>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</si>
  <si>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</si>
  <si>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</si>
  <si>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</si>
  <si>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</si>
  <si>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</si>
  <si>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</si>
  <si>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</si>
  <si>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</si>
  <si>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</si>
  <si>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</si>
  <si>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</si>
  <si>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</si>
  <si>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</si>
  <si>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</si>
  <si>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</si>
  <si>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</si>
  <si>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</si>
  <si>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</si>
  <si>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</si>
  <si>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</si>
  <si>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</si>
  <si>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</si>
  <si>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</si>
  <si>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</si>
  <si>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</si>
  <si>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</si>
  <si>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</si>
  <si>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</si>
  <si>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</si>
  <si>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</si>
  <si>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</si>
  <si>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</si>
  <si>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</si>
  <si>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</si>
  <si>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</si>
  <si>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</si>
  <si>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</si>
  <si>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</si>
  <si>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</si>
  <si>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</si>
  <si>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</si>
  <si>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</si>
  <si>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</si>
  <si>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</si>
  <si>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</si>
  <si>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</si>
  <si>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</si>
  <si>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</si>
  <si>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</si>
  <si>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</si>
  <si>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</si>
  <si>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</si>
  <si>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</si>
  <si>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</si>
  <si>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</si>
  <si>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</si>
  <si>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</si>
  <si>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</si>
  <si>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</si>
  <si>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</si>
  <si>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</si>
  <si>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</si>
  <si>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</si>
  <si>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</si>
  <si>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</si>
  <si>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</si>
  <si>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</si>
  <si>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</si>
  <si>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</si>
  <si>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</si>
  <si>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</si>
  <si>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</si>
  <si>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</si>
  <si>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</si>
  <si>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</si>
  <si>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</si>
  <si>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</si>
  <si>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</si>
  <si>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</si>
  <si>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</si>
  <si>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</si>
  <si>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</si>
  <si>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</si>
  <si>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</si>
  <si>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</si>
  <si>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</si>
  <si>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</si>
  <si>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</si>
  <si>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</si>
  <si>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</si>
  <si>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</si>
  <si>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</si>
  <si>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</si>
  <si>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</si>
  <si>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</si>
  <si>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</si>
  <si>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</si>
  <si>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</si>
  <si>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</si>
  <si>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</si>
  <si>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</si>
  <si>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</si>
  <si>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</si>
  <si>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</si>
  <si>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</si>
  <si>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</si>
  <si>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</si>
  <si>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</si>
  <si>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</si>
  <si>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</si>
  <si>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</si>
  <si>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</si>
  <si>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</si>
  <si>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</si>
  <si>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</si>
  <si>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</si>
  <si>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</si>
  <si>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</si>
  <si>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</si>
  <si>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</si>
  <si>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</si>
  <si>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</si>
  <si>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</si>
  <si>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</si>
  <si>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</si>
  <si>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</si>
  <si>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</si>
  <si>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</si>
  <si>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</si>
  <si>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</si>
  <si>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</si>
  <si>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</si>
  <si>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</si>
  <si>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</si>
  <si>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</si>
  <si>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</si>
  <si>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</si>
  <si>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</si>
  <si>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</si>
  <si>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</si>
  <si>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</si>
  <si>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</si>
  <si>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</si>
  <si>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</si>
  <si>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</si>
  <si>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</si>
  <si>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</si>
  <si>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</si>
  <si>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</si>
  <si>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</si>
  <si>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</si>
  <si>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</si>
  <si>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</si>
  <si>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</si>
  <si>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</si>
  <si>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</si>
  <si>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</si>
  <si>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</si>
  <si>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</si>
  <si>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</si>
  <si>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</si>
  <si>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</si>
  <si>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</si>
  <si>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</si>
  <si>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</si>
  <si>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</si>
  <si>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</si>
  <si>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</si>
  <si>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</si>
  <si>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</si>
  <si>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</si>
  <si>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</si>
  <si>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</si>
  <si>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</si>
  <si>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</si>
  <si>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</si>
  <si>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</si>
  <si>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</si>
  <si>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</si>
  <si>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</si>
  <si>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</si>
  <si>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</si>
  <si>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</si>
  <si>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</si>
  <si>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</si>
  <si>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</si>
  <si>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</si>
  <si>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</si>
  <si>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</si>
  <si>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</si>
  <si>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</si>
  <si>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</si>
  <si>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</si>
  <si>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</si>
  <si>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</si>
  <si>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</si>
  <si>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</si>
  <si>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</si>
  <si>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</si>
  <si>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</si>
  <si>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</si>
  <si>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</si>
  <si>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</si>
  <si>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</si>
  <si>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</si>
  <si>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</si>
  <si>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</si>
  <si>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</si>
  <si>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</si>
  <si>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</si>
  <si>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</si>
  <si>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</si>
  <si>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</si>
  <si>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</si>
  <si>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</si>
  <si>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</si>
  <si>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</si>
  <si>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</si>
  <si>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</si>
  <si>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</si>
  <si>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</si>
  <si>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</si>
  <si>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</si>
  <si>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</si>
  <si>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</si>
  <si>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</si>
  <si>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</si>
  <si>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</si>
  <si>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</si>
  <si>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</si>
  <si>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</si>
  <si>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</si>
  <si>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</si>
  <si>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</si>
  <si>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</si>
  <si>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</si>
  <si>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</si>
  <si>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</si>
  <si>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</si>
  <si>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</si>
  <si>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</si>
  <si>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</si>
  <si>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</si>
  <si>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</si>
  <si>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</si>
  <si>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</si>
  <si>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</si>
  <si>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</si>
  <si>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</si>
  <si>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</si>
  <si>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</si>
  <si>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</si>
  <si>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</si>
  <si>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</si>
  <si>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</si>
  <si>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</si>
  <si>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</si>
  <si>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</si>
  <si>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</si>
  <si>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</si>
  <si>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</si>
  <si>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</si>
  <si>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</si>
  <si>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</si>
  <si>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</si>
  <si>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</si>
  <si>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</si>
  <si>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</si>
  <si>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</si>
  <si>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</si>
  <si>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</si>
  <si>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</si>
  <si>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</si>
  <si>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</si>
  <si>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</si>
  <si>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</si>
  <si>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</si>
  <si>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</si>
  <si>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</si>
  <si>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</si>
  <si>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</si>
  <si>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</si>
  <si>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</si>
  <si>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</si>
  <si>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</si>
  <si>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</si>
  <si>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</si>
  <si>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</si>
  <si>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</si>
  <si>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</si>
  <si>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</si>
  <si>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</si>
  <si>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</si>
  <si>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</si>
  <si>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</si>
  <si>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</si>
  <si>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</si>
  <si>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</si>
  <si>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</si>
  <si>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</si>
  <si>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</si>
  <si>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</si>
  <si>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</si>
  <si>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</si>
  <si>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</si>
  <si>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</si>
  <si>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</si>
  <si>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</si>
  <si>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</si>
  <si>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</si>
  <si>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</si>
  <si>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</si>
  <si>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</si>
  <si>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</si>
  <si>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</si>
  <si>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</si>
  <si>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</si>
  <si>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</si>
  <si>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</si>
  <si>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</si>
  <si>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</si>
  <si>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</si>
  <si>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</si>
  <si>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</si>
  <si>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</si>
  <si>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</si>
  <si>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</si>
  <si>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</si>
  <si>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</si>
  <si>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</si>
  <si>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</si>
  <si>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</si>
  <si>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</si>
  <si>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</si>
  <si>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</si>
  <si>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</si>
  <si>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</si>
  <si>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</si>
  <si>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</si>
  <si>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</si>
  <si>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</si>
  <si>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</si>
  <si>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</si>
  <si>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</si>
  <si>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</si>
  <si>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</si>
  <si>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</si>
  <si>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</si>
  <si>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</si>
  <si>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</si>
  <si>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</si>
  <si>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</si>
  <si>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</si>
  <si>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</si>
  <si>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</si>
  <si>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</si>
  <si>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</si>
  <si>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</si>
  <si>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</si>
  <si>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</si>
  <si>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</si>
  <si>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</si>
  <si>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</si>
  <si>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</si>
  <si>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</si>
  <si>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</si>
  <si>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</si>
  <si>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</si>
  <si>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</si>
  <si>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</si>
  <si>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</si>
  <si>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</si>
  <si>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</si>
  <si>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</si>
  <si>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</si>
  <si>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</si>
  <si>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</si>
  <si>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</si>
  <si>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</si>
  <si>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</si>
  <si>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</si>
  <si>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</si>
  <si>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</si>
  <si>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</si>
  <si>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</si>
  <si>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</si>
  <si>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</si>
  <si>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</si>
  <si>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</si>
  <si>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</si>
  <si>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</si>
  <si>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</si>
  <si>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</si>
  <si>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</si>
  <si>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</si>
  <si>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</si>
  <si>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</si>
  <si>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</si>
  <si>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</si>
  <si>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</si>
  <si>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</si>
  <si>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</si>
  <si>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</si>
  <si>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</si>
  <si>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</si>
  <si>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</si>
  <si>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</si>
  <si>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</si>
  <si>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</si>
  <si>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</si>
  <si>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</si>
  <si>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</si>
  <si>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</si>
  <si>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</si>
  <si>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</si>
  <si>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</si>
  <si>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</si>
  <si>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</si>
  <si>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</si>
  <si>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</si>
  <si>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</si>
  <si>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</si>
  <si>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</si>
  <si>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</si>
  <si>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</si>
  <si>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</si>
  <si>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</si>
  <si>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</si>
  <si>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</si>
  <si>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</si>
  <si>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</si>
  <si>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</si>
  <si>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</si>
  <si>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</si>
  <si>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</si>
  <si>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</si>
  <si>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</si>
  <si>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</si>
  <si>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</si>
  <si>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</si>
  <si>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</si>
  <si>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</si>
  <si>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</si>
  <si>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</si>
  <si>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</si>
  <si>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</si>
  <si>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</si>
  <si>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</si>
  <si>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</si>
  <si>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</si>
  <si>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</si>
  <si>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</si>
  <si>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</si>
  <si>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</si>
  <si>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</si>
  <si>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</si>
  <si>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</si>
  <si>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</si>
  <si>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</si>
  <si>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</si>
  <si>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</si>
  <si>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</si>
  <si>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</si>
  <si>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</si>
  <si>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</si>
  <si>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</si>
  <si>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</si>
  <si>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</si>
  <si>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</si>
  <si>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</si>
  <si>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</si>
  <si>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</si>
  <si>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</si>
  <si>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</si>
  <si>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</si>
  <si>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</si>
  <si>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</si>
  <si>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</si>
  <si>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</si>
  <si>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</si>
  <si>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</si>
  <si>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</si>
  <si>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</si>
  <si>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</si>
  <si>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</si>
  <si>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</si>
  <si>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</si>
  <si>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</si>
  <si>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</si>
  <si>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</si>
  <si>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</si>
  <si>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</si>
  <si>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</si>
  <si>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</si>
  <si>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</si>
  <si>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</si>
  <si>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</si>
  <si>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</si>
  <si>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</si>
  <si>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</si>
  <si>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</si>
  <si>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</si>
  <si>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</si>
  <si>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</si>
  <si>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</si>
  <si>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</si>
  <si>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</si>
  <si>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</si>
  <si>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</si>
  <si>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</si>
  <si>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</si>
  <si>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</si>
  <si>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</si>
  <si>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</si>
  <si>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</si>
  <si>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</si>
  <si>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</si>
  <si>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</si>
  <si>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</si>
  <si>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</si>
  <si>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</si>
  <si>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</si>
  <si>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</si>
  <si>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</si>
  <si>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</si>
  <si>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</si>
  <si>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</si>
  <si>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</si>
  <si>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</si>
  <si>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</si>
  <si>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</si>
  <si>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</si>
  <si>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</si>
  <si>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</si>
  <si>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</si>
  <si>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</si>
  <si>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</si>
  <si>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</si>
  <si>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</si>
  <si>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</si>
  <si>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</si>
  <si>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</si>
  <si>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</si>
  <si>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</si>
  <si>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</si>
  <si>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</si>
  <si>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</si>
  <si>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</si>
  <si>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</si>
  <si>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</si>
  <si>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</si>
  <si>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</si>
  <si>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</si>
  <si>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</si>
  <si>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</si>
  <si>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</si>
  <si>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</si>
  <si>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</si>
  <si>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</si>
  <si>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</si>
  <si>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</si>
  <si>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</si>
  <si>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</si>
  <si>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</si>
  <si>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</si>
  <si>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</si>
  <si>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</si>
  <si>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</si>
  <si>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</si>
  <si>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</si>
  <si>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</si>
  <si>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</si>
  <si>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</si>
  <si>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</si>
  <si>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</si>
  <si>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</si>
  <si>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</si>
  <si>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</si>
  <si>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</si>
  <si>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</si>
  <si>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</si>
  <si>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</si>
  <si>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</si>
  <si>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</si>
  <si>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</si>
  <si>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</si>
  <si>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</si>
  <si>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</si>
  <si>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</si>
  <si>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</si>
  <si>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</si>
  <si>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</si>
  <si>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</si>
  <si>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</si>
  <si>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</si>
  <si>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</si>
  <si>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</si>
  <si>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</si>
  <si>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</si>
  <si>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</si>
  <si>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</si>
  <si>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</si>
  <si>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</si>
  <si>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</si>
  <si>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</si>
  <si>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</si>
  <si>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</si>
  <si>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</si>
  <si>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</si>
  <si>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</si>
  <si>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</si>
  <si>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</si>
  <si>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</si>
  <si>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</si>
  <si>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</si>
  <si>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</si>
  <si>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</si>
  <si>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</si>
  <si>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</si>
  <si>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</si>
  <si>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</si>
  <si>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</si>
  <si>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</si>
  <si>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</si>
  <si>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</si>
  <si>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</si>
  <si>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</si>
  <si>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</si>
  <si>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</si>
  <si>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</si>
  <si>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</si>
  <si>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</si>
  <si>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</si>
  <si>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</si>
  <si>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</si>
  <si>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</si>
  <si>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</si>
  <si>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</si>
  <si>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</si>
  <si>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</si>
  <si>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</si>
  <si>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</si>
  <si>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</si>
  <si>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</si>
  <si>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</si>
  <si>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</si>
  <si>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</si>
  <si>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</si>
  <si>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</si>
  <si>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</si>
  <si>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</si>
  <si>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</si>
  <si>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</si>
  <si>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</si>
  <si>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</si>
  <si>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</si>
  <si>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</si>
  <si>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</si>
  <si>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</si>
  <si>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</si>
  <si>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</si>
  <si>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</si>
  <si>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</si>
  <si>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</si>
  <si>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</si>
  <si>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</si>
  <si>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</si>
  <si>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</si>
  <si>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</si>
  <si>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</si>
  <si>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</si>
  <si>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</si>
  <si>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</si>
  <si>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</si>
  <si>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</si>
  <si>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</si>
  <si>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</si>
  <si>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</si>
  <si>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</si>
  <si>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</si>
  <si>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</si>
  <si>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</si>
  <si>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</si>
  <si>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</si>
  <si>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</si>
  <si>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</si>
  <si>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</si>
  <si>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</si>
  <si>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</si>
  <si>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</si>
  <si>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</si>
  <si>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</si>
  <si>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</si>
  <si>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</si>
  <si>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</si>
  <si>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</si>
  <si>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</si>
  <si>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</si>
  <si>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</si>
  <si>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</si>
  <si>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</si>
  <si>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</si>
  <si>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</si>
  <si>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</si>
  <si>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</si>
  <si>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</si>
  <si>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</si>
  <si>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</si>
  <si>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</si>
  <si>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</si>
  <si>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</si>
  <si>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</si>
  <si>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</si>
  <si>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</si>
  <si>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</si>
  <si>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</si>
  <si>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</si>
  <si>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</si>
  <si>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</si>
  <si>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</si>
  <si>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</si>
  <si>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</si>
  <si>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</si>
  <si>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</si>
  <si>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</si>
  <si>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</si>
  <si>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</si>
  <si>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</si>
  <si>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</si>
  <si>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</si>
  <si>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</si>
  <si>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</si>
  <si>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</si>
  <si>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</si>
  <si>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</si>
  <si>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</si>
  <si>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</si>
  <si>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</si>
  <si>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</si>
  <si>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</si>
  <si>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</si>
  <si>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</si>
  <si>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</si>
  <si>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</si>
  <si>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</si>
  <si>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</si>
  <si>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</si>
  <si>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</si>
  <si>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</si>
  <si>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</si>
  <si>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</si>
  <si>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</si>
  <si>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</si>
  <si>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</si>
  <si>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</si>
  <si>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</si>
  <si>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</si>
  <si>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</si>
  <si>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</si>
  <si>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</si>
  <si>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</si>
  <si>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</si>
  <si>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</si>
  <si>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</si>
  <si>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</si>
  <si>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</si>
  <si>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</si>
  <si>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</si>
  <si>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</si>
  <si>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</si>
  <si>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</si>
  <si>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</si>
  <si>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</si>
  <si>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</si>
  <si>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</si>
  <si>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</si>
  <si>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</si>
  <si>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</si>
  <si>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</si>
  <si>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</si>
  <si>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</si>
  <si>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</si>
  <si>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</si>
  <si>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</si>
  <si>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</si>
  <si>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</si>
  <si>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</si>
  <si>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</si>
  <si>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</si>
  <si>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</si>
  <si>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</si>
  <si>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</si>
  <si>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</si>
  <si>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</si>
  <si>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</si>
  <si>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</si>
  <si>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</si>
  <si>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</si>
  <si>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</si>
  <si>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</si>
  <si>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</si>
  <si>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</si>
  <si>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</si>
  <si>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</si>
  <si>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</si>
  <si>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</si>
  <si>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</si>
  <si>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</si>
  <si>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</si>
  <si>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</si>
  <si>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</si>
  <si>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</si>
  <si>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</si>
  <si>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</si>
  <si>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</si>
  <si>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</si>
  <si>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</si>
  <si>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</si>
  <si>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</si>
  <si>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</si>
  <si>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</si>
  <si>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</si>
  <si>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</si>
  <si>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</si>
  <si>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</si>
  <si>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</si>
  <si>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</si>
  <si>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</si>
  <si>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</si>
  <si>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</si>
  <si>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</si>
  <si>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</si>
  <si>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</si>
  <si>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</si>
  <si>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</si>
  <si>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</si>
  <si>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</si>
  <si>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</si>
  <si>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</si>
  <si>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</si>
  <si>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</si>
  <si>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</si>
  <si>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</si>
  <si>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</si>
  <si>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</si>
  <si>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</si>
  <si>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</si>
  <si>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</si>
  <si>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</si>
  <si>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</si>
  <si>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</si>
  <si>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</si>
  <si>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</si>
  <si>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</si>
  <si>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</si>
  <si>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</si>
  <si>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</si>
  <si>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</si>
  <si>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</si>
  <si>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</si>
  <si>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</si>
  <si>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</si>
  <si>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</si>
  <si>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</si>
  <si>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</si>
  <si>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</si>
  <si>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</si>
  <si>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</si>
  <si>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</si>
  <si>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</si>
  <si>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</si>
  <si>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</si>
  <si>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</si>
  <si>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</si>
  <si>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</si>
  <si>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</si>
  <si>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</si>
  <si>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</si>
  <si>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</si>
  <si>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</si>
  <si>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</si>
  <si>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</si>
  <si>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</si>
  <si>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</si>
  <si>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</si>
  <si>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</si>
  <si>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</si>
  <si>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</si>
  <si>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</si>
  <si>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</si>
  <si>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</si>
  <si>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</si>
  <si>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</si>
  <si>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</si>
  <si>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</si>
  <si>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</si>
  <si>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</si>
  <si>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</si>
  <si>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</si>
  <si>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</si>
  <si>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</si>
  <si>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</si>
  <si>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</si>
  <si>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</si>
  <si>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</si>
  <si>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</si>
  <si>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</si>
  <si>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</si>
  <si>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</si>
  <si>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</si>
  <si>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</si>
  <si>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</si>
  <si>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</si>
  <si>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</si>
  <si>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</si>
  <si>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</si>
  <si>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</si>
  <si>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</si>
  <si>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</si>
  <si>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</si>
  <si>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</si>
  <si>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</si>
  <si>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</si>
  <si>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</si>
  <si>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</si>
  <si>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</si>
  <si>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</si>
  <si>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</si>
  <si>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</si>
  <si>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</si>
  <si>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</si>
  <si>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</si>
  <si>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</si>
  <si>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</si>
  <si>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</si>
  <si>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</si>
  <si>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</si>
  <si>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</si>
  <si>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</si>
  <si>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</si>
  <si>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</si>
  <si>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</si>
  <si>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</si>
  <si>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</si>
  <si>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</si>
  <si>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</si>
  <si>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</si>
  <si>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</si>
  <si>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</si>
  <si>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</si>
  <si>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</si>
  <si>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</si>
  <si>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</si>
  <si>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</si>
  <si>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</si>
  <si>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</si>
  <si>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</si>
  <si>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</si>
  <si>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</si>
  <si>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</si>
  <si>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</si>
  <si>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</si>
  <si>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</si>
  <si>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</si>
  <si>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</si>
  <si>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</si>
  <si>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</si>
  <si>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</si>
  <si>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</si>
  <si>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</si>
  <si>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</si>
  <si>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</si>
  <si>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</si>
  <si>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</si>
  <si>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</si>
  <si>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</si>
  <si>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</si>
  <si>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</si>
  <si>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</si>
  <si>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</si>
  <si>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</si>
  <si>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</si>
  <si>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</si>
  <si>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</si>
  <si>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</si>
  <si>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</si>
  <si>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</si>
  <si>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</si>
  <si>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</si>
  <si>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</si>
  <si>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</si>
  <si>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</si>
  <si>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</si>
  <si>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</si>
  <si>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</si>
  <si>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</si>
  <si>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</si>
  <si>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</si>
  <si>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</si>
  <si>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</si>
  <si>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</si>
  <si>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</si>
  <si>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</si>
  <si>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</si>
  <si>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</si>
  <si>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</si>
  <si>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</si>
  <si>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</si>
  <si>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</si>
  <si>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</si>
  <si>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</si>
  <si>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</si>
  <si>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</si>
  <si>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</si>
  <si>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</si>
  <si>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</si>
  <si>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</si>
  <si>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</si>
  <si>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</si>
  <si>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</si>
  <si>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</si>
  <si>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</si>
  <si>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</si>
  <si>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</si>
  <si>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</si>
  <si>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</si>
  <si>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</si>
  <si>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</si>
  <si>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</si>
  <si>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</si>
  <si>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</si>
  <si>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</si>
  <si>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</si>
  <si>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</si>
  <si>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</si>
  <si>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</si>
  <si>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</si>
  <si>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</si>
  <si>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</si>
  <si>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</si>
  <si>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</si>
  <si>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</si>
  <si>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</si>
  <si>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</si>
  <si>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</si>
  <si>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</si>
  <si>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</si>
  <si>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</si>
  <si>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</si>
  <si>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</si>
  <si>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</si>
  <si>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</si>
  <si>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</si>
  <si>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</si>
  <si>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</si>
  <si>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</si>
  <si>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</si>
  <si>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</si>
  <si>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</si>
  <si>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</si>
  <si>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</si>
  <si>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</si>
  <si>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</si>
  <si>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</si>
  <si>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</si>
  <si>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</si>
  <si>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</si>
  <si>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</si>
  <si>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</si>
  <si>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</si>
  <si>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</si>
  <si>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</si>
  <si>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</si>
  <si>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</si>
  <si>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</si>
  <si>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</si>
  <si>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</si>
  <si>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</si>
  <si>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</si>
  <si>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</si>
  <si>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</si>
  <si>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</si>
  <si>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</si>
  <si>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</si>
  <si>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</si>
  <si>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</si>
  <si>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</si>
  <si>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</si>
  <si>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</si>
  <si>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</si>
  <si>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</si>
  <si>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</si>
  <si>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</si>
  <si>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</si>
  <si>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</si>
  <si>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</si>
  <si>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</si>
  <si>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</si>
  <si>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</si>
  <si>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</si>
  <si>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</si>
  <si>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</si>
  <si>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</si>
  <si>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</si>
  <si>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</si>
  <si>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</si>
  <si>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</si>
  <si>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</si>
  <si>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</si>
  <si>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</si>
  <si>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</si>
  <si>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</si>
  <si>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</si>
  <si>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</si>
  <si>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</si>
  <si>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</si>
  <si>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</si>
  <si>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</si>
  <si>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</si>
  <si>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</si>
  <si>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</si>
  <si>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</si>
  <si>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</si>
  <si>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</si>
  <si>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</si>
  <si>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</si>
  <si>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</si>
  <si>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</si>
  <si>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</si>
  <si>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</si>
  <si>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</si>
  <si>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</si>
  <si>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</si>
  <si>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</si>
  <si>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</si>
  <si>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</si>
  <si>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</si>
  <si>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</si>
  <si>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</si>
  <si>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</si>
  <si>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</si>
  <si>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</si>
  <si>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</si>
  <si>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</si>
  <si>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</si>
  <si>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</si>
  <si>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</si>
  <si>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</si>
  <si>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</si>
  <si>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</si>
  <si>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</si>
  <si>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</si>
  <si>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</si>
  <si>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</si>
  <si>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</si>
  <si>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</si>
  <si>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</si>
  <si>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</si>
  <si>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</si>
  <si>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</si>
  <si>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</si>
  <si>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</si>
  <si>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</si>
  <si>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</si>
  <si>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</si>
  <si>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</si>
  <si>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</si>
  <si>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</si>
  <si>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</si>
  <si>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</si>
  <si>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</si>
  <si>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</si>
  <si>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</si>
  <si>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</si>
  <si>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</si>
  <si>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</si>
  <si>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</si>
  <si>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</si>
  <si>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</si>
  <si>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</si>
  <si>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</si>
  <si>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</si>
  <si>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</si>
  <si>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</si>
  <si>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</si>
  <si>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</si>
  <si>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</si>
  <si>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</si>
  <si>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</si>
  <si>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</si>
  <si>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</si>
  <si>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</si>
  <si>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</si>
  <si>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</si>
  <si>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</si>
  <si>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</si>
  <si>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</si>
  <si>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</si>
  <si>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</si>
  <si>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</si>
  <si>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</si>
  <si>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</si>
  <si>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</si>
  <si>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</si>
  <si>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</si>
  <si>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</si>
  <si>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</si>
  <si>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</si>
  <si>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</si>
  <si>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</si>
  <si>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</si>
  <si>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</si>
  <si>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</si>
  <si>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</si>
  <si>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</si>
  <si>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</si>
  <si>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</si>
  <si>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</si>
  <si>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</si>
  <si>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</si>
  <si>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</si>
  <si>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</si>
  <si>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</si>
  <si>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</si>
  <si>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</si>
  <si>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</si>
  <si>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</si>
  <si>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</si>
  <si>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</si>
  <si>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</si>
  <si>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</si>
  <si>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</si>
  <si>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</si>
  <si>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</si>
  <si>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</si>
  <si>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</si>
  <si>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</si>
  <si>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</si>
  <si>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</si>
  <si>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</si>
  <si>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</si>
  <si>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</si>
  <si>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</si>
  <si>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</si>
  <si>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</si>
  <si>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</si>
  <si>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</si>
  <si>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</si>
  <si>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</si>
  <si>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</si>
  <si>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</si>
  <si>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</si>
  <si>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</si>
  <si>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</si>
  <si>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</si>
  <si>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</si>
  <si>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</si>
  <si>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</si>
  <si>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</si>
  <si>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</si>
  <si>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</si>
  <si>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</si>
  <si>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</si>
  <si>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</si>
  <si>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</si>
  <si>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</si>
  <si>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</si>
  <si>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</si>
  <si>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</si>
  <si>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</si>
  <si>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</si>
  <si>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</si>
  <si>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</si>
  <si>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</si>
  <si>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</si>
  <si>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</si>
  <si>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</si>
  <si>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</si>
  <si>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</si>
  <si>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</si>
  <si>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</si>
  <si>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</si>
  <si>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</si>
  <si>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</si>
  <si>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</si>
  <si>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</si>
  <si>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</si>
  <si>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</si>
  <si>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</si>
  <si>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</si>
  <si>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</si>
  <si>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</si>
  <si>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</si>
  <si>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</si>
  <si>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</si>
  <si>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</si>
  <si>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</si>
  <si>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</si>
  <si>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</si>
  <si>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</si>
  <si>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</si>
  <si>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</si>
  <si>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</si>
  <si>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</si>
  <si>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</si>
  <si>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</si>
  <si>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</si>
  <si>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</si>
  <si>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</si>
  <si>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</si>
  <si>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</si>
  <si>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</si>
  <si>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</si>
  <si>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</si>
  <si>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</si>
  <si>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</si>
  <si>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</si>
  <si>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</si>
  <si>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</si>
  <si>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</si>
  <si>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</si>
  <si>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</si>
  <si>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</si>
  <si>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</si>
  <si>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</si>
  <si>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</si>
  <si>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</si>
  <si>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</si>
  <si>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</si>
  <si>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</si>
  <si>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</si>
  <si>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</si>
  <si>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</si>
  <si>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</si>
  <si>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</si>
  <si>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</si>
  <si>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</si>
  <si>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</si>
  <si>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</si>
  <si>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</si>
  <si>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</si>
  <si>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</si>
  <si>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</si>
  <si>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</si>
  <si>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</si>
  <si>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</si>
  <si>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</si>
  <si>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</si>
  <si>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</si>
  <si>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</si>
  <si>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</si>
  <si>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</si>
  <si>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</si>
  <si>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</si>
  <si>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</si>
  <si>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</si>
  <si>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</si>
  <si>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</si>
  <si>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</si>
  <si>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</si>
  <si>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</si>
  <si>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</si>
  <si>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</si>
  <si>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</si>
  <si>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</si>
  <si>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</si>
  <si>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</si>
  <si>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</si>
  <si>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</si>
  <si>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</si>
  <si>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</si>
  <si>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</si>
  <si>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</si>
  <si>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</si>
  <si>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</si>
  <si>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</si>
  <si>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</si>
  <si>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</si>
  <si>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</si>
  <si>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</si>
  <si>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</si>
  <si>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</si>
  <si>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</si>
  <si>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</si>
  <si>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</si>
  <si>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</si>
  <si>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</si>
  <si>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</si>
  <si>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</si>
  <si>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</si>
  <si>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</si>
  <si>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</si>
  <si>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</si>
  <si>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</si>
  <si>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</si>
  <si>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</si>
  <si>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</si>
  <si>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</si>
  <si>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</si>
  <si>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</si>
  <si>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</si>
  <si>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</si>
  <si>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</si>
  <si>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</si>
  <si>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</si>
  <si>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</si>
  <si>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</si>
  <si>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</si>
  <si>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</si>
  <si>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</si>
  <si>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</si>
  <si>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</si>
  <si>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</si>
  <si>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</si>
  <si>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</si>
  <si>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</si>
  <si>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</si>
  <si>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</si>
  <si>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</si>
  <si>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</si>
  <si>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</si>
  <si>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</si>
  <si>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</si>
  <si>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</si>
  <si>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</si>
  <si>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</si>
  <si>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</si>
  <si>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</si>
  <si>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</si>
  <si>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</si>
  <si>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</si>
  <si>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</si>
  <si>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</si>
  <si>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</si>
  <si>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</si>
  <si>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</si>
  <si>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</si>
  <si>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</si>
  <si>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</si>
  <si>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</si>
  <si>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</si>
  <si>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</si>
  <si>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</si>
  <si>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</si>
  <si>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</si>
  <si>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</si>
  <si>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</si>
  <si>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</si>
  <si>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</si>
  <si>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</si>
  <si>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</si>
  <si>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</si>
  <si>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</si>
  <si>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</si>
  <si>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</si>
  <si>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</si>
  <si>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</si>
  <si>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</si>
  <si>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</si>
  <si>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</si>
  <si>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</si>
  <si>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</si>
  <si>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</si>
  <si>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</si>
  <si>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</si>
  <si>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</si>
  <si>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</si>
  <si>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</si>
  <si>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</si>
  <si>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</si>
  <si>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</si>
  <si>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</si>
  <si>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</si>
  <si>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</si>
  <si>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</si>
  <si>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</si>
  <si>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</si>
  <si>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</si>
  <si>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</si>
  <si>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</si>
  <si>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</si>
  <si>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</si>
  <si>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</si>
  <si>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</si>
  <si>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</si>
  <si>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</si>
  <si>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</si>
  <si>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</si>
  <si>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</si>
  <si>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</si>
  <si>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</si>
  <si>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</si>
  <si>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</si>
  <si>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</si>
  <si>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</si>
  <si>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</si>
  <si>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</si>
  <si>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</si>
  <si>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</si>
  <si>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</si>
  <si>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</si>
  <si>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</si>
  <si>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</si>
  <si>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</si>
  <si>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</si>
  <si>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</si>
  <si>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</si>
  <si>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</si>
  <si>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</si>
  <si>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</si>
  <si>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</si>
  <si>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</si>
  <si>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</si>
  <si>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</si>
  <si>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</si>
  <si>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</si>
  <si>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</si>
  <si>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</si>
  <si>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</si>
  <si>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</si>
  <si>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</si>
  <si>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</si>
  <si>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</si>
  <si>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</si>
  <si>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</si>
  <si>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</si>
  <si>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</si>
  <si>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</si>
  <si>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</si>
  <si>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</si>
  <si>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</si>
  <si>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</si>
  <si>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</si>
  <si>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</si>
  <si>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</si>
  <si>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</si>
  <si>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</si>
  <si>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</si>
  <si>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</si>
  <si>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</si>
  <si>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</si>
  <si>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</si>
  <si>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</si>
  <si>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</si>
  <si>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</si>
  <si>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</si>
  <si>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</si>
  <si>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</si>
  <si>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</si>
  <si>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</si>
  <si>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</si>
  <si>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</si>
  <si>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</si>
  <si>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</si>
  <si>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</si>
  <si>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</si>
  <si>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</si>
  <si>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</si>
  <si>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</si>
  <si>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</si>
  <si>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</si>
  <si>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</si>
  <si>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</si>
  <si>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</si>
  <si>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</si>
  <si>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</si>
  <si>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</si>
  <si>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</si>
  <si>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</si>
  <si>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</si>
  <si>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</si>
  <si>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</si>
  <si>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</si>
  <si>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</si>
  <si>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</si>
  <si>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</si>
  <si>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</si>
  <si>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</si>
  <si>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</si>
  <si>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</si>
  <si>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</si>
  <si>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</si>
  <si>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</si>
  <si>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</si>
  <si>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</si>
  <si>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</si>
  <si>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</si>
  <si>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</si>
  <si>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</si>
  <si>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</si>
  <si>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</si>
  <si>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</si>
  <si>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</si>
  <si>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</si>
  <si>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</si>
  <si>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</si>
  <si>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</si>
  <si>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</si>
  <si>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</si>
  <si>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</si>
  <si>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</si>
  <si>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</si>
  <si>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</si>
  <si>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</si>
  <si>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</si>
  <si>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</si>
  <si>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</si>
  <si>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</si>
  <si>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</si>
  <si>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</si>
  <si>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</si>
  <si>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</si>
  <si>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</si>
  <si>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</si>
  <si>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</si>
  <si>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</si>
  <si>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</si>
  <si>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</si>
  <si>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</si>
  <si>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</si>
  <si>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</si>
  <si>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</si>
  <si>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</si>
  <si>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</si>
  <si>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</si>
  <si>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</si>
  <si>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</si>
  <si>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</si>
  <si>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</si>
  <si>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</si>
  <si>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</si>
  <si>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</si>
  <si>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</si>
  <si>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</si>
  <si>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</si>
  <si>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</si>
  <si>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</si>
  <si>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</si>
  <si>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</si>
  <si>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</si>
  <si>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</si>
  <si>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</si>
  <si>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</si>
  <si>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</si>
  <si>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</si>
  <si>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</si>
  <si>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</si>
  <si>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</si>
  <si>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</si>
  <si>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</si>
  <si>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</si>
  <si>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</si>
  <si>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</si>
  <si>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</si>
  <si>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</si>
  <si>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</si>
  <si>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</si>
  <si>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</si>
  <si>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</si>
  <si>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</si>
  <si>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</si>
  <si>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</si>
  <si>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</si>
  <si>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</si>
  <si>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</si>
  <si>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</si>
  <si>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</si>
  <si>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</si>
  <si>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</si>
  <si>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</si>
  <si>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</si>
  <si>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</si>
  <si>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</si>
  <si>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</si>
  <si>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</si>
  <si>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</si>
  <si>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</si>
  <si>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</si>
  <si>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</si>
  <si>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</si>
  <si>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</si>
  <si>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</si>
  <si>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</si>
  <si>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</si>
  <si>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</si>
  <si>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</si>
  <si>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</si>
  <si>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</si>
  <si>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</si>
  <si>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</si>
  <si>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</si>
  <si>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</si>
  <si>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</si>
  <si>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</si>
  <si>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</si>
  <si>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</si>
  <si>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</si>
  <si>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</si>
  <si>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</si>
  <si>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</si>
  <si>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</si>
  <si>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</si>
  <si>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</si>
  <si>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</si>
  <si>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</si>
  <si>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</si>
  <si>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</si>
  <si>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</si>
  <si>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</si>
  <si>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</si>
  <si>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</si>
  <si>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</si>
  <si>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</si>
  <si>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</si>
  <si>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</si>
  <si>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</si>
  <si>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</si>
  <si>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</si>
  <si>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</si>
  <si>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</si>
  <si>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</si>
  <si>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</si>
  <si>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</si>
  <si>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</si>
  <si>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</si>
  <si>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</si>
  <si>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</si>
  <si>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</si>
  <si>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</si>
  <si>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</si>
  <si>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</si>
  <si>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</si>
  <si>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</si>
  <si>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</si>
  <si>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</si>
  <si>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</si>
  <si>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</si>
  <si>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</si>
  <si>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</si>
  <si>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</si>
  <si>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</si>
  <si>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</si>
  <si>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</si>
  <si>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</si>
  <si>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</si>
  <si>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</si>
  <si>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</si>
  <si>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</si>
  <si>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</si>
  <si>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</si>
  <si>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</si>
  <si>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</si>
  <si>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</si>
  <si>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</si>
  <si>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</si>
  <si>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</si>
  <si>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</si>
  <si>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</si>
  <si>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</si>
  <si>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</si>
  <si>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</si>
  <si>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</si>
  <si>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</si>
  <si>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</si>
  <si>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</si>
  <si>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</si>
  <si>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</si>
  <si>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</si>
  <si>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</si>
  <si>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</si>
  <si>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</si>
  <si>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</si>
  <si>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</si>
  <si>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</si>
  <si>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</si>
  <si>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</si>
  <si>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</si>
  <si>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</si>
  <si>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</si>
  <si>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</si>
  <si>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</si>
  <si>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</si>
  <si>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</si>
  <si>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</si>
  <si>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</si>
  <si>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</si>
  <si>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</si>
  <si>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</si>
  <si>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</si>
  <si>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</si>
  <si>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</si>
  <si>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</si>
  <si>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</si>
  <si>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</si>
  <si>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</si>
  <si>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</si>
  <si>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</si>
  <si>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</si>
  <si>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</si>
  <si>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</si>
  <si>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</si>
  <si>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</si>
  <si>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</si>
  <si>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</si>
  <si>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</si>
  <si>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</si>
  <si>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</si>
  <si>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</si>
  <si>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</si>
  <si>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</si>
  <si>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</si>
  <si>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</si>
  <si>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</si>
  <si>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</si>
  <si>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</si>
  <si>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</si>
  <si>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</si>
  <si>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</si>
  <si>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</si>
  <si>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</si>
  <si>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</si>
  <si>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</si>
  <si>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</si>
  <si>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</si>
  <si>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地上</t>
  </si>
  <si>
    <t>是</t>
  </si>
  <si>
    <t>工业</t>
    <phoneticPr fontId="7" type="noConversion"/>
  </si>
  <si>
    <t>成新度</t>
  </si>
  <si>
    <t>收益法 (元)</t>
  </si>
  <si>
    <t>含税</t>
  </si>
  <si>
    <t>押一</t>
  </si>
  <si>
    <t>按不含税租金收入（有效毛租金收入）计税</t>
  </si>
  <si>
    <t>砖混</t>
  </si>
  <si>
    <t>非生产用房</t>
  </si>
  <si>
    <t>否</t>
  </si>
  <si>
    <t>自定义容积率</t>
  </si>
  <si>
    <t>与级别开发程度一致</t>
  </si>
  <si>
    <t>按公示增长率计算</t>
  </si>
  <si>
    <t>中心城区</t>
  </si>
  <si>
    <t>容积率修正</t>
  </si>
  <si>
    <t>差</t>
  </si>
  <si>
    <t>未包含在土地购买价格中</t>
  </si>
  <si>
    <t>全部缴纳</t>
  </si>
  <si>
    <t>已包含在土地取得成本中</t>
  </si>
  <si>
    <t>成本法 (元)</t>
  </si>
  <si>
    <t>利息：取LPR加浮动点数</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</si>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</sst>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 numFmtId="197" formatCode="[DBNum1][$-804]yyyy&quot;年&quot;m&quot;月&quot;d&quot;日&quot;;@"/>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197" fontId="95" fillId="0" borderId="0">
      <alignment vertical="center"/>
    </xf>
  </cellStyleXfs>
  <cellXfs count="50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99" fillId="5" borderId="1" xfId="18" applyFont="1" applyFill="1" applyBorder="1" applyAlignment="1" applyProtection="1">
      <alignment horizontal="center" vertical="center" wrapText="1"/>
      <protection locked="0"/>
    </xf>
  </cellXfs>
  <cellStyles count="21">
    <cellStyle name="百分比" xfId="17" builtinId="5"/>
    <cellStyle name="百分比 2" xfId="14"/>
    <cellStyle name="百分比 3" xfId="19"/>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估价对象为北京市房地产，为所有。根据《国有土地使用证》[]，估价对象（分摊）出让国有建设用地使用权面积为4735.72平方米，建筑面积为1052.8平方米。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估价对象为北京市房地产,属开发建设的，该项目尚在开发建设中。根据《国有土地使用证》[]，估价对象（分摊）出让国有建设用地使用权面积为4735.72平方米，规划建筑面积为1052.8平方米。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2026年2月24日</v>
      </c>
    </row>
    <row r="13" spans="1:2" s="843" customFormat="1">
      <c r="A13" s="841" t="s">
        <v>523</v>
      </c>
      <c r="B13" s="842" t="str">
        <f>'预评函-1'!A18</f>
        <v>本次估价的“房地产价值”是指在正常市场情况下，在价值时点2026年2月24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739</v>
      </c>
    </row>
    <row r="21" spans="1:2" s="843" customFormat="1">
      <c r="A21" s="841" t="s">
        <v>531</v>
      </c>
      <c r="B21" s="842">
        <f ca="1">'预评函-2'!D7</f>
        <v>7019</v>
      </c>
    </row>
    <row r="22" spans="1:2" s="843" customFormat="1">
      <c r="A22" s="841" t="s">
        <v>532</v>
      </c>
      <c r="B22" s="842" t="str">
        <f ca="1">'预评函-2'!D6</f>
        <v>柒佰叁拾玖万元整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739</v>
      </c>
    </row>
    <row r="31" spans="1:2" s="843" customFormat="1">
      <c r="A31" s="841" t="s">
        <v>570</v>
      </c>
      <c r="B31" s="842">
        <f ca="1">'预评函-2'!D15</f>
        <v>7019</v>
      </c>
    </row>
    <row r="32" spans="1:2" s="843" customFormat="1">
      <c r="A32" s="841" t="s">
        <v>537</v>
      </c>
      <c r="B32" s="842" t="str">
        <f ca="1">'预评函-2'!D14</f>
        <v>柒佰叁拾玖万元整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1052.8</v>
      </c>
    </row>
    <row r="44" spans="1:2" s="843" customFormat="1">
      <c r="A44" s="841" t="s">
        <v>569</v>
      </c>
      <c r="B44" s="842" t="str">
        <f>'预评函-3'!C2</f>
        <v>(分摊)土地面积</v>
      </c>
    </row>
    <row r="45" spans="1:2" s="843" customFormat="1">
      <c r="A45" s="841" t="s">
        <v>541</v>
      </c>
      <c r="B45" s="842">
        <f>'预评函-3'!C4</f>
        <v>4735.72</v>
      </c>
    </row>
    <row r="46" spans="1:2" s="843" customFormat="1">
      <c r="A46" s="841" t="s">
        <v>567</v>
      </c>
      <c r="B46" s="842" t="str">
        <f>'预评函-3'!D2</f>
        <v>出让国有建设用地使用权价值</v>
      </c>
    </row>
    <row r="47" spans="1:2" s="843" customFormat="1">
      <c r="A47" s="841" t="s">
        <v>542</v>
      </c>
      <c r="B47" s="842">
        <f ca="1">'预评函-3'!D4</f>
        <v>534</v>
      </c>
    </row>
    <row r="48" spans="1:2" s="843" customFormat="1">
      <c r="A48" s="841" t="s">
        <v>543</v>
      </c>
      <c r="B48" s="842">
        <f ca="1">'预评函-3'!E4</f>
        <v>5072</v>
      </c>
    </row>
    <row r="49" spans="1:2" s="843" customFormat="1">
      <c r="A49" s="841" t="s">
        <v>544</v>
      </c>
      <c r="B49" s="842" t="str">
        <f ca="1">'预评函-3'!D5</f>
        <v>伍佰叁拾肆万元整</v>
      </c>
    </row>
    <row r="50" spans="1:2" s="843" customFormat="1">
      <c r="A50" s="841" t="s">
        <v>568</v>
      </c>
      <c r="B50" s="842">
        <f>'预评函-3'!F2</f>
        <v>0</v>
      </c>
    </row>
    <row r="51" spans="1:2" s="843" customFormat="1">
      <c r="A51" s="841" t="s">
        <v>545</v>
      </c>
      <c r="B51" s="842">
        <f ca="1">'预评函-3'!F4</f>
        <v>205</v>
      </c>
    </row>
    <row r="52" spans="1:2" s="843" customFormat="1">
      <c r="A52" s="841" t="s">
        <v>546</v>
      </c>
      <c r="B52" s="842">
        <f ca="1">'预评函-3'!G4</f>
        <v>1947</v>
      </c>
    </row>
    <row r="53" spans="1:2" s="843" customFormat="1">
      <c r="A53" s="841" t="s">
        <v>574</v>
      </c>
      <c r="B53" s="842" t="str">
        <f ca="1">'预评函-3'!F5</f>
        <v>贰佰零伍万元整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2197</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2197</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59"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9"/>
      <c r="B54" s="1160" t="s">
        <v>379</v>
      </c>
      <c r="C54" s="1157" t="s">
        <v>577</v>
      </c>
    </row>
    <row r="55" spans="1:4">
      <c r="A55" s="4659"/>
      <c r="B55" s="1160" t="s">
        <v>380</v>
      </c>
      <c r="C55" s="1157" t="s">
        <v>578</v>
      </c>
    </row>
    <row r="56" spans="1:4">
      <c r="A56" s="4659"/>
      <c r="B56" s="1160" t="s">
        <v>381</v>
      </c>
      <c r="C56" s="1157" t="s">
        <v>582</v>
      </c>
    </row>
    <row r="57" spans="1:4">
      <c r="A57" s="4659"/>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660" t="s">
        <v>2468</v>
      </c>
      <c r="J2" s="4661"/>
      <c r="K2" s="4661"/>
      <c r="L2" s="4661"/>
      <c r="M2" s="4661"/>
      <c r="N2" s="4661"/>
      <c r="O2" s="4661"/>
      <c r="P2" s="4661"/>
      <c r="Q2" s="4661"/>
      <c r="R2" s="4662"/>
    </row>
    <row r="3" spans="1:19">
      <c r="A3" s="2384" t="s">
        <v>2389</v>
      </c>
      <c r="B3" s="2385">
        <f>项目基本情况!D3</f>
        <v>46077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0.81</v>
      </c>
      <c r="D5" s="3780">
        <f>IF(ISERROR(ROUND(POWER(1+E5,A5-C5)*(POWER(1+E5,C5)-1)/(POWER(1+E5,A5)-1),3)),0,ROUND(POWER(1+E5,A5-C5)*(POWER(1+E5,C5)-1)/(POWER(1+E5,A5)-1),4))</f>
        <v>3.95E-2</v>
      </c>
      <c r="E5" s="3781">
        <v>0.04</v>
      </c>
      <c r="F5" s="2383"/>
      <c r="I5" s="3758" t="s">
        <v>2470</v>
      </c>
      <c r="J5" s="4335">
        <v>70</v>
      </c>
      <c r="K5" s="4335">
        <v>60</v>
      </c>
      <c r="L5" s="4335">
        <v>15</v>
      </c>
      <c r="M5" s="4335">
        <v>25</v>
      </c>
      <c r="N5" s="3779">
        <v>40</v>
      </c>
      <c r="O5" s="3779">
        <v>50</v>
      </c>
      <c r="P5" s="3779">
        <v>40</v>
      </c>
      <c r="Q5" s="3779">
        <v>15</v>
      </c>
      <c r="R5" s="4336">
        <v>315</v>
      </c>
    </row>
    <row r="6" spans="1:19" ht="14.25" thickBot="1">
      <c r="A6" s="3778">
        <v>50</v>
      </c>
      <c r="B6" s="2385">
        <v>50028</v>
      </c>
      <c r="C6" s="3779">
        <f>ROUNDDOWN(MIN((B6-B3)/365,A6),2)</f>
        <v>10.82</v>
      </c>
      <c r="D6" s="3780">
        <f>IF(ISERROR(ROUND(POWER(1+E6,A6-C6)*(POWER(1+E6,C6)-1)/(POWER(1+E6,A6)-1),3)),0,ROUND(POWER(1+E6,A6-C6)*(POWER(1+E6,C6)-1)/(POWER(1+E6,A6)-1),4))</f>
        <v>0.40239999999999998</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30.83</v>
      </c>
      <c r="D7" s="3780">
        <f>IF(ISERROR(ROUND(POWER(1+E7,A7-C7)*(POWER(1+E7,C7)-1)/(POWER(1+E7,A7)-1),3)),0,ROUND(POWER(1+E7,A7-C7)*(POWER(1+E7,C7)-1)/(POWER(1+E7,A7)-1),4))</f>
        <v>0.74970000000000003</v>
      </c>
      <c r="E7" s="3781">
        <v>0.04</v>
      </c>
      <c r="F7" s="2383"/>
      <c r="I7" s="3761" t="s">
        <v>3668</v>
      </c>
      <c r="J7" s="3762" t="s">
        <v>3670</v>
      </c>
      <c r="K7" s="3763">
        <v>1</v>
      </c>
      <c r="L7" s="3764"/>
      <c r="M7" s="3757"/>
      <c r="N7" s="2378"/>
      <c r="O7" s="2378"/>
      <c r="P7" s="2378"/>
      <c r="Q7" s="2378"/>
      <c r="R7" s="2379"/>
    </row>
    <row r="8" spans="1:19" ht="14.25" thickBot="1">
      <c r="A8" s="2381"/>
      <c r="B8" s="2382"/>
      <c r="C8" s="2382"/>
      <c r="D8" s="2382"/>
      <c r="E8" s="2382"/>
      <c r="F8" s="2383"/>
      <c r="I8" s="4660" t="s">
        <v>3669</v>
      </c>
      <c r="J8" s="4661"/>
      <c r="K8" s="4661"/>
      <c r="L8" s="4661"/>
      <c r="M8" s="4661"/>
      <c r="N8" s="4661"/>
      <c r="O8" s="4661"/>
      <c r="P8" s="4661"/>
      <c r="Q8" s="4661"/>
      <c r="R8" s="4662"/>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665" t="s">
        <v>3873</v>
      </c>
    </row>
    <row r="10" spans="1:19">
      <c r="A10" s="2384" t="s">
        <v>2396</v>
      </c>
      <c r="B10" s="2386"/>
      <c r="C10" s="2386"/>
      <c r="D10" s="2386" t="s">
        <v>2394</v>
      </c>
      <c r="E10" s="2386"/>
      <c r="F10" s="2387" t="s">
        <v>2393</v>
      </c>
      <c r="I10" s="3758" t="s">
        <v>2469</v>
      </c>
      <c r="J10" s="4335">
        <f>ROUND(J4/$K$7,0)</f>
        <v>80</v>
      </c>
      <c r="K10" s="4335">
        <f t="shared" ref="K10:Q12" si="0">ROUND(K4/$K$7,0)</f>
        <v>70</v>
      </c>
      <c r="L10" s="4335">
        <f t="shared" si="0"/>
        <v>20</v>
      </c>
      <c r="M10" s="4335">
        <f t="shared" si="0"/>
        <v>30</v>
      </c>
      <c r="N10" s="4335">
        <f t="shared" si="0"/>
        <v>45</v>
      </c>
      <c r="O10" s="4335">
        <f t="shared" si="0"/>
        <v>60</v>
      </c>
      <c r="P10" s="4335">
        <f t="shared" si="0"/>
        <v>50</v>
      </c>
      <c r="Q10" s="4335">
        <f t="shared" si="0"/>
        <v>20</v>
      </c>
      <c r="R10" s="4340">
        <f>SUM(J10:Q10)</f>
        <v>375</v>
      </c>
      <c r="S10" s="4666"/>
    </row>
    <row r="11" spans="1:19">
      <c r="A11" s="3784" t="s">
        <v>2397</v>
      </c>
      <c r="B11" s="3782">
        <v>70</v>
      </c>
      <c r="C11" s="3785" t="s">
        <v>2398</v>
      </c>
      <c r="D11" s="3781">
        <v>4.4999999999999998E-2</v>
      </c>
      <c r="E11" s="3785" t="s">
        <v>2399</v>
      </c>
      <c r="F11" s="3783">
        <f>ROUND(1-(1/(POWER(1+D11,B11))),4)</f>
        <v>0.95409999999999995</v>
      </c>
      <c r="I11" s="3758" t="s">
        <v>2470</v>
      </c>
      <c r="J11" s="4335">
        <f>ROUND(J5/$K$7,0)</f>
        <v>70</v>
      </c>
      <c r="K11" s="4335">
        <f t="shared" si="0"/>
        <v>60</v>
      </c>
      <c r="L11" s="4335">
        <f t="shared" si="0"/>
        <v>15</v>
      </c>
      <c r="M11" s="4335">
        <f t="shared" si="0"/>
        <v>25</v>
      </c>
      <c r="N11" s="4335">
        <f t="shared" si="0"/>
        <v>40</v>
      </c>
      <c r="O11" s="4335">
        <f t="shared" si="0"/>
        <v>50</v>
      </c>
      <c r="P11" s="4335">
        <f t="shared" si="0"/>
        <v>40</v>
      </c>
      <c r="Q11" s="4335">
        <f t="shared" si="0"/>
        <v>15</v>
      </c>
      <c r="R11" s="4340">
        <f t="shared" ref="R11:R12" si="1">SUM(J11:Q11)</f>
        <v>315</v>
      </c>
      <c r="S11" s="4666"/>
    </row>
    <row r="12" spans="1:19" ht="14.25" thickBot="1">
      <c r="A12" s="3784" t="s">
        <v>2400</v>
      </c>
      <c r="B12" s="3782">
        <v>40</v>
      </c>
      <c r="C12" s="3785" t="s">
        <v>2401</v>
      </c>
      <c r="D12" s="3781">
        <v>4.4999999999999998E-2</v>
      </c>
      <c r="E12" s="3785" t="s">
        <v>2402</v>
      </c>
      <c r="F12" s="3783">
        <f>ROUND(1-(1/(POWER(1+D12,B12))),4)</f>
        <v>0.82809999999999995</v>
      </c>
      <c r="I12" s="3765" t="s">
        <v>2471</v>
      </c>
      <c r="J12" s="4335">
        <f>ROUND(J6/$K$7,0)</f>
        <v>60</v>
      </c>
      <c r="K12" s="4335">
        <f t="shared" si="0"/>
        <v>50</v>
      </c>
      <c r="L12" s="4335">
        <f t="shared" si="0"/>
        <v>10</v>
      </c>
      <c r="M12" s="4335">
        <f t="shared" si="0"/>
        <v>20</v>
      </c>
      <c r="N12" s="4335">
        <f t="shared" si="0"/>
        <v>35</v>
      </c>
      <c r="O12" s="4335">
        <f t="shared" si="0"/>
        <v>40</v>
      </c>
      <c r="P12" s="4335">
        <f t="shared" si="0"/>
        <v>30</v>
      </c>
      <c r="Q12" s="4335">
        <f t="shared" si="0"/>
        <v>10</v>
      </c>
      <c r="R12" s="4340">
        <f t="shared" si="1"/>
        <v>255</v>
      </c>
      <c r="S12" s="4666"/>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666"/>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666"/>
    </row>
    <row r="15" spans="1:19">
      <c r="A15" s="3784" t="s">
        <v>2405</v>
      </c>
      <c r="B15" s="3788">
        <f>ROUND(B14*F12/F11,2)</f>
        <v>4339.6899999999996</v>
      </c>
      <c r="C15" s="3780">
        <f>ROUND(F12/F11,4)</f>
        <v>0.8679</v>
      </c>
      <c r="D15" s="2382"/>
      <c r="E15" s="2382"/>
      <c r="F15" s="2383"/>
      <c r="I15" s="3758" t="s">
        <v>2469</v>
      </c>
      <c r="J15" s="4335">
        <f>ROUND(J10*$L$13,0)</f>
        <v>74</v>
      </c>
      <c r="K15" s="4335">
        <f t="shared" ref="K15:Q15" si="2">ROUND(K10*$L$13,0)</f>
        <v>65</v>
      </c>
      <c r="L15" s="4335">
        <f t="shared" si="2"/>
        <v>19</v>
      </c>
      <c r="M15" s="4335">
        <f t="shared" si="2"/>
        <v>28</v>
      </c>
      <c r="N15" s="4335">
        <f t="shared" si="2"/>
        <v>42</v>
      </c>
      <c r="O15" s="4335">
        <f t="shared" si="2"/>
        <v>56</v>
      </c>
      <c r="P15" s="4335">
        <f t="shared" si="2"/>
        <v>46</v>
      </c>
      <c r="Q15" s="4335">
        <f t="shared" si="2"/>
        <v>19</v>
      </c>
      <c r="R15" s="4341">
        <f>SUM(J15:Q15)</f>
        <v>349</v>
      </c>
      <c r="S15" s="4666"/>
    </row>
    <row r="16" spans="1:19">
      <c r="A16" s="2384" t="s">
        <v>2406</v>
      </c>
      <c r="B16" s="2834"/>
      <c r="C16" s="2834"/>
      <c r="D16" s="2382"/>
      <c r="E16" s="2382"/>
      <c r="F16" s="2383"/>
      <c r="I16" s="3758" t="s">
        <v>2470</v>
      </c>
      <c r="J16" s="4335">
        <f t="shared" ref="J16:Q16" si="3">ROUND(J11*$L$13,0)</f>
        <v>65</v>
      </c>
      <c r="K16" s="4335">
        <f t="shared" si="3"/>
        <v>56</v>
      </c>
      <c r="L16" s="4335">
        <f t="shared" si="3"/>
        <v>14</v>
      </c>
      <c r="M16" s="4335">
        <f t="shared" si="3"/>
        <v>23</v>
      </c>
      <c r="N16" s="4335">
        <f t="shared" si="3"/>
        <v>37</v>
      </c>
      <c r="O16" s="4335">
        <f t="shared" si="3"/>
        <v>46</v>
      </c>
      <c r="P16" s="4335">
        <f t="shared" si="3"/>
        <v>37</v>
      </c>
      <c r="Q16" s="4335">
        <f t="shared" si="3"/>
        <v>14</v>
      </c>
      <c r="R16" s="4341">
        <f t="shared" ref="R16:R17" si="4">SUM(J16:Q16)</f>
        <v>292</v>
      </c>
      <c r="S16" s="4666"/>
    </row>
    <row r="17" spans="1:19" ht="14.25" thickBot="1">
      <c r="A17" s="3784" t="s">
        <v>2405</v>
      </c>
      <c r="B17" s="3789">
        <v>4810</v>
      </c>
      <c r="C17" s="3787"/>
      <c r="D17" s="2382"/>
      <c r="E17" s="2382"/>
      <c r="F17" s="2383"/>
      <c r="I17" s="3760" t="s">
        <v>2471</v>
      </c>
      <c r="J17" s="4335">
        <f t="shared" ref="J17:Q17" si="5">ROUND(J12*$L$13,0)</f>
        <v>56</v>
      </c>
      <c r="K17" s="4335">
        <f t="shared" si="5"/>
        <v>46</v>
      </c>
      <c r="L17" s="4335">
        <f t="shared" si="5"/>
        <v>9</v>
      </c>
      <c r="M17" s="4335">
        <f t="shared" si="5"/>
        <v>19</v>
      </c>
      <c r="N17" s="4335">
        <f t="shared" si="5"/>
        <v>32</v>
      </c>
      <c r="O17" s="4335">
        <f t="shared" si="5"/>
        <v>37</v>
      </c>
      <c r="P17" s="4335">
        <f t="shared" si="5"/>
        <v>28</v>
      </c>
      <c r="Q17" s="4335">
        <f t="shared" si="5"/>
        <v>9</v>
      </c>
      <c r="R17" s="4341">
        <f t="shared" si="4"/>
        <v>236</v>
      </c>
      <c r="S17" s="4667"/>
    </row>
    <row r="18" spans="1:19" ht="14.25" thickBot="1">
      <c r="A18" s="3790" t="s">
        <v>2404</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4.2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4" customFormat="1" ht="16.5" thickTop="1" thickBot="1">
      <c r="A49" s="4332" t="s">
        <v>3348</v>
      </c>
      <c r="B49" s="4333"/>
      <c r="C49" s="4333"/>
      <c r="D49" s="4333"/>
      <c r="E49" s="4333"/>
      <c r="I49" s="4663" t="s">
        <v>3981</v>
      </c>
      <c r="J49" s="4663"/>
      <c r="K49" s="4663"/>
      <c r="L49" s="4663"/>
      <c r="M49" s="4663"/>
      <c r="N49" s="2388"/>
      <c r="O49" s="2388"/>
    </row>
    <row r="50" spans="1:16" ht="14.25">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ht="15">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ht="14.25">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ht="15">
      <c r="A54" s="2849" t="s">
        <v>3354</v>
      </c>
      <c r="B54" s="2852">
        <f>B51</f>
        <v>9993</v>
      </c>
      <c r="C54" s="2852">
        <f>E54/B54</f>
        <v>1283.8637045932153</v>
      </c>
      <c r="D54" s="4295"/>
      <c r="E54" s="2864">
        <f>E55+E56</f>
        <v>12829650</v>
      </c>
      <c r="F54" s="4294">
        <f>E54/$E$62</f>
        <v>0.15779328102775064</v>
      </c>
      <c r="G54" s="2839"/>
      <c r="H54" s="2839"/>
    </row>
    <row r="55" spans="1:16" ht="15">
      <c r="A55" s="2848" t="s">
        <v>3824</v>
      </c>
      <c r="B55" s="4293">
        <f>B52</f>
        <v>5508</v>
      </c>
      <c r="C55" s="2852"/>
      <c r="D55" s="4296">
        <v>1800</v>
      </c>
      <c r="E55" s="2863">
        <f>D55*B55</f>
        <v>9914400</v>
      </c>
      <c r="F55" s="2858"/>
      <c r="G55" s="2839" t="s">
        <v>3829</v>
      </c>
      <c r="H55" s="2839"/>
    </row>
    <row r="56" spans="1:16" ht="15">
      <c r="A56" s="2848" t="s">
        <v>3825</v>
      </c>
      <c r="B56" s="4293">
        <f>B53</f>
        <v>4485</v>
      </c>
      <c r="C56" s="2852"/>
      <c r="D56" s="4296">
        <v>650</v>
      </c>
      <c r="E56" s="2863">
        <f>D56*B56</f>
        <v>2915250</v>
      </c>
      <c r="F56" s="2858"/>
      <c r="G56" s="2839" t="s">
        <v>3830</v>
      </c>
      <c r="H56" s="2839"/>
    </row>
    <row r="57" spans="1:16" ht="15">
      <c r="A57" s="4292" t="s">
        <v>3823</v>
      </c>
      <c r="B57" s="2852">
        <f>B51</f>
        <v>9993</v>
      </c>
      <c r="C57" s="2852">
        <f>E57/B57</f>
        <v>2704.7433203242272</v>
      </c>
      <c r="D57" s="4295"/>
      <c r="E57" s="2864">
        <f>E58+E59</f>
        <v>27028500</v>
      </c>
      <c r="F57" s="2858">
        <f>E57/$E$62</f>
        <v>0.33242650393881035</v>
      </c>
      <c r="G57" s="2839"/>
      <c r="H57" s="2839"/>
      <c r="I57" s="4664" t="s">
        <v>3366</v>
      </c>
      <c r="J57" s="4664"/>
      <c r="K57" s="4664"/>
      <c r="L57" s="4664"/>
      <c r="M57" s="4664"/>
      <c r="N57" s="4470"/>
    </row>
    <row r="58" spans="1:16" ht="14.25">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ht="14.25">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ht="15">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ht="15">
      <c r="A61" s="2849" t="s">
        <v>3355</v>
      </c>
      <c r="B61" s="4297">
        <f>B51</f>
        <v>9993</v>
      </c>
      <c r="C61" s="2852">
        <f>E61/B61</f>
        <v>159.53656559591715</v>
      </c>
      <c r="D61" s="2843">
        <v>0.02</v>
      </c>
      <c r="E61" s="2864">
        <f>(E51+E54+E57+E60)*D61</f>
        <v>1594248.9000000001</v>
      </c>
      <c r="F61" s="2858">
        <f>E61/$E$62</f>
        <v>1.9607843137254902E-2</v>
      </c>
      <c r="G61" s="2839" t="s">
        <v>3831</v>
      </c>
    </row>
    <row r="62" spans="1:16" ht="15.7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4.2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4.2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8" sqref="B8"/>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68" t="str">
        <f>IF(B10="北京市","北京市",C10)&amp;F10&amp;IF(结果表!G1="在建","出让国有建设用地使用权及在建建筑物",IF(结果表!G1="土地","出让国有建设用地使用权",))&amp;B9&amp;"预评估"</f>
        <v>北京市房地产抵押价值预评估</v>
      </c>
      <c r="C1" s="4669"/>
      <c r="D1" s="4669"/>
      <c r="E1" s="4669"/>
      <c r="F1" s="4669"/>
      <c r="G1" s="4669"/>
      <c r="H1" s="4669"/>
      <c r="I1" s="4670"/>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5"/>
      <c r="C3" s="1866" t="s">
        <v>2075</v>
      </c>
      <c r="D3" s="1865">
        <v>46077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3998</v>
      </c>
      <c r="C8" s="1882"/>
      <c r="D8" s="4671" t="s">
        <v>2081</v>
      </c>
      <c r="E8" s="1883" t="s">
        <v>3999</v>
      </c>
      <c r="F8" s="1884"/>
      <c r="G8" s="2096"/>
      <c r="H8" s="2096"/>
      <c r="I8" s="2096"/>
      <c r="J8" s="1926"/>
      <c r="K8" s="2049"/>
      <c r="L8" s="2048"/>
      <c r="M8" s="2048"/>
      <c r="N8" s="1926"/>
      <c r="O8" s="1937"/>
      <c r="P8" s="1926"/>
      <c r="Q8" s="1926"/>
      <c r="R8" s="1926"/>
    </row>
    <row r="9" spans="1:30" ht="13.5" thickBot="1">
      <c r="A9" s="1885" t="s">
        <v>2082</v>
      </c>
      <c r="B9" s="1886" t="s">
        <v>3999</v>
      </c>
      <c r="C9" s="1887"/>
      <c r="D9" s="4672"/>
      <c r="E9" s="1886" t="s">
        <v>41</v>
      </c>
      <c r="F9" s="1888"/>
      <c r="G9" s="2098"/>
      <c r="H9" s="2098"/>
      <c r="I9" s="2098"/>
      <c r="J9" s="1926"/>
      <c r="K9" s="2051"/>
      <c r="L9" s="2048"/>
      <c r="M9" s="2048"/>
      <c r="N9" s="1926"/>
      <c r="O9" s="1937"/>
      <c r="P9" s="1926"/>
      <c r="Q9" s="1926"/>
      <c r="R9" s="1926"/>
    </row>
    <row r="10" spans="1:30" ht="13.5" thickTop="1">
      <c r="A10" s="1889" t="s">
        <v>2083</v>
      </c>
      <c r="B10" s="3674" t="s">
        <v>4000</v>
      </c>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t="s">
        <v>4001</v>
      </c>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2464</v>
      </c>
      <c r="J12" s="2415"/>
      <c r="K12" s="2048"/>
      <c r="L12" s="2048"/>
      <c r="M12" s="1926"/>
      <c r="N12" s="1937"/>
      <c r="O12" s="1926"/>
      <c r="P12" s="1926"/>
      <c r="Q12" s="1926"/>
      <c r="AD12" s="1334"/>
    </row>
    <row r="13" spans="1:30">
      <c r="A13" s="2698" t="s">
        <v>3218</v>
      </c>
      <c r="B13" s="1897" t="s">
        <v>2094</v>
      </c>
      <c r="C13" s="579"/>
      <c r="D13" s="579"/>
      <c r="E13" s="579"/>
      <c r="F13" s="579"/>
      <c r="G13" s="579"/>
      <c r="H13" s="579">
        <v>55648</v>
      </c>
      <c r="I13" s="579"/>
      <c r="J13" s="2415"/>
      <c r="K13" s="2048"/>
      <c r="L13" s="2048"/>
      <c r="M13" s="1926"/>
      <c r="N13" s="1937"/>
      <c r="O13" s="1926"/>
      <c r="P13" s="1926"/>
      <c r="Q13" s="1926"/>
      <c r="AD13" s="1334"/>
    </row>
    <row r="14" spans="1:30">
      <c r="A14" s="756"/>
      <c r="B14" s="1897" t="s">
        <v>2095</v>
      </c>
      <c r="C14" s="1898"/>
      <c r="D14" s="1898"/>
      <c r="E14" s="1898"/>
      <c r="F14" s="1898"/>
      <c r="G14" s="1898"/>
      <c r="H14" s="1898">
        <v>50</v>
      </c>
      <c r="I14" s="1898"/>
      <c r="J14" s="2416"/>
      <c r="K14" s="2048"/>
      <c r="L14" s="2048"/>
      <c r="M14" s="1926"/>
      <c r="N14" s="1937"/>
      <c r="O14" s="1926"/>
      <c r="P14" s="1926"/>
      <c r="Q14" s="1926"/>
      <c r="AD14" s="1334"/>
    </row>
    <row r="15" spans="1:30">
      <c r="A15" s="207"/>
      <c r="B15" s="1899" t="s">
        <v>2096</v>
      </c>
      <c r="C15" s="3904" t="str">
        <f>IF(A13="出让",IF(C13="","",ROUNDDOWN(MIN((C13-$D$3)/365,C14),2)),C14)</f>
        <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f>IF(A13="出让",IF(H13="","",ROUNDDOWN(MIN((H13-$D$3)/365,H14),2)),H14)</f>
        <v>26.22</v>
      </c>
      <c r="I15" s="3904" t="str">
        <f>IF(A13="出让",IF(I13="","",ROUNDDOWN(MIN((I13-$D$3)/365,I14),2)),I14)</f>
        <v/>
      </c>
      <c r="J15" s="2417"/>
      <c r="K15" s="1938"/>
      <c r="L15" s="1938"/>
      <c r="M15" s="1996"/>
      <c r="N15" s="1938"/>
      <c r="O15" s="1996"/>
      <c r="P15" s="1926"/>
      <c r="Q15" s="1926"/>
      <c r="AD15" s="1334"/>
    </row>
    <row r="16" spans="1:30">
      <c r="A16" s="1891" t="s">
        <v>2097</v>
      </c>
      <c r="B16" s="4678"/>
      <c r="C16" s="4679"/>
      <c r="D16" s="4680"/>
      <c r="E16" s="1902" t="s">
        <v>2098</v>
      </c>
      <c r="F16" s="4681"/>
      <c r="G16" s="4682"/>
      <c r="H16" s="4682"/>
      <c r="I16" s="4683"/>
      <c r="J16" s="1926"/>
      <c r="K16" s="2052"/>
      <c r="L16" s="1938"/>
      <c r="M16" s="1938"/>
      <c r="N16" s="1996"/>
      <c r="O16" s="1938"/>
      <c r="P16" s="1996"/>
      <c r="Q16" s="1926"/>
      <c r="R16" s="1926"/>
    </row>
    <row r="17" spans="1:28">
      <c r="A17" s="201" t="s">
        <v>2099</v>
      </c>
      <c r="B17" s="190" t="s">
        <v>2100</v>
      </c>
      <c r="C17" s="9">
        <f>'数据-汇总表'!E3</f>
        <v>1052.8</v>
      </c>
      <c r="D17" s="1818" t="s">
        <v>2101</v>
      </c>
      <c r="E17" s="4684" t="s">
        <v>2102</v>
      </c>
      <c r="F17" s="4685"/>
      <c r="G17" s="4685"/>
      <c r="H17" s="4685"/>
      <c r="I17" s="4686"/>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4735.72</v>
      </c>
      <c r="D18" s="767" t="s">
        <v>2105</v>
      </c>
      <c r="E18" s="4687" t="s">
        <v>2106</v>
      </c>
      <c r="F18" s="4688"/>
      <c r="G18" s="4688"/>
      <c r="H18" s="4688"/>
      <c r="I18" s="4689"/>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74" t="s">
        <v>2110</v>
      </c>
      <c r="C20" s="4675"/>
      <c r="D20" s="4676" t="s">
        <v>2111</v>
      </c>
      <c r="E20" s="4677"/>
      <c r="F20" s="2082" t="s">
        <v>1040</v>
      </c>
      <c r="G20" s="2097"/>
      <c r="H20" s="2097"/>
      <c r="I20" s="2097"/>
      <c r="J20" s="1926"/>
      <c r="K20" s="467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7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7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1"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1"/>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1"/>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2"/>
      <c r="B30" s="190" t="s">
        <v>2122</v>
      </c>
      <c r="C30" s="4693"/>
      <c r="D30" s="4694"/>
      <c r="E30" s="2097"/>
      <c r="F30" s="2097"/>
      <c r="G30" s="2097"/>
      <c r="H30" s="2097"/>
      <c r="I30" s="2097"/>
      <c r="J30" s="1926"/>
      <c r="K30" s="2051"/>
      <c r="L30" s="2048"/>
      <c r="M30" s="2048"/>
      <c r="N30" s="1926"/>
      <c r="O30" s="1937"/>
      <c r="P30" s="1926"/>
      <c r="Q30" s="1926"/>
      <c r="R30" s="1926"/>
      <c r="S30" s="1926"/>
      <c r="T30" s="1926"/>
      <c r="U30" s="1926"/>
      <c r="V30" s="1926"/>
    </row>
    <row r="31" spans="1:28">
      <c r="A31" s="4695"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6"/>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6"/>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0" t="s">
        <v>2132</v>
      </c>
      <c r="T34" s="1915" t="str">
        <f>NUMBERSTRING(7-K34,1)&amp;"通"</f>
        <v>七通</v>
      </c>
      <c r="U34" s="1926"/>
      <c r="V34" s="1926"/>
    </row>
    <row r="35" spans="1:30">
      <c r="A35" s="1916"/>
      <c r="B35" s="4690" t="s">
        <v>2133</v>
      </c>
      <c r="C35" s="4690"/>
      <c r="D35" s="4690"/>
      <c r="E35" s="4690"/>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0"/>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2467</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t="s">
        <v>304</v>
      </c>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t="s">
        <v>2843</v>
      </c>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1">
        <v>4735.72</v>
      </c>
      <c r="B3" s="1677">
        <f>IF(C3="否",G5-AT5,G5)</f>
        <v>1052.8</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2.75">
      <c r="A5" s="4108" t="s">
        <v>1054</v>
      </c>
      <c r="B5" s="4109"/>
      <c r="C5" s="4109"/>
      <c r="D5" s="4110"/>
      <c r="E5" s="3904" t="s">
        <v>0</v>
      </c>
      <c r="F5" s="3904">
        <f>SUM(F13:F587)</f>
        <v>0</v>
      </c>
      <c r="G5" s="3904">
        <f>SUM(G13:G587)</f>
        <v>1052.8</v>
      </c>
      <c r="H5" s="3904">
        <f t="shared" ref="H5:AT5" si="0">SUM(H13:H656)</f>
        <v>1052.8</v>
      </c>
      <c r="I5" s="3904">
        <f t="shared" si="0"/>
        <v>1052.8</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1054</v>
      </c>
      <c r="AW5" s="4109"/>
      <c r="AX5" s="4109"/>
      <c r="AY5" s="471" t="s">
        <v>2</v>
      </c>
      <c r="AZ5" s="472">
        <f t="shared" ref="AZ5:BT5" si="1">SUM(AZ13:AZ656)</f>
        <v>1052.8</v>
      </c>
      <c r="BA5" s="472">
        <f t="shared" si="1"/>
        <v>1052.8</v>
      </c>
      <c r="BB5" s="472">
        <f t="shared" si="1"/>
        <v>1052.8</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2.75">
      <c r="A6" s="4108" t="s">
        <v>1055</v>
      </c>
      <c r="B6" s="4109"/>
      <c r="C6" s="4109"/>
      <c r="D6" s="4110"/>
      <c r="E6" s="3904">
        <f>H6+AC6+AT6</f>
        <v>4735.72</v>
      </c>
      <c r="F6" s="3904" t="s">
        <v>0</v>
      </c>
      <c r="G6" s="3904" t="s">
        <v>1</v>
      </c>
      <c r="H6" s="4099">
        <f>SUMIF(I$12:AB$12,"总值",I6:AB6)</f>
        <v>4735.72</v>
      </c>
      <c r="I6" s="3904">
        <f t="shared" ref="I6:AB6" si="2">ROUND($A$3*I5/$B$3,2)</f>
        <v>4735.72</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1055</v>
      </c>
      <c r="AW6" s="4109"/>
      <c r="AX6" s="4109"/>
      <c r="AY6" s="4114">
        <f>IF(AY3&gt;0,AY3,ROUND($A$3*AZ5/$B$3,2))</f>
        <v>4735.72</v>
      </c>
      <c r="AZ6" s="3904" t="s">
        <v>2</v>
      </c>
      <c r="BA6" s="3904">
        <f>ROUND($AY$6*BA5/$AZ$5,2)</f>
        <v>4735.72</v>
      </c>
      <c r="BB6" s="3904">
        <f>ROUND($AY$6*BB5/$AZ$5,2)</f>
        <v>4735.72</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4002</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工业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4003</v>
      </c>
      <c r="E13" s="3904">
        <f>IF($C$3="是",ROUND($A$3*G13/$B$3,2),ROUND($A$3*(G13-AT13)/$B$3,2))</f>
        <v>4735.72</v>
      </c>
      <c r="F13" s="612"/>
      <c r="G13" s="4098">
        <f>H13+AC13+AT13</f>
        <v>1052.8</v>
      </c>
      <c r="H13" s="4099">
        <f>SUMIF(I$12:AB$12,"总值",I13:AB13)</f>
        <v>1052.8</v>
      </c>
      <c r="I13" s="4100">
        <v>1052.8</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4735.72</v>
      </c>
      <c r="AZ13" s="9">
        <f>BA13+BL13</f>
        <v>1052.8</v>
      </c>
      <c r="BA13" s="9">
        <f>SUM(BB13:BK13)</f>
        <v>1052.8</v>
      </c>
      <c r="BB13" s="9">
        <f>IF($D13="是",I13-J13,0)</f>
        <v>1052.8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06" t="s">
        <v>1114</v>
      </c>
      <c r="B2" s="4706"/>
      <c r="C2" s="4706"/>
      <c r="D2" s="549" t="s">
        <v>1090</v>
      </c>
      <c r="E2" s="1237" t="s">
        <v>1091</v>
      </c>
      <c r="F2" s="2092"/>
      <c r="G2" s="2085"/>
      <c r="H2" s="2086"/>
      <c r="I2" s="1821" t="s">
        <v>1115</v>
      </c>
      <c r="J2" s="2092"/>
      <c r="K2" s="2092"/>
      <c r="L2" s="2092"/>
      <c r="M2" s="2092"/>
      <c r="N2" s="2094"/>
      <c r="O2" s="2092"/>
      <c r="P2" s="2092"/>
    </row>
    <row r="3" spans="1:16" ht="15.75" thickBot="1">
      <c r="A3" s="4707" t="s">
        <v>1088</v>
      </c>
      <c r="B3" s="4707"/>
      <c r="C3" s="4707"/>
      <c r="D3" s="4138">
        <f>'数据-基础表'!AY6</f>
        <v>4735.72</v>
      </c>
      <c r="E3" s="4138">
        <f>'数据-基础表'!AZ5</f>
        <v>1052.8</v>
      </c>
      <c r="F3" s="2092"/>
      <c r="G3" s="805"/>
      <c r="H3" s="714" t="s">
        <v>1089</v>
      </c>
      <c r="I3" s="2828">
        <f>ROUND('数据-基础表'!B3/'数据-基础表'!A3,2)</f>
        <v>0.22</v>
      </c>
      <c r="J3" s="2092"/>
      <c r="K3" s="2092"/>
      <c r="L3" s="2092"/>
      <c r="M3" s="2092"/>
      <c r="N3" s="2094"/>
      <c r="O3" s="2092"/>
      <c r="P3" s="2092"/>
    </row>
    <row r="4" spans="1:16" ht="15">
      <c r="A4" s="4708"/>
      <c r="B4" s="4709"/>
      <c r="C4" s="4710"/>
      <c r="D4" s="1239" t="s">
        <v>1090</v>
      </c>
      <c r="E4" s="1240" t="s">
        <v>1091</v>
      </c>
      <c r="F4" s="2092"/>
      <c r="G4" s="2087" t="s">
        <v>1116</v>
      </c>
      <c r="H4" s="714" t="s">
        <v>1096</v>
      </c>
      <c r="I4" s="2828">
        <f>ROUND(SUMIF('数据-基础表'!I9:AS9,"地上",'数据-基础表'!I5:AS5)/'数据-基础表'!A3,2)</f>
        <v>0.22</v>
      </c>
      <c r="J4" s="2092"/>
      <c r="K4" s="2092"/>
      <c r="L4" s="2092"/>
      <c r="M4" s="2092"/>
      <c r="N4" s="2094"/>
      <c r="O4" s="2092"/>
      <c r="P4" s="2092"/>
    </row>
    <row r="5" spans="1:16">
      <c r="A5" s="24" t="s">
        <v>1092</v>
      </c>
      <c r="B5" s="4711" t="s">
        <v>1093</v>
      </c>
      <c r="C5" s="4711"/>
      <c r="D5" s="4116">
        <f>ROUND($D$3*E5/$E$3,2)</f>
        <v>0</v>
      </c>
      <c r="E5" s="3973">
        <f>SUMIF('数据-基础表'!$11:$11,"住宅",'数据-基础表'!$5:$5)</f>
        <v>0</v>
      </c>
      <c r="F5" s="2092"/>
      <c r="G5" s="805"/>
      <c r="H5" s="714" t="s">
        <v>1089</v>
      </c>
      <c r="I5" s="2828">
        <f>ROUND(E31/D31,2)</f>
        <v>0.22</v>
      </c>
      <c r="J5" s="2092"/>
      <c r="K5" s="2092"/>
      <c r="L5" s="2092"/>
      <c r="M5" s="2092"/>
      <c r="N5" s="2092"/>
      <c r="O5" s="2092"/>
      <c r="P5" s="2092"/>
    </row>
    <row r="6" spans="1:16" ht="15" thickBot="1">
      <c r="A6" s="1242"/>
      <c r="B6" s="4711" t="s">
        <v>1094</v>
      </c>
      <c r="C6" s="4711"/>
      <c r="D6" s="4116">
        <f>ROUND($D$3*E6/$E$3,2)</f>
        <v>4735.72</v>
      </c>
      <c r="E6" s="3973">
        <f>E3-E5</f>
        <v>1052.8</v>
      </c>
      <c r="F6" s="2092"/>
      <c r="G6" s="2088" t="s">
        <v>1095</v>
      </c>
      <c r="H6" s="806" t="s">
        <v>1096</v>
      </c>
      <c r="I6" s="2829">
        <f>ROUND(F31/D31,2)</f>
        <v>0.22</v>
      </c>
      <c r="J6" s="2092"/>
      <c r="K6" s="2092"/>
      <c r="L6" s="2092"/>
      <c r="M6" s="2092"/>
      <c r="N6" s="2092"/>
      <c r="O6" s="2092"/>
      <c r="P6" s="2092"/>
    </row>
    <row r="7" spans="1:16" ht="15.75" thickBot="1">
      <c r="A7" s="4703"/>
      <c r="B7" s="4704"/>
      <c r="C7" s="4705"/>
      <c r="D7" s="1239" t="s">
        <v>1090</v>
      </c>
      <c r="E7" s="1243" t="s">
        <v>1097</v>
      </c>
      <c r="F7" s="2092"/>
      <c r="G7" s="2089" t="s">
        <v>1098</v>
      </c>
      <c r="H7" s="2090"/>
      <c r="I7" s="2830">
        <v>1</v>
      </c>
      <c r="J7" s="2092"/>
      <c r="K7" s="2092"/>
      <c r="L7" s="2092"/>
      <c r="M7" s="2092"/>
      <c r="N7" s="2092"/>
      <c r="O7" s="2092"/>
      <c r="P7" s="2092"/>
    </row>
    <row r="8" spans="1:16">
      <c r="A8" s="24" t="s">
        <v>1099</v>
      </c>
      <c r="B8" s="26" t="s">
        <v>1100</v>
      </c>
      <c r="C8" s="25" t="s">
        <v>1101</v>
      </c>
      <c r="D8" s="4116">
        <f t="shared" ref="D8:D15" si="0">ROUND($D$3*E8/$E$3,2)</f>
        <v>4735.72</v>
      </c>
      <c r="E8" s="3973">
        <f>SUMIF('数据-基础表'!BB10:BK10,"地上",'数据-基础表'!BB5:BK5)</f>
        <v>1052.8</v>
      </c>
      <c r="F8" s="2092"/>
      <c r="G8" s="2093"/>
      <c r="H8" s="2093"/>
      <c r="I8" s="2092"/>
      <c r="J8" s="2092"/>
      <c r="K8" s="2092"/>
      <c r="L8" s="2092"/>
      <c r="M8" s="2092"/>
      <c r="N8" s="2092"/>
      <c r="O8" s="2092"/>
      <c r="P8" s="2092"/>
    </row>
    <row r="9" spans="1:16">
      <c r="A9" s="1244"/>
      <c r="B9" s="1245"/>
      <c r="C9" s="25" t="s">
        <v>1102</v>
      </c>
      <c r="D9" s="4116">
        <f t="shared" si="0"/>
        <v>0</v>
      </c>
      <c r="E9" s="4139"/>
      <c r="F9" s="2092"/>
      <c r="G9" s="2093"/>
      <c r="H9" s="2093"/>
      <c r="I9" s="2092"/>
      <c r="J9" s="2092"/>
      <c r="K9" s="2092"/>
      <c r="L9" s="2092"/>
      <c r="M9" s="2092"/>
      <c r="N9" s="2092"/>
      <c r="O9" s="2092"/>
      <c r="P9" s="2092"/>
    </row>
    <row r="10" spans="1:16">
      <c r="A10" s="1244"/>
      <c r="B10" s="1245"/>
      <c r="C10" s="25" t="s">
        <v>1111</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5">
        <f>SUM(D8:D15)</f>
        <v>4735.72</v>
      </c>
      <c r="E16" s="4128">
        <f>SUM(E8:E15)</f>
        <v>1052.8</v>
      </c>
      <c r="F16" s="2092"/>
      <c r="G16" s="2093"/>
      <c r="H16" s="1246" t="s">
        <v>1118</v>
      </c>
      <c r="I16" s="1247"/>
      <c r="J16" s="804"/>
      <c r="K16" s="4700" t="s">
        <v>1118</v>
      </c>
      <c r="L16" s="4701"/>
      <c r="M16" s="4701"/>
      <c r="N16" s="4701"/>
      <c r="O16" s="4701"/>
      <c r="P16" s="4702"/>
    </row>
    <row r="17" spans="1:19" ht="15">
      <c r="A17" s="1248" t="s">
        <v>1119</v>
      </c>
      <c r="B17" s="1249" t="s">
        <v>1120</v>
      </c>
      <c r="C17" s="1250" t="s">
        <v>1121</v>
      </c>
      <c r="D17" s="1251" t="s">
        <v>1109</v>
      </c>
      <c r="E17" s="1252" t="s">
        <v>1110</v>
      </c>
      <c r="F17" s="1253"/>
      <c r="G17" s="1254"/>
      <c r="H17" s="1255" t="s">
        <v>1122</v>
      </c>
      <c r="I17" s="1256" t="s">
        <v>1107</v>
      </c>
      <c r="J17" s="804"/>
      <c r="K17" s="4697" t="s">
        <v>1123</v>
      </c>
      <c r="L17" s="4698"/>
      <c r="M17" s="4699"/>
      <c r="N17" s="4697" t="s">
        <v>1124</v>
      </c>
      <c r="O17" s="4698"/>
      <c r="P17" s="4699"/>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4004</v>
      </c>
      <c r="D19" s="4116">
        <f>ROUND($D$3*E19/$E$3,2)</f>
        <v>4735.72</v>
      </c>
      <c r="E19" s="4116">
        <f t="shared" ref="E19:E26" si="1">SUM(F19:G19)</f>
        <v>1052.8</v>
      </c>
      <c r="F19" s="4117">
        <f>'数据-基础表'!I13</f>
        <v>1052.8</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4735.72</v>
      </c>
      <c r="S19" s="4116">
        <f t="shared" si="5"/>
        <v>1052.8</v>
      </c>
    </row>
    <row r="20" spans="1:19">
      <c r="A20" s="1266"/>
      <c r="B20" s="26" t="s">
        <v>1136</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c r="A21" s="1266"/>
      <c r="B21" s="26" t="s">
        <v>1136</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c r="A22" s="1266"/>
      <c r="B22" s="26" t="s">
        <v>1136</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c r="A23" s="1266"/>
      <c r="B23" s="26" t="s">
        <v>1136</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c r="A24" s="1266"/>
      <c r="B24" s="26" t="s">
        <v>1136</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c r="A25" s="1266"/>
      <c r="B25" s="26" t="s">
        <v>1136</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c r="A26" s="1266"/>
      <c r="B26" s="26" t="s">
        <v>1136</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75" thickBot="1">
      <c r="A27" s="1266"/>
      <c r="B27" s="25"/>
      <c r="C27" s="1267" t="s">
        <v>1137</v>
      </c>
      <c r="D27" s="4122">
        <f>SUM(D19:D26)</f>
        <v>4735.72</v>
      </c>
      <c r="E27" s="4122">
        <f>IF(SUM(E19:E26)='数据-基础表'!BA5,SUM(E19:E26),IF(F27="地上面积有误","面积有误","地下面积有误"))</f>
        <v>1052.8</v>
      </c>
      <c r="F27" s="4122">
        <f>IF(SUM(F19:F26)=E8,SUM(F19:F26),"地上面积有误")</f>
        <v>1052.8</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4735.72</v>
      </c>
      <c r="S27" s="4116">
        <f>IF(SUM(S19:S26)=$E$3,SUM(S19:S26),SUM(S19:S26)&amp;"误差"&amp;ROUND(SUM(S19:S26)-E3,2))</f>
        <v>1052.8</v>
      </c>
    </row>
    <row r="28" spans="1:19">
      <c r="A28" s="1266"/>
      <c r="B28" s="26" t="s">
        <v>1138</v>
      </c>
      <c r="C28" s="719" t="s">
        <v>1139</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c r="A29" s="1266"/>
      <c r="B29" s="26" t="s">
        <v>1138</v>
      </c>
      <c r="C29" s="1268" t="s">
        <v>1140</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5">
      <c r="A30" s="1266"/>
      <c r="B30" s="26"/>
      <c r="C30" s="1269" t="s">
        <v>1137</v>
      </c>
      <c r="D30" s="4122">
        <f>SUM(D28:D29)</f>
        <v>0</v>
      </c>
      <c r="E30" s="4122">
        <f>SUM(E28:E29)</f>
        <v>0</v>
      </c>
      <c r="F30" s="4122">
        <f>SUM(F28:F29)</f>
        <v>0</v>
      </c>
      <c r="G30" s="3970">
        <f>SUM(G28:G29)</f>
        <v>0</v>
      </c>
      <c r="H30" s="4126"/>
      <c r="I30" s="4126"/>
      <c r="J30" s="2092"/>
      <c r="K30" s="2092"/>
      <c r="L30" s="2092"/>
      <c r="M30" s="2092"/>
      <c r="N30" s="2092"/>
      <c r="O30" s="2092"/>
      <c r="P30" s="2092"/>
    </row>
    <row r="31" spans="1:19" ht="15.75" thickBot="1">
      <c r="A31" s="1270"/>
      <c r="B31" s="1271"/>
      <c r="C31" s="564" t="s">
        <v>1141</v>
      </c>
      <c r="D31" s="4129">
        <f>D27+D30</f>
        <v>4735.72</v>
      </c>
      <c r="E31" s="4129">
        <f>E27+E30</f>
        <v>1052.8</v>
      </c>
      <c r="F31" s="4130">
        <f>F27+F30</f>
        <v>1052.8</v>
      </c>
      <c r="G31" s="4131">
        <f>G27+G30</f>
        <v>0</v>
      </c>
      <c r="H31" s="4126"/>
      <c r="I31" s="4126"/>
      <c r="J31" s="2092"/>
      <c r="K31" s="2092"/>
      <c r="L31" s="2092"/>
      <c r="M31" s="2092"/>
      <c r="N31" s="2092"/>
      <c r="O31" s="2092"/>
      <c r="P31" s="2092"/>
    </row>
    <row r="32" spans="1:19">
      <c r="A32" s="1241"/>
      <c r="B32" s="1241" t="s">
        <v>1142</v>
      </c>
      <c r="C32" s="1241"/>
      <c r="D32" s="3914"/>
      <c r="E32" s="3914">
        <f>SUMIF(C19:C26,"*住宅*",E19:E26)</f>
        <v>0</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46077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工业</v>
      </c>
      <c r="B6" s="1306" t="str">
        <f>IF(A6=0,"","经营性")</f>
        <v>经营性</v>
      </c>
      <c r="C6" s="1307" t="s">
        <v>3</v>
      </c>
      <c r="D6" s="3554">
        <f>SUMIF(项目基本情况!C$12:I$12,C6,项目基本情况!C$14:I$14)</f>
        <v>50</v>
      </c>
      <c r="E6" s="580">
        <f>IF(B6="","",SUMIF(项目基本情况!C$12:I$12,C6,项目基本情况!C$13:I$13))</f>
        <v>55648</v>
      </c>
      <c r="F6" s="3556">
        <f>SUMIF(项目基本情况!C$12:I$12,C6,项目基本情况!C$15:I$15)</f>
        <v>26.22</v>
      </c>
      <c r="G6" s="3557">
        <f t="shared" ref="G6:G13" si="0">IF(ISERROR(ROUND(POWER(1+H6,D6-F6)*(POWER(1+H6,F6)-1)/(POWER(1+H6,D6)-1),4)),0,ROUND(POWER(1+H6,D6-F6)*(POWER(1+H6,F6)-1)/(POWER(1+H6,D6)-1),4))</f>
        <v>0.79069999999999996</v>
      </c>
      <c r="H6" s="3558">
        <v>0.05</v>
      </c>
      <c r="I6" s="3558">
        <v>5.5E-2</v>
      </c>
      <c r="J6" s="3559">
        <v>7.0000000000000007E-2</v>
      </c>
      <c r="K6" s="4140">
        <f>SUMIF('数据-汇总表'!C$19:C$33,A6,'数据-汇总表'!E$19:E$33)</f>
        <v>1052.8</v>
      </c>
      <c r="L6" s="4141">
        <v>2200</v>
      </c>
      <c r="M6" s="4142">
        <f t="shared" ref="M6:M14" si="1">ROUND(K6*L6/10000,0)</f>
        <v>232</v>
      </c>
      <c r="N6" s="3546">
        <v>0.65</v>
      </c>
      <c r="O6" s="4142" t="str">
        <f>IF($N$5="成新度","——",ROUND(M6*N6,0))</f>
        <v>——</v>
      </c>
      <c r="P6" s="3923" t="str">
        <f>IF($N$5="成新度","——",M6-O6)</f>
        <v>——</v>
      </c>
      <c r="Q6" s="3547">
        <v>0.05</v>
      </c>
      <c r="R6" s="4158">
        <f ca="1">SUMIF('数据-汇总表'!C$19:C$33,A6,'数据-汇总表'!R$19:R$27)</f>
        <v>4735.72</v>
      </c>
      <c r="S6" s="4116">
        <f>IF('数据-汇总表'!$I$17="按面积比例",SUMIF('数据-汇总表'!C$19:C$33,A6,'数据-汇总表'!K$19:K$33),SUMIF('数据-汇总表'!C$19:C$33,A6,'数据-汇总表'!N$19:N$33))</f>
        <v>0</v>
      </c>
      <c r="T6" s="4159">
        <f>ROUND($L$14*S6/10000,0)</f>
        <v>0</v>
      </c>
      <c r="U6" s="4163">
        <v>1.4</v>
      </c>
      <c r="V6" s="36">
        <v>1.4999999999999999E-2</v>
      </c>
      <c r="W6" s="36">
        <v>0.1</v>
      </c>
      <c r="X6" s="721"/>
      <c r="Y6" s="37">
        <f>N6</f>
        <v>0.65</v>
      </c>
      <c r="Z6" s="4168"/>
      <c r="AA6" s="35"/>
      <c r="AB6" s="35"/>
      <c r="AC6" s="721"/>
      <c r="AD6" s="38"/>
      <c r="AE6" s="4172">
        <f ca="1">IF(AN6="",0,SUMIF(INDIRECT("'"&amp;AN6&amp;"'"&amp;"!E:E"),$AE$5,INDIRECT("'"&amp;AN6&amp;"'"&amp;"!F:F")))</f>
        <v>26.22</v>
      </c>
      <c r="AF6" s="4173"/>
      <c r="AG6" s="4174">
        <f>IF(AF6="",0,AE6-AF6)</f>
        <v>0</v>
      </c>
      <c r="AH6" s="4163"/>
      <c r="AI6" s="4177">
        <v>365</v>
      </c>
      <c r="AJ6" s="4173"/>
      <c r="AK6" s="39">
        <v>2E-3</v>
      </c>
      <c r="AL6" s="40">
        <v>1E-3</v>
      </c>
      <c r="AM6" s="41">
        <v>5.0000000000000001E-3</v>
      </c>
      <c r="AN6" s="1308" t="s">
        <v>4006</v>
      </c>
      <c r="AO6" s="4116">
        <f ca="1">SUMIF(INDIRECT("'"&amp;AN6&amp;"'"&amp;"!A:A"),"总价",INDIRECT("'"&amp;AN6&amp;"'"&amp;"!B:B"))</f>
        <v>722.47730000000001</v>
      </c>
      <c r="AP6" s="4116">
        <f>IF(C6="住宅",K6*L6,0)</f>
        <v>0</v>
      </c>
      <c r="AQ6" s="4116">
        <f>ROUND($L$14*$N$14*S6/10000,0)</f>
        <v>0</v>
      </c>
      <c r="AR6" s="4116">
        <f>ROUND($L$14*(1-$N$14)*S6/10000,0)</f>
        <v>0</v>
      </c>
      <c r="AS6" s="4116">
        <f>ROUND(1-1/(1+H6)^F6,3)</f>
        <v>0.72199999999999998</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0.79069999999999996</v>
      </c>
      <c r="H16" s="3563">
        <f>ROUND(SUMPRODUCT(H6:H13,K6:K13)/SUMPRODUCT((H6:H13&gt;0)*(K6:K13)),3)</f>
        <v>0.05</v>
      </c>
      <c r="I16" s="3564"/>
      <c r="J16" s="3564"/>
      <c r="K16" s="4144">
        <f>SUM(K6:K15)</f>
        <v>1052.8</v>
      </c>
      <c r="L16" s="4145">
        <f>ROUND(M16*10000/SUM(K6:K14),0)</f>
        <v>2204</v>
      </c>
      <c r="M16" s="4145">
        <f>SUM(M6:M14)</f>
        <v>232</v>
      </c>
      <c r="N16" s="3552">
        <f>ROUND(SUMPRODUCT(M6:M14,N6:N14)/M16,3)</f>
        <v>0.65</v>
      </c>
      <c r="O16" s="4145">
        <f>SUM(O6:O14)</f>
        <v>0</v>
      </c>
      <c r="P16" s="4145">
        <f>SUM(P6:P14)</f>
        <v>0</v>
      </c>
      <c r="Q16" s="3553">
        <f>ROUND(SUMPRODUCT(Q6:Q13,K6:K13)/SUMPRODUCT((Q6:Q13&gt;0)*(K6:K13)),2)</f>
        <v>0.05</v>
      </c>
      <c r="R16" s="4160">
        <f ca="1">SUM(R6:R13)</f>
        <v>4735.72</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f>ROUND(SUMPRODUCT(AS6:AS13,K6:K13)/SUMPRODUCT((AS6:AS13&gt;0)*(K6:K13)),3)</f>
        <v>0.72199999999999998</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1193</v>
      </c>
      <c r="B18" s="2116"/>
      <c r="C18" s="2106"/>
      <c r="D18" s="2109"/>
      <c r="E18" s="2106"/>
      <c r="F18" s="2106"/>
      <c r="G18" s="2106"/>
      <c r="H18" s="2106"/>
      <c r="I18" s="2106"/>
      <c r="J18" s="2106"/>
      <c r="K18" s="2105"/>
      <c r="L18" s="2105">
        <v>2400</v>
      </c>
      <c r="M18" s="2104"/>
      <c r="N18" s="2104">
        <f>ROUND(1-(2026-2005)/50,2)</f>
        <v>0.57999999999999996</v>
      </c>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4" t="s">
        <v>1194</v>
      </c>
      <c r="B19" s="4146">
        <v>0</v>
      </c>
      <c r="C19" s="4278" t="s">
        <v>2198</v>
      </c>
      <c r="D19" s="4274"/>
      <c r="E19" s="4275"/>
      <c r="F19" s="4275"/>
      <c r="G19" s="4275"/>
      <c r="H19" s="2106"/>
      <c r="I19" s="2106"/>
      <c r="J19" s="2106"/>
      <c r="K19" s="2105"/>
      <c r="L19" s="2105">
        <f>L18/1.09</f>
        <v>2201.8348623853208</v>
      </c>
      <c r="M19" s="2104"/>
      <c r="N19" s="2104"/>
      <c r="O19" s="2104"/>
      <c r="P19" s="2104"/>
      <c r="Q19" s="2104"/>
      <c r="R19" s="2104"/>
      <c r="S19" s="2104"/>
      <c r="T19" s="2104">
        <f>'数据-汇总表'!F19</f>
        <v>1052.8</v>
      </c>
      <c r="U19" s="2104">
        <v>1.2</v>
      </c>
      <c r="V19" s="2104">
        <f>U19*T19</f>
        <v>1263.3599999999999</v>
      </c>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7">
        <v>1</v>
      </c>
      <c r="C20" s="4276" t="s">
        <v>3849</v>
      </c>
      <c r="D20" s="4274"/>
      <c r="E20" s="4275"/>
      <c r="F20" s="4275"/>
      <c r="G20" s="4275"/>
      <c r="H20" s="2106"/>
      <c r="I20" s="2106"/>
      <c r="J20" s="2106"/>
      <c r="K20" s="2105"/>
      <c r="L20" s="2105"/>
      <c r="M20" s="2104"/>
      <c r="N20" s="2104"/>
      <c r="O20" s="2104"/>
      <c r="P20" s="2104"/>
      <c r="Q20" s="2104"/>
      <c r="R20" s="2104"/>
      <c r="S20" s="2104"/>
      <c r="T20" s="2104">
        <v>2000</v>
      </c>
      <c r="U20" s="2104">
        <v>0.15</v>
      </c>
      <c r="V20" s="2104">
        <f>U20*T20</f>
        <v>300</v>
      </c>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7">
        <f>B20</f>
        <v>1</v>
      </c>
      <c r="C21" s="2106"/>
      <c r="D21" s="2109"/>
      <c r="E21" s="2106"/>
      <c r="F21" s="2106"/>
      <c r="G21" s="2106"/>
      <c r="H21" s="2106"/>
      <c r="I21" s="2106"/>
      <c r="J21" s="2106"/>
      <c r="K21" s="2105"/>
      <c r="L21" s="2105"/>
      <c r="M21" s="2104"/>
      <c r="N21" s="2104"/>
      <c r="O21" s="2104"/>
      <c r="P21" s="2104"/>
      <c r="Q21" s="2104"/>
      <c r="R21" s="2104"/>
      <c r="S21" s="2104"/>
      <c r="T21" s="2104"/>
      <c r="U21" s="2104"/>
      <c r="V21" s="2104">
        <f>V19+V20</f>
        <v>1563.36</v>
      </c>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8">
        <f>B19+B20</f>
        <v>1</v>
      </c>
      <c r="C22" s="2106"/>
      <c r="D22" s="2109"/>
      <c r="E22" s="2106"/>
      <c r="F22" s="2106"/>
      <c r="G22" s="2106"/>
      <c r="H22" s="2106"/>
      <c r="I22" s="2106"/>
      <c r="J22" s="2106"/>
      <c r="K22" s="2105"/>
      <c r="L22" s="2105"/>
      <c r="M22" s="2104"/>
      <c r="N22" s="2104"/>
      <c r="O22" s="2104"/>
      <c r="P22" s="2104"/>
      <c r="Q22" s="2104"/>
      <c r="R22" s="2104"/>
      <c r="S22" s="2104"/>
      <c r="T22" s="2104"/>
      <c r="U22" s="2104"/>
      <c r="V22" s="2104">
        <f>V21/T19</f>
        <v>1.4849544072948329</v>
      </c>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8">
        <f>B19+B21</f>
        <v>1</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9">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6"/>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50"/>
      <c r="C27" s="4324" t="s">
        <v>2199</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1">
        <v>160</v>
      </c>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3">
        <v>250</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8">
        <f>B30-B32</f>
        <v>250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7" t="s">
        <v>3813</v>
      </c>
      <c r="B33" s="4261">
        <v>0.05</v>
      </c>
      <c r="C33" s="4315" t="s">
        <v>3841</v>
      </c>
      <c r="D33" s="4274"/>
      <c r="E33" s="4275"/>
      <c r="F33" s="4275"/>
      <c r="G33" s="4275"/>
      <c r="H33" s="2106"/>
      <c r="I33" s="2106">
        <f>L6*B33</f>
        <v>110</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2">
        <v>0</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3">
        <v>200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5" t="s">
        <v>3292</v>
      </c>
      <c r="B36" s="3565">
        <v>0.02</v>
      </c>
      <c r="C36" s="4316" t="s">
        <v>3844</v>
      </c>
      <c r="D36" s="4279"/>
      <c r="E36" s="4280"/>
      <c r="F36" s="4280"/>
      <c r="G36" s="4275"/>
      <c r="H36" s="2106"/>
      <c r="I36" s="2106">
        <f>L6*B36</f>
        <v>44</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1.4999999999999999E-2</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4023</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60">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0.05</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v>0</v>
      </c>
      <c r="C48" s="4328" t="s">
        <v>2200</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5">
        <f>C60</f>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12" t="s">
        <v>2190</v>
      </c>
      <c r="B1" s="4713"/>
      <c r="C1" s="4713"/>
      <c r="D1" s="4713"/>
      <c r="E1" s="4713"/>
      <c r="F1" s="4713"/>
      <c r="G1" s="4713"/>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F34" sqref="F34"/>
    </sheetView>
  </sheetViews>
  <sheetFormatPr defaultColWidth="9" defaultRowHeight="13.5"/>
  <cols>
    <col min="1" max="1" width="25" style="2000" customWidth="1"/>
    <col min="2" max="9" width="15.75" style="2000" customWidth="1"/>
    <col min="10" max="16384" width="9" style="2000"/>
  </cols>
  <sheetData>
    <row r="1" spans="1:11" ht="16.5">
      <c r="A1" s="1999" t="s">
        <v>653</v>
      </c>
      <c r="B1" s="3911">
        <f>SUM(B14:B23)</f>
        <v>1052.8</v>
      </c>
      <c r="C1" s="2117"/>
      <c r="D1" s="2117"/>
      <c r="E1" s="2117"/>
      <c r="F1" s="2117"/>
      <c r="G1" s="2118"/>
      <c r="H1" s="2119"/>
      <c r="I1" s="2119"/>
      <c r="J1" s="2119"/>
      <c r="K1" s="2119"/>
    </row>
    <row r="2" spans="1:11" ht="16.5">
      <c r="A2" s="1999" t="s">
        <v>641</v>
      </c>
      <c r="B2" s="3911">
        <f>SUM(C14:C23)</f>
        <v>4735.72</v>
      </c>
      <c r="C2" s="2117"/>
      <c r="D2" s="2117"/>
      <c r="E2" s="2117"/>
      <c r="F2" s="2117"/>
      <c r="G2" s="2118"/>
      <c r="H2" s="2119"/>
      <c r="I2" s="2119"/>
      <c r="J2" s="2119"/>
      <c r="K2" s="2119"/>
    </row>
    <row r="3" spans="1:11" ht="16.5">
      <c r="A3" s="1999" t="s">
        <v>650</v>
      </c>
      <c r="B3" s="2001">
        <f>项目基本情况!D3</f>
        <v>46077</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11">
        <f ca="1">SUM(D14:D23)</f>
        <v>739</v>
      </c>
      <c r="C5" s="3911">
        <f ca="1">ROUND(B5*10000/$B$1,0)</f>
        <v>7019</v>
      </c>
      <c r="D5" s="3911">
        <f ca="1">ROUND(B5*10000/$B$2,0)</f>
        <v>1560</v>
      </c>
      <c r="E5" s="2117"/>
      <c r="F5" s="2118"/>
      <c r="G5" s="2118"/>
      <c r="H5" s="2119"/>
      <c r="I5" s="2119"/>
      <c r="J5" s="2119"/>
      <c r="K5" s="2119"/>
    </row>
    <row r="6" spans="1:11" ht="16.5">
      <c r="A6" s="1999" t="s">
        <v>644</v>
      </c>
      <c r="B6" s="3911">
        <f>SUM(G14:G23)</f>
        <v>0</v>
      </c>
      <c r="C6" s="3911">
        <f>ROUND(B6*10000/$B$1,0)</f>
        <v>0</v>
      </c>
      <c r="D6" s="3911">
        <f>ROUND(B6*10000/$B$2,0)</f>
        <v>0</v>
      </c>
      <c r="E6" s="2117"/>
      <c r="F6" s="2118"/>
      <c r="G6" s="2118"/>
      <c r="H6" s="2119"/>
      <c r="I6" s="2119"/>
      <c r="J6" s="2119"/>
      <c r="K6" s="2119"/>
    </row>
    <row r="7" spans="1:11" ht="16.5">
      <c r="A7" s="1999" t="s">
        <v>652</v>
      </c>
      <c r="B7" s="3911">
        <f>SUM(H14:H23)</f>
        <v>0</v>
      </c>
      <c r="C7" s="3911" t="str">
        <f>IF(B7=H14,结果表!H110,ROUND(B7*10000/$B$1,0))</f>
        <v>——</v>
      </c>
      <c r="D7" s="3911">
        <f>ROUND(B7*10000/$B$2,0)</f>
        <v>0</v>
      </c>
      <c r="E7" s="2117"/>
      <c r="F7" s="2118"/>
      <c r="G7" s="2118"/>
      <c r="H7" s="2119"/>
      <c r="I7" s="2119"/>
      <c r="J7" s="2119"/>
      <c r="K7" s="2119"/>
    </row>
    <row r="8" spans="1:11" ht="16.5">
      <c r="A8" s="1999" t="s">
        <v>581</v>
      </c>
      <c r="B8" s="3911">
        <f>SUM(I14:I23)</f>
        <v>0</v>
      </c>
      <c r="C8" s="3911" t="str">
        <f>IF(B8=I14,结果表!H112,ROUND(B8*10000/$B$1,0))</f>
        <v>——</v>
      </c>
      <c r="D8" s="3911">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11">
        <f>IF(E10="",0,ROUND(B1*(E10*365/G10)/10000,0))</f>
        <v>0</v>
      </c>
      <c r="C10" s="1999" t="s">
        <v>3241</v>
      </c>
      <c r="D10" s="1999" t="s">
        <v>3242</v>
      </c>
      <c r="E10" s="3912"/>
      <c r="F10" s="2712" t="s">
        <v>3243</v>
      </c>
      <c r="G10" s="3913"/>
      <c r="H10" s="2119"/>
      <c r="I10" s="2119"/>
      <c r="J10" s="2119"/>
      <c r="K10" s="2119"/>
    </row>
    <row r="11" spans="1:11" ht="16.5">
      <c r="A11" s="1999" t="s">
        <v>658</v>
      </c>
      <c r="B11" s="3910"/>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7">
        <f>结果表!B118</f>
        <v>1052.8</v>
      </c>
      <c r="C14" s="3907">
        <f>结果表!C118</f>
        <v>4735.72</v>
      </c>
      <c r="D14" s="3907">
        <f ca="1">结果表!H118</f>
        <v>739</v>
      </c>
      <c r="E14" s="3907">
        <f ca="1">ROUND(D14*10000/B14,0)</f>
        <v>7019</v>
      </c>
      <c r="F14" s="3907">
        <f ca="1">ROUND(D14*10000/C14,0)</f>
        <v>1560</v>
      </c>
      <c r="G14" s="3907"/>
      <c r="H14" s="3907"/>
      <c r="I14" s="3907"/>
      <c r="J14" s="2118"/>
      <c r="K14" s="2119"/>
    </row>
    <row r="15" spans="1:11" ht="16.5">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6.5">
      <c r="A16" s="2004" t="s">
        <v>636</v>
      </c>
      <c r="B16" s="3908"/>
      <c r="C16" s="3908"/>
      <c r="D16" s="3908"/>
      <c r="E16" s="3907" t="e">
        <f t="shared" si="0"/>
        <v>#DIV/0!</v>
      </c>
      <c r="F16" s="3907" t="e">
        <f t="shared" si="1"/>
        <v>#DIV/0!</v>
      </c>
      <c r="G16" s="3909"/>
      <c r="H16" s="3909"/>
      <c r="I16" s="3908"/>
      <c r="J16" s="2119"/>
      <c r="K16" s="2119"/>
    </row>
    <row r="17" spans="1:11" ht="16.5">
      <c r="A17" s="2004" t="s">
        <v>635</v>
      </c>
      <c r="B17" s="3908"/>
      <c r="C17" s="3908"/>
      <c r="D17" s="3908"/>
      <c r="E17" s="3907" t="e">
        <f t="shared" si="0"/>
        <v>#DIV/0!</v>
      </c>
      <c r="F17" s="3907" t="e">
        <f t="shared" si="1"/>
        <v>#DIV/0!</v>
      </c>
      <c r="G17" s="3909"/>
      <c r="H17" s="3909"/>
      <c r="I17" s="3908"/>
      <c r="J17" s="2119"/>
      <c r="K17" s="2119"/>
    </row>
    <row r="18" spans="1:11" ht="16.5">
      <c r="A18" s="2004" t="s">
        <v>634</v>
      </c>
      <c r="B18" s="3908"/>
      <c r="C18" s="3908"/>
      <c r="D18" s="3908"/>
      <c r="E18" s="3907" t="e">
        <f t="shared" si="0"/>
        <v>#DIV/0!</v>
      </c>
      <c r="F18" s="3907" t="e">
        <f t="shared" si="1"/>
        <v>#DIV/0!</v>
      </c>
      <c r="G18" s="3908"/>
      <c r="H18" s="3908"/>
      <c r="I18" s="3908"/>
      <c r="J18" s="2119"/>
      <c r="K18" s="2119"/>
    </row>
    <row r="19" spans="1:11" ht="16.5">
      <c r="A19" s="2004" t="s">
        <v>633</v>
      </c>
      <c r="B19" s="3908"/>
      <c r="C19" s="3908"/>
      <c r="D19" s="3908"/>
      <c r="E19" s="3907" t="e">
        <f t="shared" si="0"/>
        <v>#DIV/0!</v>
      </c>
      <c r="F19" s="3907" t="e">
        <f t="shared" si="1"/>
        <v>#DIV/0!</v>
      </c>
      <c r="G19" s="3908"/>
      <c r="H19" s="3908"/>
      <c r="I19" s="3908"/>
      <c r="J19" s="2119"/>
      <c r="K19" s="2119"/>
    </row>
    <row r="20" spans="1:11" ht="16.5">
      <c r="A20" s="2004" t="s">
        <v>632</v>
      </c>
      <c r="B20" s="3908"/>
      <c r="C20" s="3908"/>
      <c r="D20" s="3908"/>
      <c r="E20" s="3907" t="e">
        <f t="shared" si="0"/>
        <v>#DIV/0!</v>
      </c>
      <c r="F20" s="3907" t="e">
        <f t="shared" si="1"/>
        <v>#DIV/0!</v>
      </c>
      <c r="G20" s="3908"/>
      <c r="H20" s="3908"/>
      <c r="I20" s="3908"/>
      <c r="J20" s="2119"/>
      <c r="K20" s="2119"/>
    </row>
    <row r="21" spans="1:11" ht="16.5">
      <c r="A21" s="2004" t="s">
        <v>631</v>
      </c>
      <c r="B21" s="3908"/>
      <c r="C21" s="3908"/>
      <c r="D21" s="3908"/>
      <c r="E21" s="3907" t="e">
        <f t="shared" si="0"/>
        <v>#DIV/0!</v>
      </c>
      <c r="F21" s="3907" t="e">
        <f t="shared" si="1"/>
        <v>#DIV/0!</v>
      </c>
      <c r="G21" s="3908"/>
      <c r="H21" s="3908"/>
      <c r="I21" s="3908"/>
      <c r="J21" s="2119"/>
      <c r="K21" s="2119"/>
    </row>
    <row r="22" spans="1:11" ht="16.5">
      <c r="A22" s="2004" t="s">
        <v>630</v>
      </c>
      <c r="B22" s="3908"/>
      <c r="C22" s="3908"/>
      <c r="D22" s="3908"/>
      <c r="E22" s="3907" t="e">
        <f t="shared" si="0"/>
        <v>#DIV/0!</v>
      </c>
      <c r="F22" s="3907" t="e">
        <f t="shared" si="1"/>
        <v>#DIV/0!</v>
      </c>
      <c r="G22" s="3908"/>
      <c r="H22" s="3908"/>
      <c r="I22" s="3908"/>
      <c r="J22" s="2119"/>
      <c r="K22" s="2119"/>
    </row>
    <row r="23" spans="1:11" ht="16.5">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6" t="str">
        <f>项目基本情况!S2</f>
        <v>北京市房地产</v>
      </c>
      <c r="B2" s="4797"/>
      <c r="C2" s="4797"/>
      <c r="D2" s="4797"/>
      <c r="E2" s="4797"/>
      <c r="F2" s="4797"/>
      <c r="G2" s="4797"/>
      <c r="H2" s="4797"/>
      <c r="I2" s="4798"/>
    </row>
    <row r="3" spans="1:12" ht="12.75">
      <c r="A3" s="4800" t="s">
        <v>1242</v>
      </c>
      <c r="B3" s="4801"/>
      <c r="C3" s="4801"/>
      <c r="D3" s="4801"/>
      <c r="E3" s="4801"/>
      <c r="F3" s="4801"/>
      <c r="G3" s="4801"/>
      <c r="H3" s="4801"/>
      <c r="I3" s="4801"/>
    </row>
    <row r="4" spans="1:12" ht="14.25">
      <c r="A4" s="1343" t="s">
        <v>1243</v>
      </c>
      <c r="B4" s="1344" t="s">
        <v>1244</v>
      </c>
      <c r="C4" s="3816" t="s">
        <v>4022</v>
      </c>
      <c r="D4" s="3816" t="s">
        <v>4006</v>
      </c>
      <c r="E4" s="4802" t="s">
        <v>1245</v>
      </c>
      <c r="F4" s="4803"/>
      <c r="G4" s="4803"/>
      <c r="H4" s="4803"/>
      <c r="I4" s="4804"/>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37" t="s">
        <v>1246</v>
      </c>
      <c r="B5" s="4799">
        <v>25</v>
      </c>
      <c r="C5" s="4780"/>
      <c r="D5" s="4775"/>
      <c r="E5" s="53" t="s">
        <v>1247</v>
      </c>
      <c r="F5" s="1345"/>
      <c r="G5" s="1345"/>
      <c r="H5" s="1345"/>
      <c r="I5" s="980"/>
    </row>
    <row r="6" spans="1:12" ht="12.75">
      <c r="A6" s="4737"/>
      <c r="B6" s="4799"/>
      <c r="C6" s="4781"/>
      <c r="D6" s="4775"/>
      <c r="E6" s="53" t="s">
        <v>1248</v>
      </c>
      <c r="F6" s="1345"/>
      <c r="G6" s="1345"/>
      <c r="H6" s="1345"/>
      <c r="I6" s="980"/>
    </row>
    <row r="7" spans="1:12" ht="12.75">
      <c r="A7" s="4737"/>
      <c r="B7" s="4799"/>
      <c r="C7" s="4782"/>
      <c r="D7" s="4775"/>
      <c r="E7" s="53" t="s">
        <v>1249</v>
      </c>
      <c r="F7" s="1345"/>
      <c r="G7" s="1345"/>
      <c r="H7" s="1345"/>
      <c r="I7" s="980"/>
    </row>
    <row r="8" spans="1:12" ht="12.75">
      <c r="A8" s="4737" t="s">
        <v>1250</v>
      </c>
      <c r="B8" s="4799">
        <v>15</v>
      </c>
      <c r="C8" s="4780"/>
      <c r="D8" s="4775"/>
      <c r="E8" s="53" t="s">
        <v>1251</v>
      </c>
      <c r="F8" s="1345"/>
      <c r="G8" s="1345"/>
      <c r="H8" s="1345"/>
      <c r="I8" s="980"/>
    </row>
    <row r="9" spans="1:12" ht="12.75">
      <c r="A9" s="4737"/>
      <c r="B9" s="4799"/>
      <c r="C9" s="4782"/>
      <c r="D9" s="4775"/>
      <c r="E9" s="53" t="s">
        <v>1252</v>
      </c>
      <c r="F9" s="1345"/>
      <c r="G9" s="1345"/>
      <c r="H9" s="1345"/>
      <c r="I9" s="980"/>
    </row>
    <row r="10" spans="1:12" ht="12.75">
      <c r="A10" s="4737" t="s">
        <v>1253</v>
      </c>
      <c r="B10" s="4799">
        <v>15</v>
      </c>
      <c r="C10" s="4780"/>
      <c r="D10" s="4775"/>
      <c r="E10" s="53" t="s">
        <v>1254</v>
      </c>
      <c r="F10" s="1345"/>
      <c r="G10" s="1345"/>
      <c r="H10" s="1345"/>
      <c r="I10" s="980"/>
    </row>
    <row r="11" spans="1:12" ht="12.75">
      <c r="A11" s="4737"/>
      <c r="B11" s="4799"/>
      <c r="C11" s="4782"/>
      <c r="D11" s="4775"/>
      <c r="E11" s="53" t="s">
        <v>1255</v>
      </c>
      <c r="F11" s="1345"/>
      <c r="G11" s="1345"/>
      <c r="H11" s="1345"/>
      <c r="I11" s="980"/>
    </row>
    <row r="12" spans="1:12" ht="12.75">
      <c r="A12" s="4737" t="s">
        <v>1256</v>
      </c>
      <c r="B12" s="4799">
        <v>15</v>
      </c>
      <c r="C12" s="4780"/>
      <c r="D12" s="4775"/>
      <c r="E12" s="53" t="s">
        <v>1257</v>
      </c>
      <c r="F12" s="1345"/>
      <c r="G12" s="1345"/>
      <c r="H12" s="1345"/>
      <c r="I12" s="980"/>
    </row>
    <row r="13" spans="1:12" ht="12.75">
      <c r="A13" s="4737"/>
      <c r="B13" s="4799"/>
      <c r="C13" s="4782"/>
      <c r="D13" s="4775"/>
      <c r="E13" s="53" t="s">
        <v>1258</v>
      </c>
      <c r="F13" s="1345"/>
      <c r="G13" s="1345"/>
      <c r="H13" s="1345"/>
      <c r="I13" s="980"/>
    </row>
    <row r="14" spans="1:12" ht="12.75">
      <c r="A14" s="4737" t="s">
        <v>1259</v>
      </c>
      <c r="B14" s="4799">
        <v>30</v>
      </c>
      <c r="C14" s="4780">
        <v>5</v>
      </c>
      <c r="D14" s="4775">
        <v>5</v>
      </c>
      <c r="E14" s="53" t="s">
        <v>1260</v>
      </c>
      <c r="F14" s="1345"/>
      <c r="G14" s="1345"/>
      <c r="H14" s="1345"/>
      <c r="I14" s="980"/>
    </row>
    <row r="15" spans="1:12" ht="12.75">
      <c r="A15" s="4737"/>
      <c r="B15" s="4799"/>
      <c r="C15" s="4781"/>
      <c r="D15" s="4775"/>
      <c r="E15" s="53" t="s">
        <v>1261</v>
      </c>
      <c r="F15" s="1345"/>
      <c r="G15" s="1345"/>
      <c r="H15" s="1345"/>
      <c r="I15" s="980"/>
    </row>
    <row r="16" spans="1:12" ht="12.75">
      <c r="A16" s="4737"/>
      <c r="B16" s="4799"/>
      <c r="C16" s="4782"/>
      <c r="D16" s="4775"/>
      <c r="E16" s="53" t="s">
        <v>1262</v>
      </c>
      <c r="F16" s="1345"/>
      <c r="G16" s="1345"/>
      <c r="H16" s="1345"/>
      <c r="I16" s="980"/>
    </row>
    <row r="17" spans="1:36" ht="15">
      <c r="A17" s="1346" t="s">
        <v>1263</v>
      </c>
      <c r="B17" s="3815"/>
      <c r="C17" s="3914">
        <f>SUM(C5:C16)</f>
        <v>5</v>
      </c>
      <c r="D17" s="3914">
        <f>SUM(D5:D16)</f>
        <v>5</v>
      </c>
      <c r="E17" s="51"/>
      <c r="F17" s="51"/>
      <c r="G17" s="51"/>
      <c r="H17" s="51"/>
      <c r="I17" s="51"/>
      <c r="K17" s="190"/>
      <c r="L17" s="190" t="s">
        <v>1264</v>
      </c>
      <c r="M17" s="190" t="s">
        <v>1265</v>
      </c>
    </row>
    <row r="18" spans="1:36" ht="31.9" customHeight="1" thickBot="1">
      <c r="A18" s="1347" t="s">
        <v>1266</v>
      </c>
      <c r="B18" s="1348"/>
      <c r="C18" s="3915">
        <f>ROUND(C17/SUM(C17:D17),2)</f>
        <v>0.5</v>
      </c>
      <c r="D18" s="3915">
        <f>1-C18</f>
        <v>0.5</v>
      </c>
      <c r="E18" s="4787" t="s">
        <v>2035</v>
      </c>
      <c r="F18" s="4788"/>
      <c r="G18" s="4788"/>
      <c r="H18" s="4788"/>
      <c r="I18" s="4788"/>
      <c r="K18" s="190" t="s">
        <v>1267</v>
      </c>
      <c r="L18" s="3926">
        <f>IF(C1="",'数据-汇总表'!E3,SUMIF(项目类型,C1,'数据-汇总表'!E17:E26)+SUMIF(项目类型,C1,'数据-汇总表'!I17:I26))</f>
        <v>1052.8</v>
      </c>
      <c r="M18" s="3926">
        <f>IF(C1="",'数据-汇总表'!E3,SUMIF(项目类型,C1,'数据-汇总表'!E17:E26))</f>
        <v>1052.8</v>
      </c>
    </row>
    <row r="19" spans="1:36" ht="15">
      <c r="A19" s="1349" t="s">
        <v>1268</v>
      </c>
      <c r="B19" s="1350" t="s">
        <v>1269</v>
      </c>
      <c r="C19" s="3916">
        <f ca="1">SUMIF(INDIRECT("'"&amp;C4&amp;"'"&amp;"!A:A"),结果表!B19,INDIRECT("'"&amp;C4&amp;"'"&amp;"!B:B"))</f>
        <v>756.15560000000005</v>
      </c>
      <c r="D19" s="3917">
        <f ca="1">SUMIF(INDIRECT("'"&amp;D4&amp;"'"&amp;"!A:A"),结果表!B19,INDIRECT("'"&amp;D4&amp;"'"&amp;"!B:B"))</f>
        <v>722.47730000000001</v>
      </c>
      <c r="E19" s="1349" t="s">
        <v>1270</v>
      </c>
      <c r="F19" s="1350" t="s">
        <v>1269</v>
      </c>
      <c r="G19" s="3922">
        <f ca="1">ROUND(C19*$C$18+D19*$D$18,0)</f>
        <v>739</v>
      </c>
      <c r="H19" s="1351" t="s">
        <v>1271</v>
      </c>
      <c r="I19" s="3925">
        <f ca="1">ROUND(C19*$C$18+D19*$D$18,4)</f>
        <v>739.31650000000002</v>
      </c>
      <c r="K19" s="190" t="s">
        <v>1272</v>
      </c>
      <c r="L19" s="3926">
        <f>IF(C1="",'数据-汇总表'!D3,SUMIF(项目类型,C1,'数据-汇总表'!D17:D26)+SUMIF(项目类型,C1,'数据-汇总表'!H17:H27))</f>
        <v>4735.72</v>
      </c>
      <c r="M19" s="3926">
        <f>IF(C1="",'数据-汇总表'!D3,SUMIF(项目类型,C1,'数据-汇总表'!D17:D26))</f>
        <v>4735.72</v>
      </c>
    </row>
    <row r="20" spans="1:36" ht="15">
      <c r="A20" s="1352"/>
      <c r="B20" s="714" t="s">
        <v>1273</v>
      </c>
      <c r="C20" s="3918">
        <f ca="1">SUMIF(INDIRECT("'"&amp;C4&amp;"'"&amp;"!A:A"),结果表!B20,INDIRECT("'"&amp;C4&amp;"'"&amp;"!B:B"))</f>
        <v>7182</v>
      </c>
      <c r="D20" s="3919">
        <f ca="1">SUMIF(INDIRECT("'"&amp;D4&amp;"'"&amp;"!A:A"),结果表!B20,INDIRECT("'"&amp;D4&amp;"'"&amp;"!B:B"))</f>
        <v>6862</v>
      </c>
      <c r="E20" s="1352"/>
      <c r="F20" s="714" t="s">
        <v>1273</v>
      </c>
      <c r="G20" s="3923">
        <f ca="1">ROUND(C20*$C$18+D20*$D$18,0)</f>
        <v>7022</v>
      </c>
      <c r="H20" s="556" t="s">
        <v>1274</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1275</v>
      </c>
      <c r="G21" s="3923">
        <f ca="1">ROUND(C21*$C$18+D21*$D$18,0)</f>
        <v>0</v>
      </c>
      <c r="H21" s="556" t="s">
        <v>1274</v>
      </c>
      <c r="I21" s="51"/>
    </row>
    <row r="22" spans="1:36" ht="15" thickBot="1">
      <c r="A22" s="1282" t="s">
        <v>1276</v>
      </c>
      <c r="B22" s="1353"/>
      <c r="C22" s="2822"/>
      <c r="D22" s="4234">
        <f ca="1">IF(C19&lt;D19,D19/C19-1,C19/D19-1)</f>
        <v>4.6615028596746377E-2</v>
      </c>
      <c r="E22" s="3637"/>
      <c r="F22" s="3639"/>
      <c r="G22" s="3924">
        <f ca="1">ROUND(G19/('数据-汇总表'!D3/666.67),0)</f>
        <v>104</v>
      </c>
      <c r="H22" s="3638" t="s">
        <v>3625</v>
      </c>
      <c r="I22" s="51"/>
    </row>
    <row r="23" spans="1:36" ht="13.5" thickBot="1">
      <c r="A23" s="1336"/>
      <c r="B23" s="1336"/>
      <c r="C23" s="1336"/>
      <c r="D23" s="1336"/>
      <c r="E23" s="51"/>
      <c r="F23" s="51"/>
      <c r="G23" s="51"/>
      <c r="H23" s="51"/>
      <c r="I23" s="51"/>
    </row>
    <row r="24" spans="1:36" ht="14.25">
      <c r="A24" s="4820" t="s">
        <v>1277</v>
      </c>
      <c r="B24" s="1350" t="s">
        <v>1269</v>
      </c>
      <c r="C24" s="3922">
        <f>IF(B30=0,0,D30)</f>
        <v>0</v>
      </c>
      <c r="D24" s="3927"/>
      <c r="E24" s="51"/>
      <c r="F24" s="51"/>
      <c r="G24" s="51"/>
      <c r="H24" s="51"/>
      <c r="I24" s="51"/>
    </row>
    <row r="25" spans="1:36" ht="14.25">
      <c r="A25" s="4821"/>
      <c r="B25" s="3647" t="s">
        <v>3628</v>
      </c>
      <c r="C25" s="3928">
        <f>IF(B30=0,0,C30)</f>
        <v>0</v>
      </c>
      <c r="D25" s="3929"/>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30"/>
      <c r="B27" s="3931">
        <v>0</v>
      </c>
      <c r="C27" s="3931">
        <v>0</v>
      </c>
      <c r="D27" s="3932">
        <f>ROUND(C27*B27/10000,0)</f>
        <v>0</v>
      </c>
      <c r="E27" s="51"/>
      <c r="F27" s="51"/>
      <c r="G27" s="51"/>
      <c r="H27" s="51"/>
      <c r="I27" s="51"/>
    </row>
    <row r="28" spans="1:36" ht="14.25">
      <c r="A28" s="3930"/>
      <c r="B28" s="3931"/>
      <c r="C28" s="3931"/>
      <c r="D28" s="3932"/>
      <c r="E28" s="51"/>
      <c r="F28" s="51"/>
      <c r="G28" s="51"/>
      <c r="H28" s="51"/>
      <c r="I28" s="51"/>
    </row>
    <row r="29" spans="1:36" ht="14.25">
      <c r="A29" s="3930"/>
      <c r="B29" s="3931"/>
      <c r="C29" s="3931"/>
      <c r="D29" s="3932"/>
      <c r="E29" s="51"/>
      <c r="F29" s="51"/>
      <c r="G29" s="51"/>
      <c r="H29" s="51"/>
      <c r="I29" s="51"/>
    </row>
    <row r="30" spans="1:36" ht="15" thickBot="1">
      <c r="A30" s="57" t="s">
        <v>1282</v>
      </c>
      <c r="B30" s="3931"/>
      <c r="C30" s="3931"/>
      <c r="D30" s="3931"/>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3">
        <f ca="1">IF(D32="总价",G19-C24,G20-C25)</f>
        <v>739</v>
      </c>
      <c r="D32" s="1358" t="s">
        <v>4024</v>
      </c>
      <c r="E32" s="51"/>
      <c r="F32" s="51"/>
      <c r="G32" s="51"/>
      <c r="H32" s="51"/>
      <c r="I32" s="51"/>
    </row>
    <row r="33" spans="1:19" ht="15">
      <c r="A33" s="543" t="s">
        <v>1284</v>
      </c>
      <c r="B33" s="1359"/>
      <c r="C33" s="1360" t="s">
        <v>4025</v>
      </c>
      <c r="D33" s="1361" t="s">
        <v>4022</v>
      </c>
      <c r="E33" s="1362" t="s">
        <v>1285</v>
      </c>
      <c r="F33" s="1363" t="str">
        <f>IF(D32="楼面单价","取值（单价）","取值（总价）")</f>
        <v>取值（总价）</v>
      </c>
      <c r="G33" s="51"/>
      <c r="H33" s="51"/>
      <c r="I33" s="51"/>
    </row>
    <row r="34" spans="1:19" ht="15">
      <c r="A34" s="1364"/>
      <c r="B34" s="1365" t="s">
        <v>1286</v>
      </c>
      <c r="C34" s="3934">
        <f ca="1">IF(C33="自定义",F34,C32-C35)</f>
        <v>534</v>
      </c>
      <c r="D34" s="4235">
        <f ca="1">IF(C33="自定义",ROUND(C34/C32,3),IF(C33="收益比率",SUMIF(INDIRECT("'"&amp;D33&amp;"'"&amp;"!b:b"),"土地收益比率",INDIRECT("'"&amp;D33&amp;"'"&amp;"!c:c")),SUMIF(INDIRECT("'"&amp;D33&amp;"'"&amp;"!b:b"),"土地成本比率",INDIRECT("'"&amp;D33&amp;"'"&amp;"!c:c"))))</f>
        <v>0.72299999999999998</v>
      </c>
      <c r="E34" s="1366" t="s">
        <v>1287</v>
      </c>
      <c r="F34" s="3936"/>
      <c r="G34" s="51"/>
      <c r="H34" s="51"/>
      <c r="I34" s="51"/>
    </row>
    <row r="35" spans="1:19" ht="15.75" thickBot="1">
      <c r="A35" s="1367"/>
      <c r="B35" s="1368" t="s">
        <v>1288</v>
      </c>
      <c r="C35" s="3935">
        <f ca="1">IF(C33="自定义",F35,ROUND(C32*D35,0))</f>
        <v>205</v>
      </c>
      <c r="D35" s="4236">
        <f ca="1">IF(C33="自定义",ROUND(C35/C32,3),IF(C33="收益比率",SUMIF(INDIRECT("'"&amp;D33&amp;"'"&amp;"!b:b"),"建筑物收益比率",INDIRECT("'"&amp;D33&amp;"'"&amp;"!c:c")),SUMIF(INDIRECT("'"&amp;D33&amp;"'"&amp;"!b:b"),"建筑物成本比率",INDIRECT("'"&amp;D33&amp;"'"&amp;"!c:c"))))</f>
        <v>0.27700000000000002</v>
      </c>
      <c r="E35" s="1369" t="s">
        <v>1289</v>
      </c>
      <c r="F35" s="3937"/>
      <c r="G35" s="51"/>
      <c r="H35" s="51"/>
      <c r="I35" s="51"/>
    </row>
    <row r="36" spans="1:19" ht="15.75" thickBot="1">
      <c r="A36" s="4792" t="s">
        <v>1290</v>
      </c>
      <c r="B36" s="1370" t="s">
        <v>1291</v>
      </c>
      <c r="C36" s="3938"/>
      <c r="D36" s="1371"/>
      <c r="E36" s="1372"/>
      <c r="F36" s="1373"/>
      <c r="G36" s="51"/>
      <c r="H36" s="51"/>
      <c r="I36" s="51"/>
    </row>
    <row r="37" spans="1:19" ht="15.75" thickBot="1">
      <c r="A37" s="4793"/>
      <c r="B37" s="1268" t="s">
        <v>1292</v>
      </c>
      <c r="C37" s="3939"/>
      <c r="D37" s="804"/>
      <c r="E37" s="804"/>
      <c r="F37" s="1373"/>
      <c r="G37" s="51"/>
      <c r="H37" s="51"/>
      <c r="I37" s="51"/>
    </row>
    <row r="38" spans="1:19" ht="15.75" thickBot="1">
      <c r="A38" s="4794"/>
      <c r="B38" s="1374" t="s">
        <v>1293</v>
      </c>
      <c r="C38" s="3940"/>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1"/>
      <c r="C40" s="3942"/>
      <c r="D40" s="3942"/>
      <c r="E40" s="3943"/>
      <c r="F40" s="1373"/>
      <c r="G40" s="51"/>
      <c r="H40" s="51"/>
      <c r="I40" s="51"/>
    </row>
    <row r="41" spans="1:19" ht="14.25">
      <c r="A41" s="1379" t="s">
        <v>1301</v>
      </c>
      <c r="B41" s="3941"/>
      <c r="C41" s="3942"/>
      <c r="D41" s="3942"/>
      <c r="E41" s="3943"/>
      <c r="F41" s="1373"/>
      <c r="G41" s="51"/>
      <c r="H41" s="51"/>
      <c r="I41" s="51"/>
    </row>
    <row r="42" spans="1:19" ht="15" thickBot="1">
      <c r="A42" s="1380"/>
      <c r="B42" s="3944"/>
      <c r="C42" s="3945"/>
      <c r="D42" s="3945"/>
      <c r="E42" s="3937"/>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17" t="s">
        <v>1304</v>
      </c>
      <c r="B45" s="4818"/>
      <c r="C45" s="4819"/>
      <c r="D45" s="3946">
        <f ca="1">ROUND(H101*F45,0)</f>
        <v>739</v>
      </c>
      <c r="E45" s="61" t="s">
        <v>1305</v>
      </c>
      <c r="F45" s="62">
        <v>1</v>
      </c>
      <c r="G45" s="63" t="s">
        <v>1306</v>
      </c>
      <c r="H45" s="51"/>
      <c r="I45" s="51"/>
      <c r="J45" s="4822" t="s">
        <v>1307</v>
      </c>
      <c r="K45" s="4822"/>
      <c r="L45" s="4822"/>
      <c r="M45" s="4822"/>
      <c r="N45" s="4822"/>
      <c r="O45" s="4822"/>
    </row>
    <row r="46" spans="1:19" ht="14.25" customHeight="1">
      <c r="A46" s="4814" t="s">
        <v>1308</v>
      </c>
      <c r="B46" s="4815"/>
      <c r="C46" s="4815"/>
      <c r="D46" s="4815"/>
      <c r="E46" s="4815"/>
      <c r="F46" s="4815"/>
      <c r="G46" s="4816"/>
      <c r="H46" s="1389"/>
      <c r="I46" s="64"/>
      <c r="J46" s="2007">
        <v>1</v>
      </c>
      <c r="K46" s="4823" t="s">
        <v>1309</v>
      </c>
      <c r="L46" s="4823"/>
      <c r="M46" s="4824"/>
      <c r="N46" s="4824"/>
      <c r="O46" s="4824"/>
    </row>
    <row r="47" spans="1:19" ht="12" customHeight="1">
      <c r="A47" s="65" t="s">
        <v>1310</v>
      </c>
      <c r="B47" s="66"/>
      <c r="C47" s="67"/>
      <c r="D47" s="762" t="s">
        <v>1311</v>
      </c>
      <c r="E47" s="190" t="s">
        <v>1312</v>
      </c>
      <c r="F47" s="68" t="s">
        <v>1313</v>
      </c>
      <c r="G47" s="2022" t="s">
        <v>1314</v>
      </c>
      <c r="H47" s="2023"/>
      <c r="I47" s="64"/>
      <c r="J47" s="2007">
        <v>2</v>
      </c>
      <c r="K47" s="4823" t="s">
        <v>1315</v>
      </c>
      <c r="L47" s="4823"/>
      <c r="M47" s="4825">
        <f>'数据-取费表'!B2</f>
        <v>46077</v>
      </c>
      <c r="N47" s="4825"/>
      <c r="O47" s="4825"/>
    </row>
    <row r="48" spans="1:19" ht="25.5">
      <c r="A48" s="4795" t="s">
        <v>1316</v>
      </c>
      <c r="B48" s="4779"/>
      <c r="C48" s="4779"/>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823" t="s">
        <v>1318</v>
      </c>
      <c r="L48" s="4823"/>
      <c r="M48" s="4826">
        <f ca="1">H101</f>
        <v>739</v>
      </c>
      <c r="N48" s="4826"/>
      <c r="O48" s="4826"/>
      <c r="R48" s="3665" t="s">
        <v>3642</v>
      </c>
      <c r="S48" s="3666"/>
    </row>
    <row r="49" spans="1:35" ht="25.5" customHeight="1">
      <c r="A49" s="3809" t="s">
        <v>1319</v>
      </c>
      <c r="B49" s="4763" t="s">
        <v>1320</v>
      </c>
      <c r="C49" s="4763"/>
      <c r="D49" s="3948">
        <v>0</v>
      </c>
      <c r="E49" s="211" t="s">
        <v>1321</v>
      </c>
      <c r="F49" s="3800" t="s">
        <v>26</v>
      </c>
      <c r="G49" s="4755"/>
      <c r="H49" s="3658" t="s">
        <v>2038</v>
      </c>
      <c r="I49" s="3659"/>
      <c r="J49" s="2007">
        <v>4</v>
      </c>
      <c r="K49" s="4823" t="str">
        <f>IF(项目基本情况!E8="房地产抵押价值","房地产抵押价值","抵押担保权已注销时的房地产抵押价值")</f>
        <v>房地产抵押价值</v>
      </c>
      <c r="L49" s="4823"/>
      <c r="M49" s="4826">
        <f ca="1">IF(项目基本情况!E8="房地产抵押价值",H107,H109)</f>
        <v>739</v>
      </c>
      <c r="N49" s="4826"/>
      <c r="O49" s="4826"/>
      <c r="R49" s="3667" t="s">
        <v>3643</v>
      </c>
      <c r="S49" s="3665" t="s">
        <v>3644</v>
      </c>
    </row>
    <row r="50" spans="1:35" ht="25.5" customHeight="1">
      <c r="A50" s="3810"/>
      <c r="B50" s="4763" t="s">
        <v>1322</v>
      </c>
      <c r="C50" s="4763"/>
      <c r="D50" s="3949"/>
      <c r="E50" s="219"/>
      <c r="F50" s="3800"/>
      <c r="G50" s="4756"/>
      <c r="H50" s="3660" t="s">
        <v>2039</v>
      </c>
      <c r="I50" s="3659"/>
      <c r="J50" s="4822" t="s">
        <v>1323</v>
      </c>
      <c r="K50" s="4822"/>
      <c r="L50" s="4822"/>
      <c r="M50" s="4822"/>
      <c r="N50" s="4822"/>
      <c r="O50" s="4822"/>
      <c r="R50" s="3667" t="s">
        <v>3645</v>
      </c>
      <c r="S50" s="3665" t="s">
        <v>3646</v>
      </c>
    </row>
    <row r="51" spans="1:35" ht="20.45" customHeight="1">
      <c r="A51" s="3811"/>
      <c r="B51" s="4763" t="s">
        <v>1324</v>
      </c>
      <c r="C51" s="4763"/>
      <c r="D51" s="3950"/>
      <c r="E51" s="214"/>
      <c r="F51" s="3800"/>
      <c r="G51" s="4757"/>
      <c r="H51" s="3660" t="s">
        <v>2040</v>
      </c>
      <c r="I51" s="3659"/>
      <c r="J51" s="2008" t="s">
        <v>1325</v>
      </c>
      <c r="K51" s="4823" t="s">
        <v>1326</v>
      </c>
      <c r="L51" s="4823"/>
      <c r="M51" s="2008" t="s">
        <v>1327</v>
      </c>
      <c r="N51" s="2008" t="s">
        <v>1328</v>
      </c>
      <c r="O51" s="2008" t="s">
        <v>1329</v>
      </c>
      <c r="R51" s="3667" t="s">
        <v>3647</v>
      </c>
      <c r="S51" s="3666" t="s">
        <v>3648</v>
      </c>
    </row>
    <row r="52" spans="1:35" ht="24" customHeight="1">
      <c r="A52" s="3801" t="s">
        <v>1330</v>
      </c>
      <c r="B52" s="4763" t="s">
        <v>1331</v>
      </c>
      <c r="C52" s="4763"/>
      <c r="D52" s="3950">
        <f ca="1">ROUND(D45*F52/(1+F52),0)</f>
        <v>22</v>
      </c>
      <c r="E52" s="3802" t="s">
        <v>1332</v>
      </c>
      <c r="F52" s="2026">
        <v>0.03</v>
      </c>
      <c r="G52" s="947" t="s">
        <v>3689</v>
      </c>
      <c r="H52" s="2020"/>
      <c r="I52" s="1390"/>
      <c r="J52" s="2007">
        <v>1</v>
      </c>
      <c r="K52" s="4752" t="s">
        <v>1333</v>
      </c>
      <c r="L52" s="4752"/>
      <c r="M52" s="3952">
        <f>IF(D48&lt;=0,0,D48)</f>
        <v>0</v>
      </c>
      <c r="N52" s="2007" t="str">
        <f>E48</f>
        <v>销售额×税（费）率</v>
      </c>
      <c r="O52" s="3840">
        <f>F48</f>
        <v>0</v>
      </c>
      <c r="R52" s="3665" t="s">
        <v>3649</v>
      </c>
      <c r="S52" s="3665" t="s">
        <v>3653</v>
      </c>
    </row>
    <row r="53" spans="1:35" ht="12" customHeight="1">
      <c r="A53" s="3801" t="s">
        <v>1334</v>
      </c>
      <c r="B53" s="4764" t="s">
        <v>2195</v>
      </c>
      <c r="C53" s="4765"/>
      <c r="D53" s="3950">
        <f ca="1">IF(G53="2016年5月1日之前项目",ROUND(D45*F53/(1+F53),0),H63)</f>
        <v>61</v>
      </c>
      <c r="E53" s="3802" t="str">
        <f>IF(G53="2016年5月1日之前项目","全额计税","进销项计算")</f>
        <v>进销项计算</v>
      </c>
      <c r="F53" s="2026">
        <f>IF(G53="2016年5月1日之前项目",5%,9%)</f>
        <v>0.09</v>
      </c>
      <c r="G53" s="3905"/>
      <c r="H53" s="2020"/>
      <c r="I53" s="1390"/>
      <c r="J53" s="2007">
        <v>2</v>
      </c>
      <c r="K53" s="4752" t="s">
        <v>1335</v>
      </c>
      <c r="L53" s="4752"/>
      <c r="M53" s="3952">
        <f t="shared" ref="M53:O54" ca="1" si="0">D55</f>
        <v>0</v>
      </c>
      <c r="N53" s="2007" t="str">
        <f t="shared" si="0"/>
        <v>销售额×税（费）率</v>
      </c>
      <c r="O53" s="3840" t="str">
        <f t="shared" si="0"/>
        <v>免征</v>
      </c>
      <c r="R53" s="3665" t="s">
        <v>3650</v>
      </c>
      <c r="S53" s="3666" t="s">
        <v>3657</v>
      </c>
    </row>
    <row r="54" spans="1:35" ht="12" customHeight="1">
      <c r="A54" s="3801" t="s">
        <v>1336</v>
      </c>
      <c r="B54" s="4764" t="s">
        <v>2196</v>
      </c>
      <c r="C54" s="4765"/>
      <c r="D54" s="3950">
        <f ca="1">IF(G54="2016年5月1日之前项目",C68,H63)</f>
        <v>61</v>
      </c>
      <c r="E54" s="3823" t="str">
        <f>IF(G54="2016年5月1日之前项目","差额计税","进销项计算")</f>
        <v>进销项计算</v>
      </c>
      <c r="F54" s="2026">
        <f>IF(G54="2016年5月1日之前项目",5%,9%)</f>
        <v>0.09</v>
      </c>
      <c r="G54" s="3905"/>
      <c r="H54" s="2028"/>
      <c r="I54" s="1390"/>
      <c r="J54" s="2007">
        <v>3</v>
      </c>
      <c r="K54" s="4752" t="s">
        <v>1337</v>
      </c>
      <c r="L54" s="4752"/>
      <c r="M54" s="3952" t="e">
        <f t="shared" ca="1" si="0"/>
        <v>#VALUE!</v>
      </c>
      <c r="N54" s="2007" t="str">
        <f t="shared" si="0"/>
        <v>增值额×税（费）率</v>
      </c>
      <c r="O54" s="3841" t="str">
        <f t="shared" si="0"/>
        <v>免征</v>
      </c>
      <c r="P54" s="51"/>
      <c r="R54" s="3667" t="s">
        <v>3651</v>
      </c>
      <c r="S54" s="3666" t="s">
        <v>3654</v>
      </c>
    </row>
    <row r="55" spans="1:35" ht="24" customHeight="1">
      <c r="A55" s="4778" t="s">
        <v>1338</v>
      </c>
      <c r="B55" s="4779"/>
      <c r="C55" s="4779"/>
      <c r="D55" s="3947">
        <f ca="1">IF(H55="个人住宅",0,ROUND(D45*I55,0))</f>
        <v>0</v>
      </c>
      <c r="E55" s="3802" t="s">
        <v>1339</v>
      </c>
      <c r="F55" s="2026" t="str">
        <f>IF(H55="正常",I55,"免征")</f>
        <v>免征</v>
      </c>
      <c r="G55" s="2027"/>
      <c r="H55" s="2025"/>
      <c r="I55" s="69">
        <f>'数据-取费表'!B50</f>
        <v>5.0000000000000001E-4</v>
      </c>
      <c r="J55" s="2007">
        <f>IF(H59="非个人房产","",4)</f>
        <v>4</v>
      </c>
      <c r="K55" s="4752" t="str">
        <f>IF(H59="非个人房产","——","个人所得税")</f>
        <v>个人所得税</v>
      </c>
      <c r="L55" s="4752"/>
      <c r="M55" s="3953">
        <f ca="1">D59</f>
        <v>7</v>
      </c>
      <c r="N55" s="1588" t="str">
        <f>E59</f>
        <v>差额计税</v>
      </c>
      <c r="O55" s="3842">
        <f>F59</f>
        <v>0.01</v>
      </c>
      <c r="R55" s="3667" t="s">
        <v>3652</v>
      </c>
      <c r="S55" s="3666" t="s">
        <v>3655</v>
      </c>
    </row>
    <row r="56" spans="1:35" ht="24.75">
      <c r="A56" s="4778" t="s">
        <v>1340</v>
      </c>
      <c r="B56" s="4779"/>
      <c r="C56" s="4779"/>
      <c r="D56" s="3947" t="e">
        <f ca="1">IF(H56="个人住宅",D57,IF(H56="正常",D58,ROUND(D45*F56,0)))</f>
        <v>#VALUE!</v>
      </c>
      <c r="E56" s="3802" t="s">
        <v>1341</v>
      </c>
      <c r="F56" s="2026" t="str">
        <f>IF(H56="正常",F58,IF(H56="按预征率计算",5%,"免征"))</f>
        <v>免征</v>
      </c>
      <c r="G56" s="2029" t="s">
        <v>1342</v>
      </c>
      <c r="H56" s="2030"/>
      <c r="I56" s="1391"/>
      <c r="J56" s="2007" t="str">
        <f>IF(项目基本情况!K6="上海银行",IF(J55="",4,J55+1),"")</f>
        <v/>
      </c>
      <c r="K56" s="4716" t="str">
        <f>IF(项目基本情况!K6="上海银行","其他处置费用","")</f>
        <v/>
      </c>
      <c r="L56" s="4717"/>
      <c r="M56" s="3952" t="str">
        <f>IF(项目基本情况!K6="上海银行",M69,"")</f>
        <v/>
      </c>
      <c r="N56" s="4716" t="str">
        <f>IF(项目基本情况!K6="上海银行","包含处置中涉及的律师、诉讼、拍卖、评估等费用","")</f>
        <v/>
      </c>
      <c r="O56" s="4720"/>
      <c r="R56" s="3666"/>
      <c r="S56" s="3666" t="s">
        <v>3656</v>
      </c>
    </row>
    <row r="57" spans="1:35" ht="12.75">
      <c r="A57" s="1829" t="s">
        <v>1319</v>
      </c>
      <c r="B57" s="4764" t="s">
        <v>1343</v>
      </c>
      <c r="C57" s="4765"/>
      <c r="D57" s="3948">
        <v>0</v>
      </c>
      <c r="E57" s="211" t="s">
        <v>1321</v>
      </c>
      <c r="F57" s="190"/>
      <c r="G57" s="2027"/>
      <c r="H57" s="2031"/>
      <c r="I57" s="1391"/>
      <c r="J57" s="4752">
        <f>IF(AND(J55="",J56=""),4,IF(项目基本情况!K6="上海银行",结果表!J56+1,结果表!J55+1))</f>
        <v>5</v>
      </c>
      <c r="K57" s="4752" t="s">
        <v>1344</v>
      </c>
      <c r="L57" s="2009" t="s">
        <v>1345</v>
      </c>
      <c r="M57" s="2010"/>
      <c r="N57" s="3954">
        <f ca="1">SUMIF(M52:M56,"&lt;9e307")</f>
        <v>7</v>
      </c>
      <c r="O57" s="2011"/>
      <c r="P57" s="2121">
        <f ca="1">N57/M49</f>
        <v>9.4722598105548041E-3</v>
      </c>
      <c r="R57" s="4805" t="s">
        <v>3701</v>
      </c>
      <c r="S57" s="4806"/>
    </row>
    <row r="58" spans="1:35" ht="24.75">
      <c r="A58" s="1829" t="s">
        <v>1330</v>
      </c>
      <c r="B58" s="4764" t="s">
        <v>1346</v>
      </c>
      <c r="C58" s="4763"/>
      <c r="D58" s="3947">
        <f ca="1">IF(H58="转让取得",C81,C97)</f>
        <v>342</v>
      </c>
      <c r="E58" s="3802" t="s">
        <v>1341</v>
      </c>
      <c r="F58" s="190" t="s">
        <v>26</v>
      </c>
      <c r="G58" s="2027"/>
      <c r="H58" s="2030"/>
      <c r="I58" s="1391"/>
      <c r="J58" s="4752"/>
      <c r="K58" s="4752"/>
      <c r="L58" s="2009" t="s">
        <v>1347</v>
      </c>
      <c r="M58" s="2012"/>
      <c r="N58" s="2013" t="str">
        <f ca="1">NUMBERSTRING(INT(N57*10000),2)&amp;"元整"</f>
        <v>柒万元整</v>
      </c>
      <c r="O58" s="2014"/>
      <c r="R58" s="4807"/>
      <c r="S58" s="4808"/>
    </row>
    <row r="59" spans="1:35" ht="24.75" thickBot="1">
      <c r="A59" s="4753" t="s">
        <v>1348</v>
      </c>
      <c r="B59" s="4754"/>
      <c r="C59" s="4754"/>
      <c r="D59" s="3951">
        <f ca="1">IF(H59="非个人房产","——",IF(H59="个人住宅（满五唯一有凭证）",0,IF(H59="个人其他（无凭证）",ROUND(D45/(1+'数据-取费表'!C43)*F59,0),ROUND(C67*F59,0))))</f>
        <v>7</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750">
        <f>J57+1</f>
        <v>6</v>
      </c>
      <c r="K59" s="4752" t="s">
        <v>1349</v>
      </c>
      <c r="L59" s="2007" t="s">
        <v>1345</v>
      </c>
      <c r="M59" s="2015"/>
      <c r="N59" s="2823">
        <f ca="1">M49-N57</f>
        <v>732</v>
      </c>
      <c r="O59" s="2016"/>
      <c r="R59" s="3665" t="s">
        <v>3658</v>
      </c>
      <c r="S59" s="3665" t="s">
        <v>3659</v>
      </c>
    </row>
    <row r="60" spans="1:35" ht="12" customHeight="1" thickBot="1">
      <c r="A60" s="1392"/>
      <c r="B60" s="1336"/>
      <c r="C60" s="1336"/>
      <c r="D60" s="1336"/>
      <c r="E60" s="1183"/>
      <c r="F60" s="1391"/>
      <c r="G60" s="1391"/>
      <c r="H60" s="1393"/>
      <c r="I60" s="51"/>
      <c r="J60" s="4751"/>
      <c r="K60" s="4752"/>
      <c r="L60" s="2009" t="s">
        <v>1347</v>
      </c>
      <c r="M60" s="2012"/>
      <c r="N60" s="2824" t="str">
        <f ca="1">NUMBERSTRING(INT(N59*10000),2)&amp;"元整"</f>
        <v>柒佰叁拾贰万元整</v>
      </c>
      <c r="O60" s="2014"/>
      <c r="R60" s="3665" t="s">
        <v>3660</v>
      </c>
      <c r="S60" s="3665" t="s">
        <v>3700</v>
      </c>
    </row>
    <row r="61" spans="1:35" ht="14.25" thickBot="1">
      <c r="A61" s="4812" t="s">
        <v>3698</v>
      </c>
      <c r="B61" s="4813"/>
      <c r="C61" s="4813"/>
      <c r="D61" s="4813"/>
      <c r="E61" s="3831"/>
      <c r="F61" s="4789" t="s">
        <v>3699</v>
      </c>
      <c r="G61" s="4790"/>
      <c r="H61" s="4790"/>
      <c r="I61" s="4791"/>
      <c r="J61" s="3812">
        <f>J59+1</f>
        <v>7</v>
      </c>
      <c r="K61" s="4752" t="s">
        <v>1350</v>
      </c>
      <c r="L61" s="4752"/>
      <c r="M61" s="2017"/>
      <c r="N61" s="2825">
        <f ca="1">ROUND(N59*10000/'数据-汇总表'!E3,0)</f>
        <v>6953</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12.75">
      <c r="A63" s="74" t="s">
        <v>328</v>
      </c>
      <c r="B63" s="3834" t="s">
        <v>3706</v>
      </c>
      <c r="C63" s="3955">
        <f ca="1">ROUND(C64+C65,0)</f>
        <v>739</v>
      </c>
      <c r="D63" s="3826"/>
      <c r="E63" s="4809" t="s">
        <v>3703</v>
      </c>
      <c r="F63" s="3801">
        <v>1</v>
      </c>
      <c r="G63" s="2977" t="s">
        <v>3690</v>
      </c>
      <c r="H63" s="3959">
        <f ca="1">H64-H66</f>
        <v>61</v>
      </c>
      <c r="I63" s="3848"/>
      <c r="J63" s="4718" t="s">
        <v>1354</v>
      </c>
      <c r="K63" s="942" t="s">
        <v>1355</v>
      </c>
      <c r="L63" s="3978">
        <f ca="1">IF(M49&gt;10000,M49*0.5%,IF(AND(M49&gt;1000,M49&lt;=10000),M49*1%,IF(AND(M49&gt;100,M49&lt;=1000),M49*3%,IF(AND(M49&gt;10,M49&lt;=100),M49*5%,M49*8%))))</f>
        <v>22.169999999999998</v>
      </c>
      <c r="M63" s="3926">
        <f ca="1">ROUND(L63,1)</f>
        <v>22.2</v>
      </c>
      <c r="N63" s="2019"/>
      <c r="Z63" s="1341"/>
      <c r="AI63" s="1342"/>
    </row>
    <row r="64" spans="1:35" ht="14.25" customHeight="1">
      <c r="A64" s="71" t="s">
        <v>323</v>
      </c>
      <c r="B64" s="3835" t="s">
        <v>3707</v>
      </c>
      <c r="C64" s="3956">
        <f ca="1">D45</f>
        <v>739</v>
      </c>
      <c r="D64" s="3827"/>
      <c r="E64" s="4810"/>
      <c r="F64" s="3801">
        <v>2</v>
      </c>
      <c r="G64" s="2977" t="s">
        <v>3691</v>
      </c>
      <c r="H64" s="3959">
        <f ca="1">ROUND(H65*I64/(1+I64),0)</f>
        <v>61</v>
      </c>
      <c r="I64" s="3849">
        <v>0.09</v>
      </c>
      <c r="J64" s="4718"/>
      <c r="K64" s="942" t="s">
        <v>1356</v>
      </c>
      <c r="L64" s="3978">
        <f ca="1">IF(M49&gt;2000,M49*0.5%,IF(AND(M49&gt;1000,M49&lt;=2000),M49*0.6%,IF(AND(M49&gt;500,M49&lt;=1000),M49*0.7%,IF(AND(M49&gt;200,M49&lt;=500),M49*0.8%,IF(AND(M49&gt;100,M49&lt;=200),M49*0.9%,IF(AND(M49&gt;50,M49&lt;=100),M49*1%,IF(AND(M49&gt;20,M49&lt;=50),M49*1.5%,IF(AND(M49&gt;10,M49&lt;=20),M49*2%,IF(AND(M49&gt;1,M49&lt;=10),M49*2.5%)))))))))</f>
        <v>5.1729999999999992</v>
      </c>
      <c r="M64" s="3926">
        <f t="shared" ref="M64:M65" ca="1" si="1">ROUND(L64,1)</f>
        <v>5.2</v>
      </c>
      <c r="N64" s="2020" t="s">
        <v>1357</v>
      </c>
      <c r="Z64" s="1341"/>
      <c r="AI64" s="1342"/>
    </row>
    <row r="65" spans="1:35" ht="14.25" customHeight="1">
      <c r="A65" s="71" t="s">
        <v>324</v>
      </c>
      <c r="B65" s="3835" t="s">
        <v>3708</v>
      </c>
      <c r="C65" s="3957"/>
      <c r="D65" s="3828"/>
      <c r="E65" s="4810"/>
      <c r="F65" s="71" t="s">
        <v>323</v>
      </c>
      <c r="G65" s="3850" t="s">
        <v>3694</v>
      </c>
      <c r="H65" s="3959">
        <f ca="1">D45</f>
        <v>739</v>
      </c>
      <c r="I65" s="3848"/>
      <c r="J65" s="4718"/>
      <c r="K65" s="942" t="s">
        <v>1358</v>
      </c>
      <c r="L65" s="3978">
        <f ca="1">IF(M49&gt;1000,M49*0.1%,IF(AND(M49&gt;500,M49&lt;=1000),M49*0.5%,IF(AND(M49&gt;50,M49&lt;=500),M49*1%,IF(AND(M49&gt;1,M49&lt;=50),M49*1.5%))))</f>
        <v>3.6950000000000003</v>
      </c>
      <c r="M65" s="3926">
        <f t="shared" ca="1" si="1"/>
        <v>3.7</v>
      </c>
      <c r="N65" s="2020" t="s">
        <v>1357</v>
      </c>
      <c r="Z65" s="1341"/>
      <c r="AI65" s="1342"/>
    </row>
    <row r="66" spans="1:35" ht="14.25" customHeight="1">
      <c r="A66" s="74" t="s">
        <v>325</v>
      </c>
      <c r="B66" s="3836" t="s">
        <v>3709</v>
      </c>
      <c r="C66" s="3957"/>
      <c r="D66" s="3829"/>
      <c r="E66" s="4810"/>
      <c r="F66" s="3851">
        <v>3</v>
      </c>
      <c r="G66" s="2977" t="s">
        <v>3692</v>
      </c>
      <c r="H66" s="4468">
        <f>ROUND(H67*I67,0)+ROUND(H68*I68,0)</f>
        <v>0</v>
      </c>
      <c r="I66" s="4469"/>
      <c r="J66" s="4718"/>
      <c r="K66" s="942" t="s">
        <v>1359</v>
      </c>
      <c r="L66" s="3978">
        <f ca="1">M49*0.5%</f>
        <v>3.6950000000000003</v>
      </c>
      <c r="M66" s="3926">
        <f ca="1">IF(L66&gt;0.5,0.5,ROUND(L66,0))</f>
        <v>0.5</v>
      </c>
      <c r="N66" s="2020" t="s">
        <v>1360</v>
      </c>
      <c r="Z66" s="1341"/>
      <c r="AI66" s="1342"/>
    </row>
    <row r="67" spans="1:35" ht="14.25" customHeight="1">
      <c r="A67" s="74" t="s">
        <v>326</v>
      </c>
      <c r="B67" s="3833" t="s">
        <v>3705</v>
      </c>
      <c r="C67" s="3956">
        <f ca="1">C63-C66</f>
        <v>739</v>
      </c>
      <c r="D67" s="3828"/>
      <c r="E67" s="4810"/>
      <c r="F67" s="71" t="s">
        <v>323</v>
      </c>
      <c r="G67" s="3850" t="s">
        <v>3696</v>
      </c>
      <c r="H67" s="3960"/>
      <c r="I67" s="3849">
        <v>0.09</v>
      </c>
      <c r="J67" s="4718"/>
      <c r="K67" s="942" t="s">
        <v>1361</v>
      </c>
      <c r="L67" s="3978">
        <f ca="1">IF(M49&gt;=10000,(8.25+(M49-10000)*0.01%),IF(AND(M49&gt;=8000,M49&lt;10000),(7.85+(M49-8000)*0.02%),IF(AND(M49&gt;=5000,M49&lt;8000),(6.65+(M49-5000)*0.04%),IF(AND(M49&gt;=2000,M49&lt;5000),(4.25+(PM49-2000)*0.08%),IF(AND(M49&gt;=1000,M49&lt;2000),(2.75+(M49-1000)*0.15%),IF(AND(M49&gt;=100,M49&lt;1000),(0.5+(M49-100)*0.25%),IF(AND(M49&gt;0,M49&lt;100),M49*0.5%)))))))</f>
        <v>2.0975000000000001</v>
      </c>
      <c r="M67" s="3926">
        <f ca="1">ROUND(L67*0.9,1)</f>
        <v>1.9</v>
      </c>
      <c r="N67" s="2019"/>
      <c r="Z67" s="1341"/>
      <c r="AI67" s="1342"/>
    </row>
    <row r="68" spans="1:35" ht="14.25" customHeight="1" thickBot="1">
      <c r="A68" s="76" t="s">
        <v>327</v>
      </c>
      <c r="B68" s="3837" t="s">
        <v>3710</v>
      </c>
      <c r="C68" s="3958">
        <f ca="1">IF(C67&lt;=0,0,ROUND(C67*D68,0))</f>
        <v>37</v>
      </c>
      <c r="D68" s="3830">
        <v>0.05</v>
      </c>
      <c r="E68" s="4811"/>
      <c r="F68" s="3843" t="s">
        <v>324</v>
      </c>
      <c r="G68" s="3852" t="s">
        <v>3697</v>
      </c>
      <c r="H68" s="3961"/>
      <c r="I68" s="3853">
        <v>0.06</v>
      </c>
      <c r="J68" s="4718"/>
      <c r="K68" s="942" t="s">
        <v>1362</v>
      </c>
      <c r="L68" s="3978">
        <f ca="1">IF(M49&gt;10000,M49*0.5%,IF(AND(M49&gt;5000,M49&lt;=10000),M49*1%,IF(AND(M49&gt;1000,M49&lt;=5000),M49*2%,IF(AND(M49&gt;200,M49&lt;=1000),M49*3%,M49*5%))))</f>
        <v>22.169999999999998</v>
      </c>
      <c r="M68" s="3926">
        <f ca="1">ROUND(L68,1)</f>
        <v>22.2</v>
      </c>
      <c r="N68" s="2019"/>
      <c r="Z68" s="1341"/>
      <c r="AI68" s="1342"/>
    </row>
    <row r="69" spans="1:35" s="1355" customFormat="1" ht="16.5" customHeight="1">
      <c r="A69" s="1394"/>
      <c r="B69" s="1395"/>
      <c r="C69" s="1396"/>
      <c r="D69" s="1397"/>
      <c r="E69" s="1398"/>
      <c r="F69" s="1183"/>
      <c r="G69" s="1183"/>
      <c r="H69" s="1182"/>
      <c r="I69" s="1336"/>
      <c r="J69" s="4719"/>
      <c r="K69" s="942" t="s">
        <v>1363</v>
      </c>
      <c r="L69" s="3978"/>
      <c r="M69" s="3926">
        <f ca="1">ROUND(SUM(M63:M68),0)</f>
        <v>56</v>
      </c>
      <c r="N69" s="2021">
        <f ca="1">M69/M49</f>
        <v>7.5778078484438433E-2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69" t="s">
        <v>1364</v>
      </c>
      <c r="B70" s="4770"/>
      <c r="C70" s="4770"/>
      <c r="D70" s="4770"/>
      <c r="E70" s="4770"/>
      <c r="F70" s="4770"/>
      <c r="G70" s="4770"/>
      <c r="H70" s="477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6" t="s">
        <v>1351</v>
      </c>
      <c r="B71" s="4767"/>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2">
        <f ca="1">ROUND(D45/(1+D72),0)</f>
        <v>678</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2">
        <f ca="1">C74+C78</f>
        <v>68</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7"/>
      <c r="D75" s="3814" t="s">
        <v>24</v>
      </c>
      <c r="E75" s="83" t="s">
        <v>1369</v>
      </c>
      <c r="F75" s="2034"/>
      <c r="G75" s="83" t="s">
        <v>1370</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6">
        <f>IF(F75="购房发票",ROUND(C75*H75*D76,0),0)</f>
        <v>0</v>
      </c>
      <c r="D76" s="3817">
        <v>0.05</v>
      </c>
      <c r="E76" s="4764" t="s">
        <v>1372</v>
      </c>
      <c r="F76" s="4763"/>
      <c r="G76" s="4763"/>
      <c r="H76" s="476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6">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6">
        <f ca="1">ROUND(C72*D78,0)</f>
        <v>68</v>
      </c>
      <c r="D78" s="3819">
        <f>'数据-取费表'!B44</f>
        <v>0.1</v>
      </c>
      <c r="E78" s="4758" t="s">
        <v>1376</v>
      </c>
      <c r="F78" s="4759"/>
      <c r="G78" s="4759"/>
      <c r="H78" s="476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2">
        <f ca="1">C72-C73</f>
        <v>610</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7">
        <f ca="1">IF(C79&lt;=0,0,C79/C73)</f>
        <v>8.9705882352941178</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3">
        <f ca="1">ROUND(IF(C79&lt;=0,0,IF(C80&gt;=200%,C79*60%-C73*35%,IF(C80&gt;=100%,C79*50%-C73*15%,IF(C80&gt;=50%,C79*40%-C73*5%,IF(C80&lt;50%,C79*30%,0))))),0)</f>
        <v>342</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69" t="s">
        <v>1380</v>
      </c>
      <c r="B83" s="4770"/>
      <c r="C83" s="4770"/>
      <c r="D83" s="4770"/>
      <c r="E83" s="4770"/>
      <c r="F83" s="4770"/>
      <c r="G83" s="4770"/>
      <c r="H83" s="477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6" t="s">
        <v>1351</v>
      </c>
      <c r="B84" s="476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2">
        <f ca="1">ROUND(D45/(1+D85),0)</f>
        <v>678</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2">
        <f ca="1">IF(H88="仅含出让金",C87+C90+C91+C92+C93+C94,C87+C91+C92+C93+C94)</f>
        <v>68</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7"/>
      <c r="D88" s="3819"/>
      <c r="E88" s="92" t="s">
        <v>1383</v>
      </c>
      <c r="F88" s="1823"/>
      <c r="G88" s="93" t="s">
        <v>1384</v>
      </c>
      <c r="H88" s="1407" t="s">
        <v>3686</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6">
        <f>ROUND(C88*D89,0)</f>
        <v>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7"/>
      <c r="D90" s="3819"/>
      <c r="E90" s="92" t="str">
        <f>IF(H88="-","土地取得成本中已包含该笔费用"," ")</f>
        <v xml:space="preserve"> </v>
      </c>
      <c r="F90" s="1823"/>
      <c r="G90" s="4721" t="s">
        <v>2033</v>
      </c>
      <c r="H90" s="4722"/>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6">
        <f>IF(H91="——",成本法!C9,I91)</f>
        <v>0</v>
      </c>
      <c r="D91" s="3819"/>
      <c r="E91" s="4758" t="s">
        <v>1389</v>
      </c>
      <c r="F91" s="4759"/>
      <c r="G91" s="4759"/>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6">
        <f>ROUND((C87+C90+C91)*D92,0)</f>
        <v>0</v>
      </c>
      <c r="D92" s="3822"/>
      <c r="E92" s="4758" t="s">
        <v>1392</v>
      </c>
      <c r="F92" s="4759"/>
      <c r="G92" s="4759"/>
      <c r="H92" s="476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6">
        <f ca="1">ROUND(C85*D93,0)</f>
        <v>68</v>
      </c>
      <c r="D93" s="3819">
        <f>'数据-取费表'!B44</f>
        <v>0.1</v>
      </c>
      <c r="E93" s="4783" t="s">
        <v>3687</v>
      </c>
      <c r="F93" s="4759"/>
      <c r="G93" s="4759"/>
      <c r="H93" s="4760"/>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7">
        <f>ROUND((C87+C90+C91)*D94,0)</f>
        <v>0</v>
      </c>
      <c r="D94" s="3819">
        <v>0.2</v>
      </c>
      <c r="E94" s="4784" t="s">
        <v>1396</v>
      </c>
      <c r="F94" s="4785"/>
      <c r="G94" s="4785"/>
      <c r="H94" s="478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2">
        <f ca="1">ROUND(C85-C86,0)</f>
        <v>610</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2">
        <f ca="1">IF(C95&lt;=0,0,C95/C86)</f>
        <v>8.9705882352941178</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3">
        <f ca="1">ROUND(IF(C95&lt;=0,0,IF(C96&gt;=200%,C95*60%-C86*35%,IF(C96&gt;=100%,C95*50%-C86*15%,IF(C96&gt;=50%,C95*40%-C86*5%,IF(C96&lt;50%,C95*30%,0))))),0)</f>
        <v>342</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08" t="s">
        <v>1398</v>
      </c>
      <c r="B100" s="4709"/>
      <c r="C100" s="4709"/>
      <c r="D100" s="4723"/>
      <c r="E100" s="4709" t="s">
        <v>1399</v>
      </c>
      <c r="F100" s="4709"/>
      <c r="G100" s="4709"/>
      <c r="H100" s="4723"/>
      <c r="I100" s="51"/>
    </row>
    <row r="101" spans="1:35" ht="18.75" customHeight="1">
      <c r="A101" s="4729" t="s">
        <v>1400</v>
      </c>
      <c r="B101" s="4730"/>
      <c r="C101" s="2036" t="str">
        <f>C4</f>
        <v>成本法 (元)</v>
      </c>
      <c r="D101" s="2037" t="str">
        <f>D4</f>
        <v>收益法 (元)</v>
      </c>
      <c r="E101" s="4714" t="s">
        <v>1401</v>
      </c>
      <c r="F101" s="4715"/>
      <c r="G101" s="1408" t="s">
        <v>1402</v>
      </c>
      <c r="H101" s="3970">
        <f ca="1">H118</f>
        <v>739</v>
      </c>
      <c r="I101" s="51"/>
    </row>
    <row r="102" spans="1:35" ht="18.75" customHeight="1">
      <c r="A102" s="4731" t="s">
        <v>1403</v>
      </c>
      <c r="B102" s="2035" t="s">
        <v>1402</v>
      </c>
      <c r="C102" s="3966">
        <f ca="1">C19</f>
        <v>756.15560000000005</v>
      </c>
      <c r="D102" s="3967">
        <f ca="1">D19</f>
        <v>722.47730000000001</v>
      </c>
      <c r="E102" s="4714"/>
      <c r="F102" s="4715"/>
      <c r="G102" s="1408" t="s">
        <v>1404</v>
      </c>
      <c r="H102" s="3971">
        <f ca="1">I118</f>
        <v>7019</v>
      </c>
      <c r="I102" s="51"/>
    </row>
    <row r="103" spans="1:35" ht="42.75" customHeight="1">
      <c r="A103" s="4731"/>
      <c r="B103" s="2035" t="s">
        <v>1404</v>
      </c>
      <c r="C103" s="3968">
        <f ca="1">C20</f>
        <v>7182</v>
      </c>
      <c r="D103" s="3969">
        <f ca="1">D20</f>
        <v>6862</v>
      </c>
      <c r="E103" s="4776" t="s">
        <v>1405</v>
      </c>
      <c r="F103" s="4777"/>
      <c r="G103" s="1409" t="s">
        <v>1406</v>
      </c>
      <c r="H103" s="3970">
        <f>IF(D36="正常操作",H104+H105+H106,H105+H106)</f>
        <v>0</v>
      </c>
      <c r="I103" s="51"/>
    </row>
    <row r="104" spans="1:35" ht="18.75" customHeight="1">
      <c r="A104" s="4731" t="s">
        <v>1407</v>
      </c>
      <c r="B104" s="2038" t="s">
        <v>1402</v>
      </c>
      <c r="C104" s="4740">
        <f ca="1">H118</f>
        <v>739</v>
      </c>
      <c r="D104" s="4741"/>
      <c r="E104" s="1268" t="s">
        <v>1408</v>
      </c>
      <c r="F104" s="1264"/>
      <c r="G104" s="1409" t="s">
        <v>1406</v>
      </c>
      <c r="H104" s="3972">
        <f>IF(D36="同一抵押权人同一抵押物续贷",C36&amp;"（续贷，未扣减，详见特别提示）",C36)</f>
        <v>0</v>
      </c>
      <c r="I104" s="51"/>
    </row>
    <row r="105" spans="1:35" ht="18.75" customHeight="1" thickBot="1">
      <c r="A105" s="4761"/>
      <c r="B105" s="2039" t="s">
        <v>1404</v>
      </c>
      <c r="C105" s="4742">
        <f ca="1">I118</f>
        <v>7019</v>
      </c>
      <c r="D105" s="4743"/>
      <c r="E105" s="1268" t="s">
        <v>1409</v>
      </c>
      <c r="F105" s="1264"/>
      <c r="G105" s="1409" t="s">
        <v>1406</v>
      </c>
      <c r="H105" s="3973">
        <f>C37</f>
        <v>0</v>
      </c>
      <c r="I105" s="51"/>
    </row>
    <row r="106" spans="1:35" ht="18.75" customHeight="1">
      <c r="A106" s="1336" t="s">
        <v>1410</v>
      </c>
      <c r="B106" s="1336"/>
      <c r="C106" s="1336"/>
      <c r="D106" s="1336"/>
      <c r="E106" s="1410" t="s">
        <v>1411</v>
      </c>
      <c r="F106" s="1264"/>
      <c r="G106" s="1409" t="s">
        <v>1406</v>
      </c>
      <c r="H106" s="3973">
        <f>C38</f>
        <v>0</v>
      </c>
      <c r="I106" s="51"/>
    </row>
    <row r="107" spans="1:35" ht="18.75" customHeight="1">
      <c r="A107" s="51"/>
      <c r="B107" s="51"/>
      <c r="C107" s="51"/>
      <c r="D107" s="51"/>
      <c r="E107" s="4732" t="str">
        <f>IF(项目基本情况!E8="已注销","——","3.房地产抵押价值")</f>
        <v>3.房地产抵押价值</v>
      </c>
      <c r="F107" s="4715"/>
      <c r="G107" s="1408" t="s">
        <v>1402</v>
      </c>
      <c r="H107" s="3970">
        <f ca="1">IF(E107="——","——",H101-H103)</f>
        <v>739</v>
      </c>
      <c r="I107" s="51"/>
    </row>
    <row r="108" spans="1:35" ht="18.75" customHeight="1">
      <c r="A108" s="51"/>
      <c r="B108" s="51"/>
      <c r="C108" s="51"/>
      <c r="D108" s="51"/>
      <c r="E108" s="4732"/>
      <c r="F108" s="4715"/>
      <c r="G108" s="1408" t="s">
        <v>1404</v>
      </c>
      <c r="H108" s="3971">
        <f ca="1">IF(H107=H101,H102,ROUND(H107*10000/'数据-汇总表'!E3,0))</f>
        <v>7019</v>
      </c>
      <c r="I108" s="51"/>
    </row>
    <row r="109" spans="1:35" ht="18.75" customHeight="1">
      <c r="A109" s="51"/>
      <c r="B109" s="51"/>
      <c r="C109" s="51"/>
      <c r="D109" s="51"/>
      <c r="E109" s="4732" t="str">
        <f>IF(项目基本情况!E8="已注销及未注销","4.抵押担保权已注销时的房地产抵押价值",IF(项目基本情况!E8="已注销","3.抵押担保权已注销时的房地产抵押价值","——"))</f>
        <v>——</v>
      </c>
      <c r="F109" s="4715"/>
      <c r="G109" s="1408" t="s">
        <v>1402</v>
      </c>
      <c r="H109" s="3974" t="str">
        <f>IF(E109="——","——",H101-H105-H106)</f>
        <v>——</v>
      </c>
      <c r="I109" s="51"/>
    </row>
    <row r="110" spans="1:35" ht="18.75" customHeight="1">
      <c r="A110" s="51"/>
      <c r="B110" s="51"/>
      <c r="C110" s="51"/>
      <c r="D110" s="51"/>
      <c r="E110" s="4732"/>
      <c r="F110" s="4715"/>
      <c r="G110" s="1408" t="s">
        <v>1404</v>
      </c>
      <c r="H110" s="3971" t="str">
        <f>IF(H109="——","——",ROUND(H109*10000/'数据-汇总表'!E3,0))</f>
        <v>——</v>
      </c>
      <c r="I110" s="51"/>
    </row>
    <row r="111" spans="1:35" ht="18.75" customHeight="1">
      <c r="A111" s="51"/>
      <c r="B111" s="51"/>
      <c r="C111" s="51"/>
      <c r="D111" s="51"/>
      <c r="E111" s="4733" t="str">
        <f>IF(项目基本情况!E9="抵押净值",IF(OR(项目基本情况!E8="已注销",项目基本情况!E8="房地产抵押价值"),"4.抵押净值","5.抵押净值"),"——")</f>
        <v>——</v>
      </c>
      <c r="F111" s="4734"/>
      <c r="G111" s="1408" t="s">
        <v>1402</v>
      </c>
      <c r="H111" s="3970" t="str">
        <f>IF(E111="——","——",N59)</f>
        <v>——</v>
      </c>
      <c r="I111" s="51"/>
    </row>
    <row r="112" spans="1:35" ht="18.75" customHeight="1" thickBot="1">
      <c r="A112" s="51"/>
      <c r="B112" s="51"/>
      <c r="C112" s="51"/>
      <c r="D112" s="51"/>
      <c r="E112" s="4735"/>
      <c r="F112" s="4736"/>
      <c r="G112" s="1411" t="s">
        <v>1404</v>
      </c>
      <c r="H112" s="3921" t="str">
        <f>IF(E111="——","——",N61)</f>
        <v>——</v>
      </c>
      <c r="I112" s="51"/>
    </row>
    <row r="113" spans="1:27" ht="18.75" customHeight="1">
      <c r="A113" s="51"/>
      <c r="B113" s="51"/>
      <c r="C113" s="51"/>
      <c r="D113" s="51"/>
      <c r="E113" s="4762" t="s">
        <v>1410</v>
      </c>
      <c r="F113" s="4762"/>
      <c r="G113" s="4762"/>
      <c r="H113" s="4762"/>
      <c r="I113" s="51"/>
    </row>
    <row r="114" spans="1:27" ht="3.75" customHeight="1">
      <c r="A114" s="1336"/>
      <c r="B114" s="1336"/>
      <c r="C114" s="1336"/>
      <c r="D114" s="1336"/>
      <c r="E114" s="1392"/>
      <c r="F114" s="1392"/>
      <c r="G114" s="1392"/>
      <c r="H114" s="1392"/>
      <c r="I114" s="1336"/>
    </row>
    <row r="115" spans="1:27" ht="18.75" customHeight="1">
      <c r="A115" s="4772" t="s">
        <v>1412</v>
      </c>
      <c r="B115" s="4773"/>
      <c r="C115" s="4773"/>
      <c r="D115" s="4773"/>
      <c r="E115" s="4773"/>
      <c r="F115" s="4773"/>
      <c r="G115" s="4773"/>
      <c r="H115" s="4773"/>
      <c r="I115" s="4774"/>
    </row>
    <row r="116" spans="1:27" ht="27" customHeight="1">
      <c r="A116" s="4737" t="s">
        <v>1413</v>
      </c>
      <c r="B116" s="4738" t="s">
        <v>1414</v>
      </c>
      <c r="C116" s="4738" t="s">
        <v>1415</v>
      </c>
      <c r="D116" s="4725" t="s">
        <v>1416</v>
      </c>
      <c r="E116" s="4726"/>
      <c r="F116" s="4771"/>
      <c r="G116" s="4771"/>
      <c r="H116" s="4737" t="s">
        <v>1417</v>
      </c>
      <c r="I116" s="4737"/>
      <c r="K116" s="3280"/>
      <c r="L116" s="3281" t="s">
        <v>3478</v>
      </c>
      <c r="M116" s="3281" t="s">
        <v>3479</v>
      </c>
      <c r="N116" s="3281" t="s">
        <v>3480</v>
      </c>
    </row>
    <row r="117" spans="1:27" ht="18.75" customHeight="1">
      <c r="A117" s="4737"/>
      <c r="B117" s="4739"/>
      <c r="C117" s="4739"/>
      <c r="D117" s="1825" t="s">
        <v>1418</v>
      </c>
      <c r="E117" s="1825" t="s">
        <v>1419</v>
      </c>
      <c r="F117" s="1825" t="s">
        <v>1418</v>
      </c>
      <c r="G117" s="1825" t="s">
        <v>1420</v>
      </c>
      <c r="H117" s="1825" t="s">
        <v>1418</v>
      </c>
      <c r="I117" s="1825" t="s">
        <v>1420</v>
      </c>
      <c r="K117" s="3281" t="s">
        <v>3476</v>
      </c>
      <c r="L117" s="3975">
        <f ca="1">C34</f>
        <v>534</v>
      </c>
      <c r="M117" s="3976">
        <f ca="1">C35</f>
        <v>205</v>
      </c>
      <c r="N117" s="3976">
        <f ca="1">C32</f>
        <v>739</v>
      </c>
    </row>
    <row r="118" spans="1:27" ht="24.75" customHeight="1">
      <c r="A118" s="2040" t="str">
        <f>项目基本情况!S2</f>
        <v>北京市房地产</v>
      </c>
      <c r="B118" s="2832">
        <f>M18</f>
        <v>1052.8</v>
      </c>
      <c r="C118" s="2832">
        <f>M19</f>
        <v>4735.72</v>
      </c>
      <c r="D118" s="4346">
        <f ca="1">ROUND(IF(D32="总价",L117,L119*B118/10000),0)</f>
        <v>534</v>
      </c>
      <c r="E118" s="4346">
        <f ca="1">ROUND(IF(C33="自定义",IF(D32="楼面单价",L119,D118*10000/B118),I118-G118),0)</f>
        <v>5072</v>
      </c>
      <c r="F118" s="4346">
        <f ca="1">ROUND(IF(D32="总价",M117,M119*B118/10000),0)</f>
        <v>205</v>
      </c>
      <c r="G118" s="4346">
        <f ca="1">ROUND(IF(D32="楼面单价",,F118*10000/B118),0)</f>
        <v>1947</v>
      </c>
      <c r="H118" s="4346">
        <f ca="1">ROUND(IF(D32="总价",C32,N119*B118/10000),4)</f>
        <v>739</v>
      </c>
      <c r="I118" s="4346">
        <f ca="1">ROUND(IF(D32="楼面单价",C32,N117*10000/B118),0)</f>
        <v>7019</v>
      </c>
      <c r="J118" s="518">
        <f ca="1">D118/C118*666.67</f>
        <v>75.173739156875826</v>
      </c>
      <c r="K118" s="3280"/>
      <c r="L118" s="3977"/>
      <c r="M118" s="3977"/>
      <c r="N118" s="3977"/>
    </row>
    <row r="119" spans="1:27" ht="18.75" customHeight="1">
      <c r="A119" s="4737" t="s">
        <v>1421</v>
      </c>
      <c r="B119" s="4737"/>
      <c r="C119" s="4737"/>
      <c r="D119" s="4727" t="str">
        <f ca="1">NUMBERSTRING(INT(D118*10000),2)&amp;"元整"</f>
        <v>伍佰叁拾肆万元整</v>
      </c>
      <c r="E119" s="4728"/>
      <c r="F119" s="4727" t="str">
        <f ca="1">NUMBERSTRING(INT(F118*10000),2)&amp;"元整"</f>
        <v>贰佰零伍万元整</v>
      </c>
      <c r="G119" s="4728"/>
      <c r="H119" s="4727" t="str">
        <f ca="1">NUMBERSTRING(INT(H118*10000),2)&amp;"元整"</f>
        <v>柒佰叁拾玖万元整</v>
      </c>
      <c r="I119" s="4728"/>
      <c r="K119" s="3281" t="s">
        <v>3477</v>
      </c>
      <c r="L119" s="3976">
        <f ca="1">C34</f>
        <v>534</v>
      </c>
      <c r="M119" s="3976">
        <f ca="1">C35</f>
        <v>205</v>
      </c>
      <c r="N119" s="3976">
        <f ca="1">C32</f>
        <v>739</v>
      </c>
    </row>
    <row r="120" spans="1:27" ht="18.75" customHeight="1">
      <c r="A120" s="4746" t="str">
        <f>IF(项目基本情况!B9="房地产市场价值","",MID(E103,3,LEN(E103)-2))</f>
        <v>估价师知悉的法定优先受偿款</v>
      </c>
      <c r="B120" s="4747"/>
      <c r="C120" s="4747"/>
      <c r="D120" s="4747"/>
      <c r="E120" s="4747"/>
      <c r="F120" s="4747"/>
      <c r="G120" s="4748"/>
      <c r="H120" s="4827">
        <f>H103</f>
        <v>0</v>
      </c>
      <c r="I120" s="482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27" t="s">
        <v>1421</v>
      </c>
      <c r="B121" s="4749"/>
      <c r="C121" s="4749"/>
      <c r="D121" s="4749"/>
      <c r="E121" s="4749"/>
      <c r="F121" s="4749"/>
      <c r="G121" s="4728"/>
      <c r="H121" s="4829" t="str">
        <f>IF(H120=0,"零元整",NUMBERSTRING(INT(H120*10000),2)&amp;"元整")</f>
        <v>零元整</v>
      </c>
      <c r="I121" s="4830"/>
      <c r="AA121" s="518"/>
    </row>
    <row r="122" spans="1:27" ht="18.75" customHeight="1">
      <c r="A122" s="4746" t="str">
        <f>IF(项目基本情况!B9="房地产市场价值","",MID(E107,3,LEN(E107)-2))</f>
        <v>房地产抵押价值</v>
      </c>
      <c r="B122" s="4747"/>
      <c r="C122" s="4747"/>
      <c r="D122" s="4747"/>
      <c r="E122" s="4747"/>
      <c r="F122" s="4747"/>
      <c r="G122" s="4748"/>
      <c r="H122" s="4744">
        <f ca="1">H107</f>
        <v>739</v>
      </c>
      <c r="I122" s="4745"/>
      <c r="AA122" s="518"/>
    </row>
    <row r="123" spans="1:27" ht="18.75" customHeight="1">
      <c r="A123" s="4727" t="s">
        <v>1421</v>
      </c>
      <c r="B123" s="4749"/>
      <c r="C123" s="4749"/>
      <c r="D123" s="4749"/>
      <c r="E123" s="4749"/>
      <c r="F123" s="4749"/>
      <c r="G123" s="4728"/>
      <c r="H123" s="4727" t="str">
        <f ca="1">NUMBERSTRING(INT(H122*10000),2)&amp;"元整"</f>
        <v>柒佰叁拾玖万元整</v>
      </c>
      <c r="I123" s="4728"/>
      <c r="AA123" s="518"/>
    </row>
    <row r="124" spans="1:27" ht="18.75" customHeight="1">
      <c r="A124" s="4746" t="str">
        <f>IF(项目基本情况!B9="房地产市场价值","",MID(E109,3,LEN(E109)-2))</f>
        <v/>
      </c>
      <c r="B124" s="4747"/>
      <c r="C124" s="4747"/>
      <c r="D124" s="4747"/>
      <c r="E124" s="4747"/>
      <c r="F124" s="4747"/>
      <c r="G124" s="4748"/>
      <c r="H124" s="4744" t="str">
        <f>H109</f>
        <v>——</v>
      </c>
      <c r="I124" s="4745"/>
      <c r="AA124" s="518"/>
    </row>
    <row r="125" spans="1:27" ht="18.75" customHeight="1">
      <c r="A125" s="4727" t="s">
        <v>1421</v>
      </c>
      <c r="B125" s="4749"/>
      <c r="C125" s="4749"/>
      <c r="D125" s="4749"/>
      <c r="E125" s="4749"/>
      <c r="F125" s="4749"/>
      <c r="G125" s="4728"/>
      <c r="H125" s="4727" t="e">
        <f>NUMBERSTRING(INT(H124*10000),2)&amp;"元整"</f>
        <v>#VALUE!</v>
      </c>
      <c r="I125" s="4728"/>
      <c r="AA125" s="518"/>
    </row>
    <row r="126" spans="1:27" ht="18.75" customHeight="1">
      <c r="A126" s="4746" t="str">
        <f>IF(项目基本情况!B9="房地产市场价值","",MID(E111,3,LEN(E111)-2))</f>
        <v/>
      </c>
      <c r="B126" s="4747"/>
      <c r="C126" s="4747"/>
      <c r="D126" s="4747"/>
      <c r="E126" s="4747"/>
      <c r="F126" s="4747"/>
      <c r="G126" s="4748"/>
      <c r="H126" s="4744" t="str">
        <f>H111</f>
        <v>——</v>
      </c>
      <c r="I126" s="4745"/>
      <c r="AA126" s="518"/>
    </row>
    <row r="127" spans="1:27" ht="18.75" customHeight="1">
      <c r="A127" s="4727" t="s">
        <v>1421</v>
      </c>
      <c r="B127" s="4749"/>
      <c r="C127" s="4749"/>
      <c r="D127" s="4749"/>
      <c r="E127" s="4749"/>
      <c r="F127" s="4749"/>
      <c r="G127" s="4728"/>
      <c r="H127" s="4727" t="e">
        <f>NUMBERSTRING(INT(H126*10000),2)&amp;"元整"</f>
        <v>#VALUE!</v>
      </c>
      <c r="I127" s="4728"/>
      <c r="AA127" s="518"/>
    </row>
    <row r="128" spans="1:27" ht="21.75" customHeight="1">
      <c r="A128" s="4724" t="s">
        <v>1422</v>
      </c>
      <c r="B128" s="4724"/>
      <c r="C128" s="4724"/>
      <c r="D128" s="4724"/>
      <c r="E128" s="4724"/>
      <c r="F128" s="4724"/>
      <c r="G128" s="4724"/>
      <c r="H128" s="4724"/>
      <c r="I128" s="4724"/>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7</v>
      </c>
    </row>
    <row r="2" spans="1:9" s="99" customFormat="1" ht="15.75">
      <c r="A2" s="100" t="s">
        <v>1431</v>
      </c>
      <c r="B2" s="2756">
        <f ca="1">IF(C1="含税",E2+C33,E2+C32)</f>
        <v>221</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2099</v>
      </c>
      <c r="C3" s="98" t="s">
        <v>1434</v>
      </c>
      <c r="D3" s="98"/>
      <c r="E3" s="2744"/>
      <c r="F3" s="98"/>
      <c r="G3" s="98"/>
    </row>
    <row r="4" spans="1:9" s="99" customFormat="1" ht="16.5" thickBot="1">
      <c r="A4" s="2801" t="s">
        <v>3328</v>
      </c>
      <c r="B4" s="2802" t="s">
        <v>3329</v>
      </c>
      <c r="C4" s="2741" t="s">
        <v>3952</v>
      </c>
      <c r="D4" s="2777" t="s">
        <v>3334</v>
      </c>
      <c r="E4" s="2778" t="s">
        <v>3335</v>
      </c>
      <c r="F4" s="2778" t="s">
        <v>3336</v>
      </c>
      <c r="G4" s="2742" t="s">
        <v>3330</v>
      </c>
    </row>
    <row r="5" spans="1:9" s="107" customFormat="1" ht="15.75">
      <c r="A5" s="2779" t="s">
        <v>3327</v>
      </c>
      <c r="B5" s="2780" t="s">
        <v>3331</v>
      </c>
      <c r="C5" s="2754">
        <f ca="1">ROUND((C6+C9+C21+C24+C25+C28)/(1-F22-C26-C29),0)</f>
        <v>325</v>
      </c>
      <c r="D5" s="2781"/>
      <c r="E5" s="2781"/>
      <c r="F5" s="2781"/>
      <c r="G5" s="2936" t="s">
        <v>3470</v>
      </c>
    </row>
    <row r="6" spans="1:9" s="2767" customFormat="1" ht="15">
      <c r="A6" s="2746" t="s">
        <v>3337</v>
      </c>
      <c r="B6" s="2805" t="s">
        <v>3338</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3286</v>
      </c>
      <c r="C9" s="2768">
        <f ca="1">C10+C11+C12+C13+C19+C20</f>
        <v>296</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232</v>
      </c>
      <c r="D10" s="2785"/>
      <c r="E10" s="148"/>
      <c r="F10" s="2793">
        <f ca="1">IF('数据-取费表'!B24=0,1,IF(B1="",'数据-取费表'!N16,INDIRECT("'数据-取费表'!n"&amp;$G$1)))</f>
        <v>1</v>
      </c>
      <c r="G10" s="160" t="s">
        <v>1467</v>
      </c>
    </row>
    <row r="11" spans="1:9" s="113" customFormat="1">
      <c r="A11" s="2808" t="s">
        <v>349</v>
      </c>
      <c r="B11" s="2809" t="s">
        <v>3322</v>
      </c>
      <c r="C11" s="2755">
        <f ca="1">ROUND(C10*F11,0)</f>
        <v>12</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4" t="s">
        <v>3994</v>
      </c>
    </row>
    <row r="13" spans="1:9" s="113" customFormat="1">
      <c r="A13" s="2808" t="s">
        <v>3287</v>
      </c>
      <c r="B13" s="2809" t="s">
        <v>3324</v>
      </c>
      <c r="C13" s="2755">
        <f ca="1">C14+C17+C18</f>
        <v>47</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17</v>
      </c>
      <c r="D16" s="2795">
        <f ca="1">IF(B1="",'数据-汇总表'!E6,IF(INDIRECT("'数据-取费表'!c"&amp;$G$1)="住宅",INDIRECT("'数据-取费表'!s"&amp;$G$1),INDIRECT("'数据-取费表'!k"&amp;$G$1)+INDIRECT("'数据-取费表'!s"&amp;$G$1)))</f>
        <v>1052.8</v>
      </c>
      <c r="E16" s="2795">
        <f>'数据-取费表'!B28</f>
        <v>160</v>
      </c>
      <c r="F16" s="2787"/>
      <c r="G16" s="125"/>
    </row>
    <row r="17" spans="1:7" s="113" customFormat="1">
      <c r="A17" s="2739" t="s">
        <v>3289</v>
      </c>
      <c r="B17" s="2813" t="s">
        <v>3294</v>
      </c>
      <c r="C17" s="2755">
        <f ca="1">IF(G17="已包含在土地取得成本中","0",ROUND(D17*E17/10000,0))</f>
        <v>26</v>
      </c>
      <c r="D17" s="2796">
        <f ca="1">D15+D16</f>
        <v>1052.8</v>
      </c>
      <c r="E17" s="2796">
        <f>'数据-取费表'!B31</f>
        <v>250</v>
      </c>
      <c r="F17" s="2763"/>
      <c r="G17" s="1437"/>
    </row>
    <row r="18" spans="1:7" s="113" customFormat="1">
      <c r="A18" s="2814" t="s">
        <v>3290</v>
      </c>
      <c r="B18" s="2813" t="s">
        <v>1472</v>
      </c>
      <c r="C18" s="2755">
        <f ca="1">ROUND(E18*D18*F10/10000,0)</f>
        <v>21</v>
      </c>
      <c r="D18" s="2755">
        <f ca="1">D17</f>
        <v>1052.8</v>
      </c>
      <c r="E18" s="2755">
        <f>'数据-取费表'!B35</f>
        <v>200</v>
      </c>
      <c r="F18" s="2766"/>
      <c r="G18" s="160" t="str">
        <f ca="1">IF(F10=100%,"","按工程进度计取")</f>
        <v/>
      </c>
    </row>
    <row r="19" spans="1:7" s="113" customFormat="1">
      <c r="A19" s="2808" t="s">
        <v>352</v>
      </c>
      <c r="B19" s="2809" t="s">
        <v>3325</v>
      </c>
      <c r="C19" s="2755">
        <f ca="1">ROUND(C10*F19,0)</f>
        <v>5</v>
      </c>
      <c r="D19" s="148"/>
      <c r="E19" s="148"/>
      <c r="F19" s="2766">
        <f>'数据-取费表'!B36</f>
        <v>0.02</v>
      </c>
      <c r="G19" s="160" t="s">
        <v>1469</v>
      </c>
    </row>
    <row r="20" spans="1:7" s="113" customFormat="1">
      <c r="A20" s="2808" t="s">
        <v>3291</v>
      </c>
      <c r="B20" s="2809" t="s">
        <v>3326</v>
      </c>
      <c r="C20" s="2755">
        <f ca="1">ROUND(C10*F20,0)</f>
        <v>0</v>
      </c>
      <c r="D20" s="2797"/>
      <c r="E20" s="144"/>
      <c r="F20" s="2766">
        <f>'数据-取费表'!B37</f>
        <v>0</v>
      </c>
      <c r="G20" s="160" t="s">
        <v>1469</v>
      </c>
    </row>
    <row r="21" spans="1:7" s="2767" customFormat="1" ht="15">
      <c r="A21" s="2746" t="s">
        <v>3339</v>
      </c>
      <c r="B21" s="2805" t="s">
        <v>3340</v>
      </c>
      <c r="C21" s="2768">
        <f ca="1">ROUND((C6+C9)*F21,0)</f>
        <v>4</v>
      </c>
      <c r="D21" s="2769"/>
      <c r="E21" s="2769"/>
      <c r="F21" s="2773">
        <f>'数据-取费表'!B38</f>
        <v>1.4999999999999999E-2</v>
      </c>
      <c r="G21" s="2770" t="s">
        <v>3341</v>
      </c>
    </row>
    <row r="22" spans="1:7" s="2767" customFormat="1" ht="15">
      <c r="A22" s="2746" t="s">
        <v>3342</v>
      </c>
      <c r="B22" s="2805" t="s">
        <v>3343</v>
      </c>
      <c r="C22" s="2771" t="str">
        <f>F22&amp;"V"</f>
        <v>0.015V</v>
      </c>
      <c r="D22" s="302"/>
      <c r="E22" s="2769"/>
      <c r="F22" s="2773">
        <f>'数据-取费表'!B39</f>
        <v>1.4999999999999999E-2</v>
      </c>
      <c r="G22" s="3804" t="s">
        <v>3988</v>
      </c>
    </row>
    <row r="23" spans="1:7" s="2767" customFormat="1" ht="15">
      <c r="A23" s="2746" t="s">
        <v>3344</v>
      </c>
      <c r="B23" s="2807" t="s">
        <v>3295</v>
      </c>
      <c r="C23" s="2747" t="str">
        <f ca="1">SUM(C24:C25)&amp;"+"&amp;C26&amp;"V"</f>
        <v>5+0.0002V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64" t="s">
        <v>3989</v>
      </c>
    </row>
    <row r="25" spans="1:7" s="113" customFormat="1">
      <c r="A25" s="2815" t="s">
        <v>1453</v>
      </c>
      <c r="B25" s="2813" t="s">
        <v>3296</v>
      </c>
      <c r="C25" s="2761">
        <f ca="1">ROUND(IF('数据-取费表'!B22&lt;=1,(C9+C21)*F23*'数据-取费表'!B23/2,(C9+C21)*(POWER((1+F23),'数据-取费表'!B23/2)-1)),0)</f>
        <v>5</v>
      </c>
      <c r="D25" s="137"/>
      <c r="E25" s="137"/>
      <c r="F25" s="2762"/>
      <c r="G25" s="4264" t="s">
        <v>3990</v>
      </c>
    </row>
    <row r="26" spans="1:7" s="113" customFormat="1">
      <c r="A26" s="2815" t="s">
        <v>348</v>
      </c>
      <c r="B26" s="2813" t="s">
        <v>1454</v>
      </c>
      <c r="C26" s="2758">
        <f ca="1">ROUND(IF('数据-取费表'!B22&lt;=1,F22*F23*'数据-取费表'!B23/2,F22*(POWER((1+F23),'数据-取费表'!B23/2)-1)),4)</f>
        <v>2.0000000000000001E-4</v>
      </c>
      <c r="D26" s="137"/>
      <c r="E26" s="140"/>
      <c r="F26" s="2762"/>
      <c r="G26" s="4610" t="s">
        <v>3991</v>
      </c>
    </row>
    <row r="27" spans="1:7" s="2767" customFormat="1" ht="15">
      <c r="A27" s="2746" t="s">
        <v>3345</v>
      </c>
      <c r="B27" s="2807" t="s">
        <v>3297</v>
      </c>
      <c r="C27" s="2774" t="str">
        <f ca="1">C28&amp;"+"&amp;C29&amp;"V"</f>
        <v>15+0.0008V</v>
      </c>
      <c r="D27" s="2772"/>
      <c r="E27" s="302"/>
      <c r="F27" s="2775">
        <f ca="1">IF(B1="",'数据-取费表'!Q16,INDIRECT("'数据-取费表'!q"&amp;$G$1))</f>
        <v>0.05</v>
      </c>
      <c r="G27" s="2770" t="s">
        <v>3996</v>
      </c>
    </row>
    <row r="28" spans="1:7" s="113" customFormat="1">
      <c r="A28" s="2808" t="s">
        <v>344</v>
      </c>
      <c r="B28" s="2813" t="s">
        <v>1459</v>
      </c>
      <c r="C28" s="2740">
        <f ca="1">ROUND(C6*F27*'数据-取费表'!B23/'数据-取费表'!B22+(C9+C21)*F27,0)</f>
        <v>15</v>
      </c>
      <c r="D28" s="134"/>
      <c r="E28" s="135"/>
      <c r="F28" s="2763"/>
      <c r="G28" s="3279" t="str">
        <f ca="1">IF(F10=100%,"","其中：土地取得成本产生的利润按已建工期计算")</f>
        <v/>
      </c>
    </row>
    <row r="29" spans="1:7" s="113" customFormat="1">
      <c r="A29" s="2808" t="s">
        <v>345</v>
      </c>
      <c r="B29" s="2813" t="s">
        <v>1460</v>
      </c>
      <c r="C29" s="2758">
        <f ca="1">ROUND(F22*F27,4)</f>
        <v>8.0000000000000004E-4</v>
      </c>
      <c r="D29" s="134"/>
      <c r="E29" s="135"/>
      <c r="F29" s="2763"/>
      <c r="G29" s="146"/>
    </row>
    <row r="30" spans="1:7" s="2767" customFormat="1" ht="15">
      <c r="A30" s="2746" t="s">
        <v>3346</v>
      </c>
      <c r="B30" s="2805" t="s">
        <v>3347</v>
      </c>
      <c r="C30" s="2768">
        <v>0</v>
      </c>
      <c r="D30" s="302"/>
      <c r="E30" s="2748"/>
      <c r="F30" s="2773"/>
      <c r="G30" s="2776" t="s">
        <v>3298</v>
      </c>
    </row>
    <row r="31" spans="1:7" s="113" customFormat="1" ht="15.75">
      <c r="A31" s="2816">
        <v>2</v>
      </c>
      <c r="B31" s="2817" t="s">
        <v>3299</v>
      </c>
      <c r="C31" s="2759">
        <f ca="1">C57</f>
        <v>104</v>
      </c>
      <c r="D31" s="2750"/>
      <c r="E31" s="2750"/>
      <c r="F31" s="2764">
        <f>IF('数据-取费表'!B24=0,'数据-取费表'!N16,1)</f>
        <v>0.65</v>
      </c>
      <c r="G31" s="2751" t="s">
        <v>3810</v>
      </c>
    </row>
    <row r="32" spans="1:7" s="113" customFormat="1" ht="15.75">
      <c r="A32" s="2738" t="s">
        <v>3300</v>
      </c>
      <c r="B32" s="2737" t="s">
        <v>3301</v>
      </c>
      <c r="C32" s="2759">
        <f ca="1">C5-C31</f>
        <v>221</v>
      </c>
      <c r="D32" s="2750"/>
      <c r="E32" s="2750"/>
      <c r="F32" s="2749"/>
      <c r="G32" s="2752" t="s">
        <v>3332</v>
      </c>
    </row>
    <row r="33" spans="1:7" s="113" customFormat="1" ht="16.5" thickBot="1">
      <c r="A33" s="2818">
        <v>4</v>
      </c>
      <c r="B33" s="2819" t="s">
        <v>3333</v>
      </c>
      <c r="C33" s="2760">
        <f ca="1">ROUND(C32*(1+F33),0)</f>
        <v>241</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75" thickBot="1">
      <c r="A38" s="3007" t="s">
        <v>3302</v>
      </c>
      <c r="B38" s="3008"/>
      <c r="C38" s="3008"/>
      <c r="D38" s="3008"/>
      <c r="E38" s="3008"/>
      <c r="F38" s="3008"/>
      <c r="G38" s="3009"/>
    </row>
    <row r="39" spans="1:7" ht="15.75" thickBot="1">
      <c r="A39" s="3010" t="s">
        <v>3328</v>
      </c>
      <c r="B39" s="3011" t="s">
        <v>3329</v>
      </c>
      <c r="C39" s="3012" t="s">
        <v>3952</v>
      </c>
      <c r="D39" s="3013" t="s">
        <v>3452</v>
      </c>
      <c r="E39" s="3014" t="s">
        <v>3453</v>
      </c>
      <c r="F39" s="3014" t="s">
        <v>3454</v>
      </c>
      <c r="G39" s="3015" t="s">
        <v>3330</v>
      </c>
    </row>
    <row r="40" spans="1:7" ht="15">
      <c r="A40" s="2868" t="s">
        <v>3455</v>
      </c>
      <c r="B40" s="3017" t="s">
        <v>3303</v>
      </c>
      <c r="C40" s="3018">
        <f ca="1">SUM(C41:C46)</f>
        <v>270</v>
      </c>
      <c r="D40" s="3016"/>
      <c r="E40" s="3016"/>
      <c r="F40" s="3016"/>
      <c r="G40" s="4349"/>
    </row>
    <row r="41" spans="1:7" ht="15.75">
      <c r="A41" s="2800" t="s">
        <v>3304</v>
      </c>
      <c r="B41" s="2867" t="str">
        <f t="shared" ref="B41:C43" si="0">B10</f>
        <v xml:space="preserve">  建安费用</v>
      </c>
      <c r="C41" s="2735">
        <f t="shared" ca="1" si="0"/>
        <v>232</v>
      </c>
      <c r="D41" s="2730"/>
      <c r="E41" s="2730"/>
      <c r="F41" s="2731"/>
      <c r="G41" s="4350"/>
    </row>
    <row r="42" spans="1:7" ht="15.75">
      <c r="A42" s="2800" t="s">
        <v>3305</v>
      </c>
      <c r="B42" s="2867" t="str">
        <f t="shared" si="0"/>
        <v xml:space="preserve">  前期费用</v>
      </c>
      <c r="C42" s="2735">
        <f t="shared" ca="1" si="0"/>
        <v>12</v>
      </c>
      <c r="D42" s="2730"/>
      <c r="E42" s="2730"/>
      <c r="F42" s="2731"/>
      <c r="G42" s="4350"/>
    </row>
    <row r="43" spans="1:7" ht="15.75">
      <c r="A43" s="2800" t="s">
        <v>3369</v>
      </c>
      <c r="B43" s="2804" t="str">
        <f t="shared" si="0"/>
        <v xml:space="preserve">  公共配套设施费用</v>
      </c>
      <c r="C43" s="2735">
        <f t="shared" ca="1" si="0"/>
        <v>0</v>
      </c>
      <c r="D43" s="2730"/>
      <c r="E43" s="2730"/>
      <c r="F43" s="2731"/>
      <c r="G43" s="4350"/>
    </row>
    <row r="44" spans="1:7" ht="15.75">
      <c r="A44" s="2800" t="s">
        <v>3287</v>
      </c>
      <c r="B44" s="2804" t="str">
        <f>B18</f>
        <v>红线内市政费用</v>
      </c>
      <c r="C44" s="2735">
        <f ca="1">C18</f>
        <v>21</v>
      </c>
      <c r="D44" s="2730"/>
      <c r="E44" s="2730"/>
      <c r="F44" s="2731"/>
      <c r="G44" s="4350"/>
    </row>
    <row r="45" spans="1:7" ht="15.75">
      <c r="A45" s="2815" t="s">
        <v>3306</v>
      </c>
      <c r="B45" s="2810" t="str">
        <f>B19</f>
        <v xml:space="preserve">  其他工程费</v>
      </c>
      <c r="C45" s="2740">
        <f ca="1">C19</f>
        <v>5</v>
      </c>
      <c r="D45" s="2865"/>
      <c r="E45" s="2865"/>
      <c r="F45" s="2866"/>
      <c r="G45" s="4351"/>
    </row>
    <row r="46" spans="1:7" ht="15.75">
      <c r="A46" s="2815" t="s">
        <v>3368</v>
      </c>
      <c r="B46" s="2810" t="s">
        <v>3307</v>
      </c>
      <c r="C46" s="2740">
        <f ca="1">C20</f>
        <v>0</v>
      </c>
      <c r="D46" s="2865"/>
      <c r="E46" s="2865"/>
      <c r="F46" s="2866"/>
      <c r="G46" s="4351"/>
    </row>
    <row r="47" spans="1:7" ht="15">
      <c r="A47" s="2868" t="s">
        <v>3456</v>
      </c>
      <c r="B47" s="2869" t="s">
        <v>3457</v>
      </c>
      <c r="C47" s="2870">
        <f ca="1">ROUND(C40*F47,0)</f>
        <v>4</v>
      </c>
      <c r="D47" s="2871"/>
      <c r="E47" s="2871"/>
      <c r="F47" s="2872">
        <f>F21</f>
        <v>1.4999999999999999E-2</v>
      </c>
      <c r="G47" s="2873" t="s">
        <v>3458</v>
      </c>
    </row>
    <row r="48" spans="1:7" ht="15">
      <c r="A48" s="2868" t="s">
        <v>3459</v>
      </c>
      <c r="B48" s="2869" t="s">
        <v>3460</v>
      </c>
      <c r="C48" s="2874" t="str">
        <f>F48&amp;"V建1"</f>
        <v>0.015V建1</v>
      </c>
      <c r="D48" s="2871"/>
      <c r="E48" s="2871"/>
      <c r="F48" s="2872">
        <f>F22</f>
        <v>1.4999999999999999E-2</v>
      </c>
      <c r="G48" s="4611" t="s">
        <v>3992</v>
      </c>
    </row>
    <row r="49" spans="1:7" ht="15">
      <c r="A49" s="2868" t="s">
        <v>3461</v>
      </c>
      <c r="B49" s="2875" t="s">
        <v>3367</v>
      </c>
      <c r="C49" s="2768" t="str">
        <f ca="1">C50&amp;"+"&amp;C51&amp;"V建1"</f>
        <v>4+0.0002V建1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4</v>
      </c>
      <c r="D50" s="1070"/>
      <c r="E50" s="1070"/>
      <c r="F50" s="1053"/>
      <c r="G50" s="4831" t="str">
        <f ca="1">IF(F10=100%,"建设期均匀投入","已建工期均匀投入")</f>
        <v>建设期均匀投入</v>
      </c>
    </row>
    <row r="51" spans="1:7">
      <c r="A51" s="2800" t="s">
        <v>3305</v>
      </c>
      <c r="B51" s="2804" t="s">
        <v>3310</v>
      </c>
      <c r="C51" s="2888">
        <f ca="1">ROUND(IF('数据-取费表'!B22&lt;=1,F48*F23*'数据-取费表'!B22/2,F48*(POWER((1+F23),'数据-取费表'!B22/2)-1)),4)</f>
        <v>2.0000000000000001E-4</v>
      </c>
      <c r="D51" s="1070"/>
      <c r="E51" s="1070"/>
      <c r="F51" s="1053"/>
      <c r="G51" s="4832"/>
    </row>
    <row r="52" spans="1:7" ht="15">
      <c r="A52" s="2868" t="s">
        <v>3462</v>
      </c>
      <c r="B52" s="2877" t="s">
        <v>3311</v>
      </c>
      <c r="C52" s="2878" t="str">
        <f ca="1">C53&amp;"+"&amp;C54&amp;"V建1"</f>
        <v>14+0.0008V建1</v>
      </c>
      <c r="D52" s="2879"/>
      <c r="E52" s="2871"/>
      <c r="F52" s="2880">
        <f ca="1">F27</f>
        <v>0.05</v>
      </c>
      <c r="G52" s="2881" t="s">
        <v>3463</v>
      </c>
    </row>
    <row r="53" spans="1:7">
      <c r="A53" s="2800" t="s">
        <v>3308</v>
      </c>
      <c r="B53" s="2803" t="s">
        <v>3312</v>
      </c>
      <c r="C53" s="2735">
        <f ca="1">ROUND((C40+C47)*F27,0)</f>
        <v>14</v>
      </c>
      <c r="D53" s="2736"/>
      <c r="E53" s="2732"/>
      <c r="F53" s="2733"/>
      <c r="G53" s="2734"/>
    </row>
    <row r="54" spans="1:7">
      <c r="A54" s="2800" t="s">
        <v>3309</v>
      </c>
      <c r="B54" s="2803" t="s">
        <v>3313</v>
      </c>
      <c r="C54" s="2799">
        <f ca="1">ROUND(F48*F27,4)</f>
        <v>8.0000000000000004E-4</v>
      </c>
      <c r="D54" s="2736"/>
      <c r="E54" s="2732"/>
      <c r="F54" s="2733"/>
      <c r="G54" s="2734"/>
    </row>
    <row r="55" spans="1:7" ht="15">
      <c r="A55" s="2746" t="s">
        <v>3464</v>
      </c>
      <c r="B55" s="2886" t="s">
        <v>3465</v>
      </c>
      <c r="C55" s="4353">
        <v>0</v>
      </c>
      <c r="D55" s="2772"/>
      <c r="E55" s="302"/>
      <c r="F55" s="2876"/>
      <c r="G55" s="2883" t="s">
        <v>3316</v>
      </c>
    </row>
    <row r="56" spans="1:7" ht="16.5">
      <c r="A56" s="2746" t="s">
        <v>3469</v>
      </c>
      <c r="B56" s="2882" t="s">
        <v>3466</v>
      </c>
      <c r="C56" s="2768">
        <f ca="1">ROUND((C40+C47+C50+C53)/(1-F48-C51-C54),0)</f>
        <v>297</v>
      </c>
      <c r="D56" s="302"/>
      <c r="E56" s="302"/>
      <c r="F56" s="2884"/>
      <c r="G56" s="2883" t="s">
        <v>3317</v>
      </c>
    </row>
    <row r="57" spans="1:7" ht="15">
      <c r="A57" s="2746" t="s">
        <v>3433</v>
      </c>
      <c r="B57" s="2885" t="s">
        <v>3314</v>
      </c>
      <c r="C57" s="2768">
        <f ca="1">ROUND(C56*(1-F57),0)</f>
        <v>104</v>
      </c>
      <c r="D57" s="302"/>
      <c r="E57" s="302"/>
      <c r="F57" s="2884">
        <f>F31</f>
        <v>0.65</v>
      </c>
      <c r="G57" s="2883" t="s">
        <v>3318</v>
      </c>
    </row>
    <row r="58" spans="1:7" ht="16.5">
      <c r="A58" s="2746" t="s">
        <v>3467</v>
      </c>
      <c r="B58" s="2882" t="s">
        <v>3468</v>
      </c>
      <c r="C58" s="2768">
        <f ca="1">C56-C57</f>
        <v>193</v>
      </c>
      <c r="D58" s="302"/>
      <c r="E58" s="302"/>
      <c r="F58" s="2884"/>
      <c r="G58" s="2883" t="s">
        <v>3319</v>
      </c>
    </row>
    <row r="59" spans="1:7" ht="15.75" thickBot="1">
      <c r="A59" s="4354" t="s">
        <v>3370</v>
      </c>
      <c r="B59" s="4355" t="s">
        <v>3315</v>
      </c>
      <c r="C59" s="4356">
        <f ca="1">ROUND(C58*(1+F59),0)</f>
        <v>210</v>
      </c>
      <c r="D59" s="4357"/>
      <c r="E59" s="4357"/>
      <c r="F59" s="4358">
        <f>F33</f>
        <v>0.09</v>
      </c>
      <c r="G59" s="4359" t="s">
        <v>3993</v>
      </c>
    </row>
    <row r="60" spans="1:7" ht="14.25">
      <c r="A60" s="2728"/>
      <c r="B60" s="2729"/>
    </row>
    <row r="62" spans="1:7" ht="21" customHeight="1">
      <c r="B62" s="2798" t="s">
        <v>1498</v>
      </c>
      <c r="C62" s="170"/>
    </row>
    <row r="63" spans="1:7" ht="21" customHeight="1">
      <c r="B63" s="216" t="s">
        <v>787</v>
      </c>
      <c r="C63" s="4427">
        <f ca="1">1-C64</f>
        <v>0.127</v>
      </c>
    </row>
    <row r="64" spans="1:7" ht="21" customHeight="1">
      <c r="B64" s="216" t="s">
        <v>788</v>
      </c>
      <c r="C64" s="4428">
        <f ca="1">ROUND(C58/C32,3)</f>
        <v>0.873</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19" t="str">
        <f>项目基本情况!B1</f>
        <v>北京市房地产抵押价值预评估</v>
      </c>
      <c r="C37" s="4619"/>
      <c r="D37" s="4619"/>
      <c r="E37" s="4619"/>
      <c r="F37" s="4619"/>
      <c r="G37" s="4619"/>
      <c r="H37" s="4619"/>
      <c r="I37" s="4619"/>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F20" sqref="F2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t="s">
        <v>3</v>
      </c>
      <c r="C1" s="3586" t="s">
        <v>4007</v>
      </c>
      <c r="D1" s="1440" t="s">
        <v>1499</v>
      </c>
      <c r="E1" s="97"/>
      <c r="F1" s="97"/>
      <c r="G1" s="795">
        <f>MATCH(B1,'数据-取费表'!A6:A16,0)+5</f>
        <v>6</v>
      </c>
      <c r="H1" s="3263" t="str">
        <f>IF(ISERROR(FIND("住宅",B1)),"非住宅","住宅")</f>
        <v>非住宅</v>
      </c>
    </row>
    <row r="2" spans="1:10" s="99" customFormat="1" ht="15.75">
      <c r="A2" s="100" t="s">
        <v>1431</v>
      </c>
      <c r="B2" s="3979">
        <f ca="1">ROUND(D3/10000,4)</f>
        <v>756.15560000000005</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7182</v>
      </c>
      <c r="C3" s="98" t="s">
        <v>1434</v>
      </c>
      <c r="D3" s="98">
        <f ca="1">IF(C1="含税",E2+C33,E2+C32)</f>
        <v>7561556</v>
      </c>
      <c r="E3" s="2744"/>
      <c r="F3" s="98"/>
      <c r="G3" s="98"/>
    </row>
    <row r="4" spans="1:10" s="99" customFormat="1" ht="16.5" thickBot="1">
      <c r="A4" s="2801" t="s">
        <v>3328</v>
      </c>
      <c r="B4" s="2802" t="s">
        <v>3329</v>
      </c>
      <c r="C4" s="2741" t="s">
        <v>3952</v>
      </c>
      <c r="D4" s="2777" t="s">
        <v>3334</v>
      </c>
      <c r="E4" s="2778" t="s">
        <v>3335</v>
      </c>
      <c r="F4" s="2778" t="s">
        <v>3336</v>
      </c>
      <c r="G4" s="2742" t="s">
        <v>3330</v>
      </c>
    </row>
    <row r="5" spans="1:10" s="107" customFormat="1" ht="15.75">
      <c r="A5" s="2779" t="s">
        <v>3327</v>
      </c>
      <c r="B5" s="2780" t="s">
        <v>3331</v>
      </c>
      <c r="C5" s="2754">
        <f ca="1">ROUND((C6+C9+C21+C24+C25+C28)/(1-F22-C26-C29),0)</f>
        <v>7971052</v>
      </c>
      <c r="D5" s="2781"/>
      <c r="E5" s="2781"/>
      <c r="F5" s="2781"/>
      <c r="G5" s="2936" t="s">
        <v>3470</v>
      </c>
      <c r="J5" s="99"/>
    </row>
    <row r="6" spans="1:10" s="2767" customFormat="1" ht="15">
      <c r="A6" s="2746" t="s">
        <v>3337</v>
      </c>
      <c r="B6" s="2805" t="s">
        <v>3338</v>
      </c>
      <c r="C6" s="2782">
        <f>C7+C8</f>
        <v>4338462.08</v>
      </c>
      <c r="D6" s="2745"/>
      <c r="E6" s="2745"/>
      <c r="F6" s="2745"/>
      <c r="G6" s="2783"/>
      <c r="J6" s="99"/>
    </row>
    <row r="7" spans="1:10" s="113" customFormat="1" ht="15">
      <c r="A7" s="2784" t="s">
        <v>344</v>
      </c>
      <c r="B7" s="2806" t="s">
        <v>1442</v>
      </c>
      <c r="C7" s="3264">
        <f>基准地价修正!C33*基准地价修正!D33</f>
        <v>4210055.08</v>
      </c>
      <c r="D7" s="2785"/>
      <c r="E7" s="2786"/>
      <c r="F7" s="2786"/>
      <c r="G7" s="160"/>
      <c r="J7" s="99"/>
    </row>
    <row r="8" spans="1:10" s="113" customFormat="1" ht="15">
      <c r="A8" s="2784" t="s">
        <v>345</v>
      </c>
      <c r="B8" s="2806" t="s">
        <v>1444</v>
      </c>
      <c r="C8" s="2755">
        <f>ROUND(C7*F8,0)</f>
        <v>128407</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2857299</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2316160</v>
      </c>
      <c r="D10" s="2785"/>
      <c r="E10" s="148"/>
      <c r="F10" s="2793">
        <f ca="1">IF('数据-取费表'!B24=0,1,IF(B1="",'数据-取费表'!N16,INDIRECT("'数据-取费表'!n"&amp;$G$1)))</f>
        <v>1</v>
      </c>
      <c r="G10" s="160" t="s">
        <v>1467</v>
      </c>
      <c r="J10" s="99"/>
    </row>
    <row r="11" spans="1:10" s="113" customFormat="1" ht="15">
      <c r="A11" s="2808" t="s">
        <v>349</v>
      </c>
      <c r="B11" s="2809" t="s">
        <v>3322</v>
      </c>
      <c r="C11" s="2755">
        <f ca="1">ROUND(C10*F11,0)</f>
        <v>115808</v>
      </c>
      <c r="D11" s="148"/>
      <c r="E11" s="148"/>
      <c r="F11" s="2766">
        <f>'数据-取费表'!B33</f>
        <v>0.05</v>
      </c>
      <c r="G11" s="160" t="s">
        <v>1469</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4" t="s">
        <v>3995</v>
      </c>
      <c r="J12" s="99"/>
    </row>
    <row r="13" spans="1:10" s="113" customFormat="1" ht="15">
      <c r="A13" s="2808" t="s">
        <v>3287</v>
      </c>
      <c r="B13" s="2809" t="s">
        <v>3324</v>
      </c>
      <c r="C13" s="2755">
        <f ca="1">C14+C17+C18</f>
        <v>379008</v>
      </c>
      <c r="D13" s="148"/>
      <c r="E13" s="2786"/>
      <c r="F13" s="2787"/>
      <c r="G13" s="160"/>
      <c r="J13" s="99"/>
    </row>
    <row r="14" spans="1:10" s="122" customFormat="1" ht="15">
      <c r="A14" s="2739" t="s">
        <v>3288</v>
      </c>
      <c r="B14" s="2810" t="s">
        <v>3320</v>
      </c>
      <c r="C14" s="2755">
        <f ca="1">IF(G14="已包含在土地购买价格中","0",IF(B1="",'数据-取费表'!B29,IF(G15="全部缴纳",C15+C16,H15)))</f>
        <v>168448</v>
      </c>
      <c r="D14" s="2794"/>
      <c r="E14" s="148"/>
      <c r="F14" s="2787"/>
      <c r="G14" s="1437" t="s">
        <v>4019</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4020</v>
      </c>
      <c r="H15" s="803"/>
      <c r="I15" s="1439" t="s">
        <v>1448</v>
      </c>
      <c r="J15" s="99"/>
    </row>
    <row r="16" spans="1:10" s="113" customFormat="1" ht="15">
      <c r="A16" s="2811" t="s">
        <v>354</v>
      </c>
      <c r="B16" s="2812" t="s">
        <v>1449</v>
      </c>
      <c r="C16" s="2795">
        <f ca="1">ROUND(D16*E16,0)</f>
        <v>168448</v>
      </c>
      <c r="D16" s="2795">
        <f ca="1">IF(B1="",'数据-汇总表'!E6,IF(INDIRECT("'数据-取费表'!c"&amp;$G$1)="住宅",INDIRECT("'数据-取费表'!s"&amp;$G$1),INDIRECT("'数据-取费表'!k"&amp;$G$1)+INDIRECT("'数据-取费表'!s"&amp;$G$1)))</f>
        <v>1052.8</v>
      </c>
      <c r="E16" s="2795">
        <f>'数据-取费表'!B28</f>
        <v>160</v>
      </c>
      <c r="F16" s="2787"/>
      <c r="G16" s="125"/>
      <c r="J16" s="99"/>
    </row>
    <row r="17" spans="1:10" s="113" customFormat="1" ht="15">
      <c r="A17" s="2739" t="s">
        <v>3289</v>
      </c>
      <c r="B17" s="2813" t="s">
        <v>3294</v>
      </c>
      <c r="C17" s="2755" t="str">
        <f>IF(G17="已包含在土地取得成本中","0",ROUND(D17*E17,0))</f>
        <v>0</v>
      </c>
      <c r="D17" s="2796">
        <f ca="1">D15+D16</f>
        <v>1052.8</v>
      </c>
      <c r="E17" s="2796">
        <f>'数据-取费表'!B31</f>
        <v>250</v>
      </c>
      <c r="F17" s="2763"/>
      <c r="G17" s="1437" t="s">
        <v>4021</v>
      </c>
      <c r="J17" s="99"/>
    </row>
    <row r="18" spans="1:10" s="113" customFormat="1" ht="15">
      <c r="A18" s="2814" t="s">
        <v>3290</v>
      </c>
      <c r="B18" s="2813" t="s">
        <v>1472</v>
      </c>
      <c r="C18" s="2755">
        <f ca="1">ROUND(E18*D18*F10,0)</f>
        <v>210560</v>
      </c>
      <c r="D18" s="2755">
        <f ca="1">D17</f>
        <v>1052.8</v>
      </c>
      <c r="E18" s="2755">
        <f>'数据-取费表'!B35</f>
        <v>200</v>
      </c>
      <c r="F18" s="2766"/>
      <c r="G18" s="160" t="str">
        <f ca="1">IF(F10=100%,"","按工程进度计取")</f>
        <v/>
      </c>
      <c r="J18" s="99"/>
    </row>
    <row r="19" spans="1:10" s="113" customFormat="1" ht="15">
      <c r="A19" s="2808" t="s">
        <v>352</v>
      </c>
      <c r="B19" s="2809" t="s">
        <v>3325</v>
      </c>
      <c r="C19" s="2755">
        <f ca="1">ROUND(C10*F19,0)</f>
        <v>46323</v>
      </c>
      <c r="D19" s="148"/>
      <c r="E19" s="148"/>
      <c r="F19" s="2766">
        <f>'数据-取费表'!B36</f>
        <v>0.02</v>
      </c>
      <c r="G19" s="160" t="s">
        <v>1469</v>
      </c>
      <c r="J19" s="99"/>
    </row>
    <row r="20" spans="1:10" s="113" customFormat="1" ht="15">
      <c r="A20" s="2808" t="s">
        <v>3291</v>
      </c>
      <c r="B20" s="2809" t="s">
        <v>3326</v>
      </c>
      <c r="C20" s="2755">
        <f ca="1">ROUND(C10*F20,0)</f>
        <v>0</v>
      </c>
      <c r="D20" s="2797"/>
      <c r="E20" s="144"/>
      <c r="F20" s="2766">
        <f>'数据-取费表'!B37</f>
        <v>0</v>
      </c>
      <c r="G20" s="160" t="s">
        <v>1469</v>
      </c>
      <c r="J20" s="99"/>
    </row>
    <row r="21" spans="1:10" s="2767" customFormat="1" ht="15">
      <c r="A21" s="2746" t="s">
        <v>3339</v>
      </c>
      <c r="B21" s="2805" t="s">
        <v>3340</v>
      </c>
      <c r="C21" s="2768">
        <f ca="1">ROUND((C6+C9)*F21,0)</f>
        <v>107936</v>
      </c>
      <c r="D21" s="2769"/>
      <c r="E21" s="2769"/>
      <c r="F21" s="2773">
        <f>'数据-取费表'!B38</f>
        <v>1.4999999999999999E-2</v>
      </c>
      <c r="G21" s="2770" t="s">
        <v>3341</v>
      </c>
      <c r="J21" s="99"/>
    </row>
    <row r="22" spans="1:10" s="2767" customFormat="1" ht="15">
      <c r="A22" s="2746" t="s">
        <v>3342</v>
      </c>
      <c r="B22" s="2805" t="s">
        <v>3343</v>
      </c>
      <c r="C22" s="2771" t="str">
        <f>F22&amp;"V"</f>
        <v>0.015V</v>
      </c>
      <c r="D22" s="302"/>
      <c r="E22" s="2769"/>
      <c r="F22" s="2773">
        <f>'数据-取费表'!B39</f>
        <v>1.4999999999999999E-2</v>
      </c>
      <c r="G22" s="3804" t="s">
        <v>3988</v>
      </c>
      <c r="J22" s="99"/>
    </row>
    <row r="23" spans="1:10" s="2767" customFormat="1" ht="15">
      <c r="A23" s="2746" t="s">
        <v>3344</v>
      </c>
      <c r="B23" s="2807" t="s">
        <v>3295</v>
      </c>
      <c r="C23" s="2747" t="str">
        <f ca="1">SUM(C24:C25)&amp;"+"&amp;C26&amp;"V"</f>
        <v>174633+0.0002V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130154</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44479</v>
      </c>
      <c r="D25" s="137"/>
      <c r="E25" s="137"/>
      <c r="F25" s="2762"/>
      <c r="G25" s="4264" t="s">
        <v>3990</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10" t="s">
        <v>3991</v>
      </c>
      <c r="J26" s="99"/>
    </row>
    <row r="27" spans="1:10" s="2767" customFormat="1" ht="15">
      <c r="A27" s="2746" t="s">
        <v>3345</v>
      </c>
      <c r="B27" s="2807" t="s">
        <v>3297</v>
      </c>
      <c r="C27" s="2774" t="str">
        <f ca="1">C28&amp;"+"&amp;C29&amp;"V"</f>
        <v>365185+0.0008V</v>
      </c>
      <c r="D27" s="2772"/>
      <c r="E27" s="302"/>
      <c r="F27" s="2775">
        <f ca="1">IF(B1="",'数据-取费表'!Q16,INDIRECT("'数据-取费表'!q"&amp;$G$1))</f>
        <v>0.05</v>
      </c>
      <c r="G27" s="2770" t="s">
        <v>3997</v>
      </c>
      <c r="J27" s="99"/>
    </row>
    <row r="28" spans="1:10" s="113" customFormat="1" ht="15">
      <c r="A28" s="2808" t="s">
        <v>344</v>
      </c>
      <c r="B28" s="2813" t="s">
        <v>1459</v>
      </c>
      <c r="C28" s="2740">
        <f ca="1">ROUND(C6*F27*'数据-取费表'!B23/'数据-取费表'!B22+(C9+C21)*F27,0)</f>
        <v>365185</v>
      </c>
      <c r="D28" s="134"/>
      <c r="E28" s="135"/>
      <c r="F28" s="2763"/>
      <c r="G28" s="146" t="str">
        <f ca="1">IF(F10=100%,"","其中：土地取得成本产生的利润按已建工期计算")</f>
        <v/>
      </c>
      <c r="J28" s="99"/>
    </row>
    <row r="29" spans="1:10" s="113" customFormat="1" ht="15">
      <c r="A29" s="2808" t="s">
        <v>345</v>
      </c>
      <c r="B29" s="2813" t="s">
        <v>1460</v>
      </c>
      <c r="C29" s="2758">
        <f ca="1">ROUND(F22*F27,4)</f>
        <v>8.0000000000000004E-4</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75">
      <c r="A31" s="2816">
        <v>2</v>
      </c>
      <c r="B31" s="2817" t="s">
        <v>3299</v>
      </c>
      <c r="C31" s="2759">
        <f ca="1">C57</f>
        <v>1033845</v>
      </c>
      <c r="D31" s="2750"/>
      <c r="E31" s="2750"/>
      <c r="F31" s="2764">
        <f>IF('数据-取费表'!B24=0,'数据-取费表'!N16,1)</f>
        <v>0.65</v>
      </c>
      <c r="G31" s="2751" t="s">
        <v>3809</v>
      </c>
      <c r="J31" s="99"/>
    </row>
    <row r="32" spans="1:10" s="113" customFormat="1" ht="15.75">
      <c r="A32" s="2738" t="s">
        <v>3300</v>
      </c>
      <c r="B32" s="2737" t="s">
        <v>3301</v>
      </c>
      <c r="C32" s="2759">
        <f ca="1">C5-C31</f>
        <v>6937207</v>
      </c>
      <c r="D32" s="2750"/>
      <c r="E32" s="2750"/>
      <c r="F32" s="2749"/>
      <c r="G32" s="2752" t="s">
        <v>3332</v>
      </c>
      <c r="J32" s="99"/>
    </row>
    <row r="33" spans="1:10" s="113" customFormat="1" ht="16.5" thickBot="1">
      <c r="A33" s="2818">
        <v>4</v>
      </c>
      <c r="B33" s="2819" t="s">
        <v>3333</v>
      </c>
      <c r="C33" s="2760">
        <f ca="1">ROUND(C32*(1+F33),0)</f>
        <v>7561556</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75" thickBot="1">
      <c r="A38" s="3007" t="s">
        <v>3302</v>
      </c>
      <c r="B38" s="3008"/>
      <c r="C38" s="3008"/>
      <c r="D38" s="3008"/>
      <c r="E38" s="3008"/>
      <c r="F38" s="3008"/>
      <c r="G38" s="3009"/>
    </row>
    <row r="39" spans="1:10" ht="15.75" thickBot="1">
      <c r="A39" s="4488" t="s">
        <v>3328</v>
      </c>
      <c r="B39" s="3010" t="s">
        <v>3329</v>
      </c>
      <c r="C39" s="3012" t="s">
        <v>3952</v>
      </c>
      <c r="D39" s="3013" t="s">
        <v>3452</v>
      </c>
      <c r="E39" s="3014" t="s">
        <v>3453</v>
      </c>
      <c r="F39" s="3014" t="s">
        <v>3454</v>
      </c>
      <c r="G39" s="3015" t="s">
        <v>3330</v>
      </c>
    </row>
    <row r="40" spans="1:10" ht="15">
      <c r="A40" s="2869" t="s">
        <v>3455</v>
      </c>
      <c r="B40" s="4493" t="s">
        <v>3303</v>
      </c>
      <c r="C40" s="3018">
        <f ca="1">SUM(C41:C46)</f>
        <v>2688851</v>
      </c>
      <c r="D40" s="3016"/>
      <c r="E40" s="3016"/>
      <c r="F40" s="3016"/>
      <c r="G40" s="4349"/>
    </row>
    <row r="41" spans="1:10" ht="15.75">
      <c r="A41" s="4489" t="s">
        <v>3304</v>
      </c>
      <c r="B41" s="4494" t="str">
        <f t="shared" ref="B41:C43" si="0">B10</f>
        <v xml:space="preserve">  建安费用</v>
      </c>
      <c r="C41" s="2735">
        <f t="shared" ca="1" si="0"/>
        <v>2316160</v>
      </c>
      <c r="D41" s="2730"/>
      <c r="E41" s="2730"/>
      <c r="F41" s="2731"/>
      <c r="G41" s="4350"/>
    </row>
    <row r="42" spans="1:10" ht="15.75">
      <c r="A42" s="4489" t="s">
        <v>3305</v>
      </c>
      <c r="B42" s="4494" t="str">
        <f t="shared" si="0"/>
        <v xml:space="preserve">  前期费用</v>
      </c>
      <c r="C42" s="2735">
        <f t="shared" ca="1" si="0"/>
        <v>115808</v>
      </c>
      <c r="D42" s="2730"/>
      <c r="E42" s="2730"/>
      <c r="F42" s="2731"/>
      <c r="G42" s="4350"/>
    </row>
    <row r="43" spans="1:10" ht="15.75">
      <c r="A43" s="4489" t="s">
        <v>3369</v>
      </c>
      <c r="B43" s="4495" t="str">
        <f t="shared" si="0"/>
        <v xml:space="preserve">  公共配套设施费用</v>
      </c>
      <c r="C43" s="2735">
        <f t="shared" ca="1" si="0"/>
        <v>0</v>
      </c>
      <c r="D43" s="2730"/>
      <c r="E43" s="2730"/>
      <c r="F43" s="2731"/>
      <c r="G43" s="4350"/>
    </row>
    <row r="44" spans="1:10" ht="15.75">
      <c r="A44" s="4489" t="s">
        <v>3287</v>
      </c>
      <c r="B44" s="4495" t="str">
        <f>B18</f>
        <v>红线内市政费用</v>
      </c>
      <c r="C44" s="2735">
        <f ca="1">C18</f>
        <v>210560</v>
      </c>
      <c r="D44" s="2730"/>
      <c r="E44" s="2730"/>
      <c r="F44" s="2731"/>
      <c r="G44" s="4350"/>
    </row>
    <row r="45" spans="1:10" ht="15.75">
      <c r="A45" s="4490" t="s">
        <v>3306</v>
      </c>
      <c r="B45" s="4496" t="str">
        <f>B19</f>
        <v xml:space="preserve">  其他工程费</v>
      </c>
      <c r="C45" s="2740">
        <f ca="1">C19</f>
        <v>46323</v>
      </c>
      <c r="D45" s="2865"/>
      <c r="E45" s="2865"/>
      <c r="F45" s="2866"/>
      <c r="G45" s="4351"/>
    </row>
    <row r="46" spans="1:10" ht="15.75">
      <c r="A46" s="4490" t="s">
        <v>3368</v>
      </c>
      <c r="B46" s="4496" t="s">
        <v>3307</v>
      </c>
      <c r="C46" s="2740">
        <f ca="1">C20</f>
        <v>0</v>
      </c>
      <c r="D46" s="2865"/>
      <c r="E46" s="2865"/>
      <c r="F46" s="2866"/>
      <c r="G46" s="4351"/>
    </row>
    <row r="47" spans="1:10" ht="15">
      <c r="A47" s="4491" t="s">
        <v>3456</v>
      </c>
      <c r="B47" s="4491" t="s">
        <v>3457</v>
      </c>
      <c r="C47" s="2870">
        <f ca="1">ROUND(C40*F47,0)</f>
        <v>40333</v>
      </c>
      <c r="D47" s="2871"/>
      <c r="E47" s="2871"/>
      <c r="F47" s="2872">
        <f>F21</f>
        <v>1.4999999999999999E-2</v>
      </c>
      <c r="G47" s="2873" t="s">
        <v>3458</v>
      </c>
    </row>
    <row r="48" spans="1:10" ht="15">
      <c r="A48" s="4491" t="s">
        <v>3459</v>
      </c>
      <c r="B48" s="4491" t="s">
        <v>3460</v>
      </c>
      <c r="C48" s="2874" t="str">
        <f>F48&amp;"V建1"</f>
        <v>0.015V建1</v>
      </c>
      <c r="D48" s="2871"/>
      <c r="E48" s="2871"/>
      <c r="F48" s="2872">
        <f>F22</f>
        <v>1.4999999999999999E-2</v>
      </c>
      <c r="G48" s="4611" t="s">
        <v>3992</v>
      </c>
    </row>
    <row r="49" spans="1:7" ht="15">
      <c r="A49" s="4491" t="s">
        <v>3461</v>
      </c>
      <c r="B49" s="4497" t="s">
        <v>3367</v>
      </c>
      <c r="C49" s="2768" t="str">
        <f ca="1">C50&amp;"+"&amp;C51&amp;"V建1"</f>
        <v>40938+0.0002V建1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40938</v>
      </c>
      <c r="D50" s="1070"/>
      <c r="E50" s="1070"/>
      <c r="F50" s="1053"/>
      <c r="G50" s="4831" t="str">
        <f ca="1">IF(F10=100%,"建设期均匀投入","已建工期均匀投入")</f>
        <v>建设期均匀投入</v>
      </c>
    </row>
    <row r="51" spans="1:7">
      <c r="A51" s="4489" t="s">
        <v>3305</v>
      </c>
      <c r="B51" s="4495" t="s">
        <v>3310</v>
      </c>
      <c r="C51" s="2888">
        <f ca="1">ROUND(IF('数据-取费表'!B22&lt;=1,F48*F23*'数据-取费表'!B22/2,F48*(POWER((1+F23),'数据-取费表'!B22/2)-1)),4)</f>
        <v>2.0000000000000001E-4</v>
      </c>
      <c r="D51" s="1070"/>
      <c r="E51" s="1070"/>
      <c r="F51" s="1053"/>
      <c r="G51" s="4832"/>
    </row>
    <row r="52" spans="1:7" ht="15">
      <c r="A52" s="4491" t="s">
        <v>3462</v>
      </c>
      <c r="B52" s="3007" t="s">
        <v>3311</v>
      </c>
      <c r="C52" s="2878" t="str">
        <f ca="1">C53&amp;"+"&amp;C54&amp;"V建1"</f>
        <v>136459+0.0008V建1</v>
      </c>
      <c r="D52" s="2879"/>
      <c r="E52" s="2871"/>
      <c r="F52" s="2880">
        <f ca="1">F27</f>
        <v>0.05</v>
      </c>
      <c r="G52" s="2881" t="s">
        <v>3463</v>
      </c>
    </row>
    <row r="53" spans="1:7">
      <c r="A53" s="4489" t="s">
        <v>3304</v>
      </c>
      <c r="B53" s="4498" t="s">
        <v>3312</v>
      </c>
      <c r="C53" s="2735">
        <f ca="1">ROUND((C40+C47)*F27,0)</f>
        <v>136459</v>
      </c>
      <c r="D53" s="2736"/>
      <c r="E53" s="2732"/>
      <c r="F53" s="2733"/>
      <c r="G53" s="2734"/>
    </row>
    <row r="54" spans="1:7">
      <c r="A54" s="4489" t="s">
        <v>3305</v>
      </c>
      <c r="B54" s="4498" t="s">
        <v>3313</v>
      </c>
      <c r="C54" s="2799">
        <f ca="1">ROUND(F48*F27,4)</f>
        <v>8.0000000000000004E-4</v>
      </c>
      <c r="D54" s="2736"/>
      <c r="E54" s="2732"/>
      <c r="F54" s="2733"/>
      <c r="G54" s="2734"/>
    </row>
    <row r="55" spans="1:7" ht="15">
      <c r="A55" s="4492" t="s">
        <v>3464</v>
      </c>
      <c r="B55" s="2746" t="s">
        <v>3465</v>
      </c>
      <c r="C55" s="4353">
        <v>0</v>
      </c>
      <c r="D55" s="2772"/>
      <c r="E55" s="302"/>
      <c r="F55" s="2876"/>
      <c r="G55" s="2883" t="s">
        <v>3316</v>
      </c>
    </row>
    <row r="56" spans="1:7" ht="16.5">
      <c r="A56" s="4492" t="s">
        <v>3469</v>
      </c>
      <c r="B56" s="4492" t="s">
        <v>3466</v>
      </c>
      <c r="C56" s="2768">
        <f ca="1">ROUND((C40+C47+C50+C53)/(1-F48-C51-C54),0)</f>
        <v>2953842</v>
      </c>
      <c r="D56" s="302"/>
      <c r="E56" s="302"/>
      <c r="F56" s="2884"/>
      <c r="G56" s="2883" t="s">
        <v>3317</v>
      </c>
    </row>
    <row r="57" spans="1:7" ht="15">
      <c r="A57" s="4492" t="s">
        <v>3433</v>
      </c>
      <c r="B57" s="4499" t="s">
        <v>3299</v>
      </c>
      <c r="C57" s="2768">
        <f ca="1">ROUND(C56*(1-F57),0)</f>
        <v>1033845</v>
      </c>
      <c r="D57" s="302"/>
      <c r="E57" s="302"/>
      <c r="F57" s="2884">
        <f>F31</f>
        <v>0.65</v>
      </c>
      <c r="G57" s="2883" t="s">
        <v>3318</v>
      </c>
    </row>
    <row r="58" spans="1:7" ht="16.5">
      <c r="A58" s="4492" t="s">
        <v>3467</v>
      </c>
      <c r="B58" s="4492" t="s">
        <v>3468</v>
      </c>
      <c r="C58" s="2768">
        <f ca="1">C56-C57</f>
        <v>1919997</v>
      </c>
      <c r="D58" s="302"/>
      <c r="E58" s="302"/>
      <c r="F58" s="2884"/>
      <c r="G58" s="2883" t="s">
        <v>3319</v>
      </c>
    </row>
    <row r="59" spans="1:7" ht="15.75" thickBot="1">
      <c r="A59" s="2882" t="s">
        <v>3370</v>
      </c>
      <c r="B59" s="4500" t="s">
        <v>3315</v>
      </c>
      <c r="C59" s="4356">
        <f ca="1">ROUND(C58*(1+F59),0)</f>
        <v>2092797</v>
      </c>
      <c r="D59" s="4357"/>
      <c r="E59" s="4357"/>
      <c r="F59" s="4358">
        <f>F33</f>
        <v>0.09</v>
      </c>
      <c r="G59" s="4359" t="s">
        <v>3993</v>
      </c>
    </row>
    <row r="60" spans="1:7" ht="14.25">
      <c r="A60" s="2728"/>
      <c r="B60" s="2729"/>
    </row>
    <row r="62" spans="1:7" ht="21" customHeight="1">
      <c r="B62" s="2798" t="s">
        <v>1498</v>
      </c>
      <c r="C62" s="170"/>
    </row>
    <row r="63" spans="1:7" ht="21" customHeight="1">
      <c r="B63" s="3030" t="s">
        <v>787</v>
      </c>
      <c r="C63" s="4427">
        <f ca="1">1-C64</f>
        <v>0.72299999999999998</v>
      </c>
    </row>
    <row r="64" spans="1:7" ht="21" customHeight="1">
      <c r="B64" s="3030" t="s">
        <v>788</v>
      </c>
      <c r="C64" s="4428">
        <f ca="1">ROUND(C58/C32,3)</f>
        <v>0.27700000000000002</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2539.4535999999998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24121</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20799058</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168448</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168448</v>
      </c>
      <c r="D10" s="568">
        <f ca="1">IF(B1="",'数据-汇总表'!E6,IF(INDIRECT("'数据-取费表'!c"&amp;$G$1)="住宅",INDIRECT("'数据-取费表'!s"&amp;$G$1),INDIRECT("'数据-取费表'!k"&amp;$G$1)+INDIRECT("'数据-取费表'!s"&amp;$G$1)))</f>
        <v>1052.8</v>
      </c>
      <c r="E10" s="124">
        <f>'数据-取费表'!B28</f>
        <v>160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263200</v>
      </c>
      <c r="D19" s="572">
        <f ca="1">D9+D10</f>
        <v>1052.8</v>
      </c>
      <c r="E19" s="110">
        <f>'数据-取费表'!B31</f>
        <v>250</v>
      </c>
      <c r="F19" s="130"/>
      <c r="G19" s="1437"/>
    </row>
    <row r="20" spans="1:7" s="113" customFormat="1" ht="13.5" customHeight="1">
      <c r="A20" s="154" t="s">
        <v>1510</v>
      </c>
      <c r="B20" s="109" t="s">
        <v>1511</v>
      </c>
      <c r="C20" s="131">
        <f ca="1">ROUND((C5+C19)*F20,0)</f>
        <v>315934</v>
      </c>
      <c r="D20" s="131"/>
      <c r="E20" s="131"/>
      <c r="F20" s="132">
        <f>'数据-取费表'!B38</f>
        <v>1.4999999999999999E-2</v>
      </c>
      <c r="G20" s="133" t="s">
        <v>1512</v>
      </c>
    </row>
    <row r="21" spans="1:7" s="113" customFormat="1" ht="13.5" customHeight="1">
      <c r="A21" s="154" t="s">
        <v>1513</v>
      </c>
      <c r="B21" s="109" t="s">
        <v>1514</v>
      </c>
      <c r="C21" s="134">
        <f>F21</f>
        <v>1.4999999999999999E-2</v>
      </c>
      <c r="D21" s="135" t="s">
        <v>1515</v>
      </c>
      <c r="E21" s="131"/>
      <c r="F21" s="132">
        <f>'数据-取费表'!B39</f>
        <v>1.4999999999999999E-2</v>
      </c>
      <c r="G21" s="133" t="s">
        <v>1516</v>
      </c>
    </row>
    <row r="22" spans="1:7" s="113" customFormat="1" ht="13.5" customHeight="1">
      <c r="A22" s="154" t="s">
        <v>1517</v>
      </c>
      <c r="B22" s="109" t="s">
        <v>1518</v>
      </c>
      <c r="C22" s="796">
        <f ca="1">ROUND(SUM(C23:C25),0)</f>
        <v>636607</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623972</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7896</v>
      </c>
      <c r="D24" s="137"/>
      <c r="E24" s="137"/>
      <c r="F24" s="138"/>
      <c r="G24" s="139" t="s">
        <v>1522</v>
      </c>
    </row>
    <row r="25" spans="1:7" s="113" customFormat="1" ht="24">
      <c r="A25" s="540" t="s">
        <v>1445</v>
      </c>
      <c r="B25" s="114" t="s">
        <v>1523</v>
      </c>
      <c r="C25" s="797">
        <f ca="1">ROUND(IF('数据-取费表'!B22&lt;=1,C20*F22*'数据-取费表'!B22/2,C20*(POWER((1+F22),'数据-取费表'!B22/2)-1)),0)</f>
        <v>4739</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4.75">
      <c r="A27" s="154" t="s">
        <v>1455</v>
      </c>
      <c r="B27" s="143" t="s">
        <v>1456</v>
      </c>
      <c r="C27" s="144">
        <f ca="1">C28</f>
        <v>1068910</v>
      </c>
      <c r="D27" s="134">
        <f ca="1">C29</f>
        <v>8.0000000000000004E-4</v>
      </c>
      <c r="E27" s="135" t="s">
        <v>1457</v>
      </c>
      <c r="F27" s="145">
        <f ca="1">IF(B1="",'数据-取费表'!Q16,INDIRECT("'数据-取费表'!q"&amp;$G$1))</f>
        <v>0.05</v>
      </c>
      <c r="G27" s="146" t="s">
        <v>1458</v>
      </c>
    </row>
    <row r="28" spans="1:7" s="113" customFormat="1" ht="13.5" customHeight="1">
      <c r="A28" s="540" t="s">
        <v>344</v>
      </c>
      <c r="B28" s="147" t="s">
        <v>1459</v>
      </c>
      <c r="C28" s="148">
        <f ca="1">ROUND((C5+C19+C20)*F27,0)</f>
        <v>1068910</v>
      </c>
      <c r="D28" s="134"/>
      <c r="E28" s="135"/>
      <c r="F28" s="145"/>
      <c r="G28" s="146"/>
    </row>
    <row r="29" spans="1:7" s="113" customFormat="1" ht="13.5" customHeight="1">
      <c r="A29" s="540"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23473367</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2688851</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2316160</v>
      </c>
      <c r="D34" s="116"/>
      <c r="E34" s="119"/>
      <c r="F34" s="156"/>
      <c r="G34" s="118"/>
    </row>
    <row r="35" spans="1:7" ht="13.5" customHeight="1">
      <c r="A35" s="540" t="s">
        <v>349</v>
      </c>
      <c r="B35" s="114" t="s">
        <v>1468</v>
      </c>
      <c r="C35" s="119">
        <f ca="1">ROUND(C34*F35,0)</f>
        <v>115808</v>
      </c>
      <c r="D35" s="119"/>
      <c r="E35" s="119"/>
      <c r="F35" s="158">
        <f>'数据-取费表'!B33</f>
        <v>0.05</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210560</v>
      </c>
      <c r="D37" s="116">
        <f ca="1">D19</f>
        <v>1052.8</v>
      </c>
      <c r="E37" s="148">
        <f>'数据-取费表'!B35</f>
        <v>200</v>
      </c>
      <c r="F37" s="158"/>
      <c r="G37" s="160"/>
    </row>
    <row r="38" spans="1:7" ht="13.5" customHeight="1">
      <c r="A38" s="540" t="s">
        <v>352</v>
      </c>
      <c r="B38" s="114" t="s">
        <v>1473</v>
      </c>
      <c r="C38" s="119">
        <f ca="1">ROUND(C34*F38,0)</f>
        <v>46323</v>
      </c>
      <c r="D38" s="119"/>
      <c r="E38" s="119"/>
      <c r="F38" s="158">
        <f>'数据-取费表'!B36</f>
        <v>0.02</v>
      </c>
      <c r="G38" s="118" t="s">
        <v>1469</v>
      </c>
    </row>
    <row r="39" spans="1:7" s="113" customFormat="1" ht="13.5" customHeight="1">
      <c r="A39" s="154" t="s">
        <v>1474</v>
      </c>
      <c r="B39" s="109" t="s">
        <v>1475</v>
      </c>
      <c r="C39" s="131">
        <f ca="1">ROUND(C33*F20,0)</f>
        <v>40333</v>
      </c>
      <c r="D39" s="131"/>
      <c r="E39" s="131"/>
      <c r="F39" s="132">
        <f>F20</f>
        <v>1.4999999999999999E-2</v>
      </c>
      <c r="G39" s="133" t="s">
        <v>1476</v>
      </c>
    </row>
    <row r="40" spans="1:7" s="113" customFormat="1" ht="13.5" customHeight="1">
      <c r="A40" s="154" t="s">
        <v>1477</v>
      </c>
      <c r="B40" s="109" t="s">
        <v>1478</v>
      </c>
      <c r="C40" s="939">
        <f>F21</f>
        <v>1.4999999999999999E-2</v>
      </c>
      <c r="D40" s="135" t="s">
        <v>1479</v>
      </c>
      <c r="E40" s="131"/>
      <c r="F40" s="132">
        <f>F21</f>
        <v>1.4999999999999999E-2</v>
      </c>
      <c r="G40" s="133" t="s">
        <v>1480</v>
      </c>
    </row>
    <row r="41" spans="1:7" s="113" customFormat="1" ht="13.5" customHeight="1">
      <c r="A41" s="154" t="s">
        <v>1481</v>
      </c>
      <c r="B41" s="109" t="s">
        <v>1482</v>
      </c>
      <c r="C41" s="131">
        <f ca="1">ROUND(SUM(C42:C43),0)</f>
        <v>40938</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40333</v>
      </c>
      <c r="D42" s="137"/>
      <c r="E42" s="137"/>
      <c r="F42" s="138"/>
      <c r="G42" s="4831" t="s">
        <v>1527</v>
      </c>
    </row>
    <row r="43" spans="1:7" ht="13.5" customHeight="1">
      <c r="A43" s="540" t="s">
        <v>345</v>
      </c>
      <c r="B43" s="114" t="s">
        <v>1484</v>
      </c>
      <c r="C43" s="137">
        <f ca="1">ROUND(IF('数据-取费表'!B22&lt;=1,C39*F22*'数据-取费表'!B20/2,C39*(POWER((1+F22),'数据-取费表'!B20/2)-1)),0)</f>
        <v>605</v>
      </c>
      <c r="D43" s="137"/>
      <c r="E43" s="137"/>
      <c r="F43" s="138"/>
      <c r="G43" s="4833"/>
    </row>
    <row r="44" spans="1:7" ht="13.5" customHeight="1">
      <c r="A44" s="540" t="s">
        <v>346</v>
      </c>
      <c r="B44" s="114" t="s">
        <v>1485</v>
      </c>
      <c r="C44" s="137">
        <f ca="1">ROUND(IF('数据-取费表'!B22&lt;=1,C40*F22*'数据-取费表'!B20/2,C40*(POWER((1+F22),'数据-取费表'!B20/2)-1)),4)</f>
        <v>2.0000000000000001E-4</v>
      </c>
      <c r="D44" s="137"/>
      <c r="E44" s="137"/>
      <c r="F44" s="138"/>
      <c r="G44" s="4832"/>
    </row>
    <row r="45" spans="1:7" s="113" customFormat="1" ht="13.5" customHeight="1">
      <c r="A45" s="154" t="s">
        <v>1486</v>
      </c>
      <c r="B45" s="143" t="s">
        <v>1456</v>
      </c>
      <c r="C45" s="144">
        <f ca="1">C46</f>
        <v>136459</v>
      </c>
      <c r="D45" s="134">
        <f ca="1">C47</f>
        <v>8.0000000000000004E-4</v>
      </c>
      <c r="E45" s="135" t="s">
        <v>1479</v>
      </c>
      <c r="F45" s="145">
        <f ca="1">F27</f>
        <v>0.05</v>
      </c>
      <c r="G45" s="146" t="s">
        <v>1487</v>
      </c>
    </row>
    <row r="46" spans="1:7" s="113" customFormat="1" ht="13.5" customHeight="1">
      <c r="A46" s="540" t="s">
        <v>344</v>
      </c>
      <c r="B46" s="147" t="s">
        <v>1488</v>
      </c>
      <c r="C46" s="148">
        <f ca="1">ROUND((C33+C39)*F27,0)</f>
        <v>136459</v>
      </c>
      <c r="D46" s="162"/>
      <c r="E46" s="135"/>
      <c r="F46" s="145"/>
      <c r="G46" s="146"/>
    </row>
    <row r="47" spans="1:7" s="113" customFormat="1" ht="13.5" customHeight="1">
      <c r="A47" s="540"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2955645</v>
      </c>
      <c r="D49" s="131"/>
      <c r="E49" s="131"/>
      <c r="F49" s="163"/>
      <c r="G49" s="133" t="s">
        <v>1492</v>
      </c>
    </row>
    <row r="50" spans="1:7" s="157" customFormat="1">
      <c r="A50" s="154" t="s">
        <v>1493</v>
      </c>
      <c r="B50" s="109" t="s">
        <v>1494</v>
      </c>
      <c r="C50" s="131"/>
      <c r="D50" s="131"/>
      <c r="E50" s="131"/>
      <c r="F50" s="163">
        <f>IF('数据-取费表'!B24=0,'数据-取费表'!N16,1)</f>
        <v>0.65</v>
      </c>
      <c r="G50" s="146"/>
    </row>
    <row r="51" spans="1:7" ht="16.5" customHeight="1">
      <c r="A51" s="154" t="s">
        <v>1495</v>
      </c>
      <c r="B51" s="109" t="s">
        <v>1529</v>
      </c>
      <c r="C51" s="131">
        <f ca="1">ROUND(C49*F50,0)</f>
        <v>1921169</v>
      </c>
      <c r="D51" s="131"/>
      <c r="E51" s="131"/>
      <c r="F51" s="163"/>
      <c r="G51" s="133" t="s">
        <v>1496</v>
      </c>
    </row>
    <row r="52" spans="1:7" s="107" customFormat="1" ht="16.5" thickBot="1">
      <c r="A52" s="164" t="s">
        <v>1497</v>
      </c>
      <c r="B52" s="165"/>
      <c r="C52" s="166">
        <f ca="1">C31+C51</f>
        <v>25394536</v>
      </c>
      <c r="D52" s="165"/>
      <c r="E52" s="165"/>
      <c r="F52" s="165"/>
      <c r="G52" s="167"/>
    </row>
    <row r="55" spans="1:7" ht="15">
      <c r="B55" s="169" t="s">
        <v>1498</v>
      </c>
      <c r="C55" s="170"/>
    </row>
    <row r="56" spans="1:7">
      <c r="B56" s="172" t="s">
        <v>787</v>
      </c>
      <c r="C56" s="174">
        <f ca="1">1-C57</f>
        <v>0.92400000000000004</v>
      </c>
    </row>
    <row r="57" spans="1:7">
      <c r="B57" s="172" t="s">
        <v>788</v>
      </c>
      <c r="C57" s="173">
        <f ca="1">ROUND(C51/C52,3)</f>
        <v>7.5999999999999998E-2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43" t="s">
        <v>391</v>
      </c>
      <c r="B7" s="4836" t="s">
        <v>3793</v>
      </c>
      <c r="C7" s="4838">
        <f ca="1">ROUND(F6*F7*F8/10000,2)</f>
        <v>0</v>
      </c>
      <c r="D7" s="4839" t="s">
        <v>3471</v>
      </c>
      <c r="E7" s="4453" t="s">
        <v>682</v>
      </c>
      <c r="F7" s="3974">
        <f ca="1">IF(INDIRECT("'数据-取费表'!ah"&amp;$G$1)="",INDIRECT("'数据-取费表'!k"&amp;$G$1),INDIRECT("'数据-取费表'!ah"&amp;$G$1))</f>
        <v>0</v>
      </c>
      <c r="G7" s="991"/>
      <c r="H7" s="4843" t="s">
        <v>391</v>
      </c>
      <c r="I7" s="4836" t="s">
        <v>3793</v>
      </c>
      <c r="J7" s="4845">
        <f ca="1">ROUND(M6*M8*M7/10000,2)</f>
        <v>0</v>
      </c>
      <c r="K7" s="4839" t="s">
        <v>3471</v>
      </c>
      <c r="L7" s="190" t="s">
        <v>682</v>
      </c>
      <c r="M7" s="3974">
        <f ca="1">F7</f>
        <v>0</v>
      </c>
    </row>
    <row r="8" spans="1:37" ht="18" customHeight="1">
      <c r="A8" s="4844"/>
      <c r="B8" s="4837"/>
      <c r="C8" s="4838"/>
      <c r="D8" s="4839"/>
      <c r="E8" s="190" t="str">
        <f ca="1">IF(F8=1,"年",IF(F8=12,"月","天"))</f>
        <v>天</v>
      </c>
      <c r="F8" s="3677">
        <f ca="1">INDIRECT("'数据-取费表'!ai"&amp;$G$1)</f>
        <v>0</v>
      </c>
      <c r="G8" s="991"/>
      <c r="H8" s="4844"/>
      <c r="I8" s="4837"/>
      <c r="J8" s="4845"/>
      <c r="K8" s="4839"/>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2021</v>
      </c>
      <c r="E10" s="201" t="s">
        <v>686</v>
      </c>
      <c r="F10" s="3000"/>
      <c r="G10" s="991"/>
      <c r="H10" s="745" t="s">
        <v>396</v>
      </c>
      <c r="I10" s="972" t="s">
        <v>685</v>
      </c>
      <c r="J10" s="4460">
        <f ca="1">ROUND(IF(M10="押一",J6/12*M11,IF(M10="押二",J6/12*2*M11,IF(M10="押三",J6/12*3*M11,J11*M11))),2)</f>
        <v>0</v>
      </c>
      <c r="K10" s="973" t="s">
        <v>2020</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v>
      </c>
      <c r="G18" s="1002"/>
      <c r="H18" s="2739" t="s">
        <v>3962</v>
      </c>
      <c r="I18" s="2954" t="s">
        <v>3961</v>
      </c>
      <c r="J18" s="2978">
        <f ca="1">ROUND((J16-J17)*M18,2)</f>
        <v>0</v>
      </c>
      <c r="K18" s="2977" t="s">
        <v>3984</v>
      </c>
      <c r="L18" s="190" t="s">
        <v>3985</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200</v>
      </c>
      <c r="G39" s="991"/>
    </row>
    <row r="40" spans="1:37" ht="18" customHeight="1">
      <c r="A40" s="2937" t="s">
        <v>3412</v>
      </c>
      <c r="B40" s="2954" t="s">
        <v>3413</v>
      </c>
      <c r="C40" s="2939">
        <f ca="1">ROUND(C36*F40,0)</f>
        <v>0</v>
      </c>
      <c r="D40" s="190" t="s">
        <v>696</v>
      </c>
      <c r="E40" s="190" t="s">
        <v>697</v>
      </c>
      <c r="F40" s="3002">
        <f>'数据-取费表'!B36</f>
        <v>0.02</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0.015V建</v>
      </c>
      <c r="D43" s="2963" t="s">
        <v>3815</v>
      </c>
      <c r="E43" s="2962" t="s">
        <v>3816</v>
      </c>
      <c r="F43" s="3004">
        <f>'数据-取费表'!B39</f>
        <v>1.4999999999999999E-2</v>
      </c>
      <c r="G43" s="991"/>
      <c r="H43" s="832"/>
      <c r="I43" s="832"/>
      <c r="J43" s="832"/>
      <c r="K43" s="2020"/>
      <c r="L43" s="832"/>
      <c r="M43" s="832"/>
    </row>
    <row r="44" spans="1:37" ht="18" customHeight="1">
      <c r="A44" s="203" t="s">
        <v>3430</v>
      </c>
      <c r="B44" s="2965" t="s">
        <v>3416</v>
      </c>
      <c r="C44" s="3680"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5" thickBot="1">
      <c r="A55" s="1010" t="s">
        <v>794</v>
      </c>
      <c r="C55" s="4231" t="e">
        <f ca="1">IF(D2="含税",C83-C31,C80-C28)</f>
        <v>#DIV/0!</v>
      </c>
      <c r="D55" s="1012" t="str">
        <f>C2</f>
        <v>万元</v>
      </c>
      <c r="E55" s="1006"/>
      <c r="F55" s="1006"/>
      <c r="I55" s="1013" t="s">
        <v>795</v>
      </c>
      <c r="J55" s="1014"/>
      <c r="K55" s="1015"/>
      <c r="L55" s="4250" t="e">
        <f ca="1">IF(M56="住宅",0,IF(L57&gt;J60,L69,J69))</f>
        <v>#DIV/0!</v>
      </c>
      <c r="O55" s="4403" t="s">
        <v>1325</v>
      </c>
      <c r="P55" s="4404" t="s">
        <v>3907</v>
      </c>
      <c r="Q55" s="4405" t="s">
        <v>3908</v>
      </c>
      <c r="R55" s="4405" t="s">
        <v>3909</v>
      </c>
    </row>
    <row r="56" spans="1:18" s="991" customFormat="1" ht="13.5"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2.75"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5.75"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5" thickBot="1">
      <c r="A59" s="4224" t="s">
        <v>3403</v>
      </c>
      <c r="B59" s="4840" t="s">
        <v>3793</v>
      </c>
      <c r="C59" s="4841">
        <f ca="1">ROUND(F58*F60*F59/10000,2)</f>
        <v>0</v>
      </c>
      <c r="D59" s="4839"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5" thickBot="1">
      <c r="A60" s="4225"/>
      <c r="B60" s="4840"/>
      <c r="C60" s="4842"/>
      <c r="D60" s="4839"/>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5"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25.5" thickBot="1">
      <c r="A62" s="4227" t="s">
        <v>3448</v>
      </c>
      <c r="B62" s="980" t="s">
        <v>685</v>
      </c>
      <c r="C62" s="4458">
        <f ca="1">ROUND(IF(F62="押一",C58/12*F11,IF(F62="押二",C58/12*2*F11,IF(F62="押三",C58/12*3*F11,C63*F11))),2)</f>
        <v>0</v>
      </c>
      <c r="D62" s="973" t="s">
        <v>2020</v>
      </c>
      <c r="E62" s="201" t="s">
        <v>686</v>
      </c>
      <c r="F62" s="3683"/>
      <c r="I62" s="1045" t="s">
        <v>821</v>
      </c>
      <c r="J62" s="4242">
        <f ca="1">IF(M56="住宅",IF(D1="——",MAX(J60,L57),MAX(J60,L57-'数据-取费表'!B24)),IF(D1="——",MIN(J60,L57),MIN(J60,L57-'数据-取费表'!B24)))</f>
        <v>0</v>
      </c>
      <c r="K62" s="4834" t="s">
        <v>822</v>
      </c>
      <c r="L62" s="4835"/>
      <c r="O62" s="4406" t="s">
        <v>403</v>
      </c>
      <c r="P62" s="4410" t="s">
        <v>3917</v>
      </c>
      <c r="Q62" s="4409" t="e">
        <f ca="1">ROUND((Q56+Q57)*(1+F31),0)</f>
        <v>#DIV/0!</v>
      </c>
      <c r="R62" s="4408" t="s">
        <v>3918</v>
      </c>
    </row>
    <row r="63" spans="1:18" s="991" customFormat="1" ht="13.5"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5" thickBot="1">
      <c r="A64" s="4219" t="s">
        <v>3805</v>
      </c>
      <c r="B64" s="976" t="s">
        <v>688</v>
      </c>
      <c r="C64" s="4207"/>
      <c r="D64" s="973"/>
      <c r="E64" s="4454"/>
      <c r="F64" s="1046"/>
      <c r="I64" s="1049" t="s">
        <v>825</v>
      </c>
      <c r="J64" s="4244" t="e">
        <f ca="1">ROUND(IF(J56="钢混",J66/J59,1-(1-2%)*(J59-J66)/J59),3)</f>
        <v>#DIV/0!</v>
      </c>
      <c r="K64" s="1051" t="s">
        <v>826</v>
      </c>
      <c r="L64" s="1052"/>
      <c r="O64" s="4403" t="s">
        <v>1325</v>
      </c>
      <c r="P64" s="4404" t="s">
        <v>3907</v>
      </c>
      <c r="Q64" s="4405" t="s">
        <v>3908</v>
      </c>
      <c r="R64" s="4405" t="s">
        <v>3909</v>
      </c>
    </row>
    <row r="65" spans="1:18" s="991" customFormat="1" ht="25.5" thickTop="1" thickBot="1">
      <c r="A65" s="203" t="s">
        <v>3676</v>
      </c>
      <c r="B65" s="668" t="s">
        <v>3885</v>
      </c>
      <c r="C65" s="4466">
        <f ca="1">ROUND(C66+C74+C76+C78,0)</f>
        <v>0</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75" thickBot="1">
      <c r="A66" s="546" t="s">
        <v>392</v>
      </c>
      <c r="B66" s="2932" t="s">
        <v>3969</v>
      </c>
      <c r="C66" s="4458">
        <f ca="1">ROUND(IF(AND(项目基本情况!B11="自然人",项目基本情况!B10="北京市",M56="住宅"),C58*F66,C67+C71+C72),2)</f>
        <v>0</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75"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5" thickBot="1">
      <c r="A70" s="2739" t="s">
        <v>3962</v>
      </c>
      <c r="B70" s="2954" t="s">
        <v>3961</v>
      </c>
      <c r="C70" s="4458">
        <f ca="1">ROUND((C68-C69)*F70,2)</f>
        <v>0</v>
      </c>
      <c r="D70" s="2977" t="s">
        <v>3984</v>
      </c>
      <c r="E70" s="190" t="s">
        <v>3985</v>
      </c>
      <c r="F70" s="3002">
        <f>F18</f>
        <v>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20" t="s">
        <v>766</v>
      </c>
      <c r="B71" s="2932" t="s">
        <v>3972</v>
      </c>
      <c r="C71" s="4458">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5" thickBot="1">
      <c r="A72" s="4464" t="s">
        <v>769</v>
      </c>
      <c r="B72" s="4451" t="s">
        <v>3967</v>
      </c>
      <c r="C72" s="4460">
        <f ca="1">IF(项目基本情况!B11="自然人","——",ROUND(F72*F73/10000,2))</f>
        <v>0</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5" thickBot="1">
      <c r="A75" s="4222"/>
      <c r="B75" s="666"/>
      <c r="C75" s="4214"/>
      <c r="D75" s="4216"/>
      <c r="E75" s="660" t="s">
        <v>768</v>
      </c>
      <c r="F75" s="3004">
        <f ca="1">F22</f>
        <v>0</v>
      </c>
      <c r="O75" s="4406" t="s">
        <v>398</v>
      </c>
      <c r="P75" s="4407" t="s">
        <v>3914</v>
      </c>
      <c r="Q75" s="4411" t="e">
        <f ca="1">L69</f>
        <v>#DIV/0!</v>
      </c>
      <c r="R75" s="4408" t="s">
        <v>3916</v>
      </c>
    </row>
    <row r="76" spans="1:18" s="991" customFormat="1" ht="13.5" thickBot="1">
      <c r="A76" s="4221" t="s">
        <v>777</v>
      </c>
      <c r="B76" s="659" t="s">
        <v>727</v>
      </c>
      <c r="C76" s="4213">
        <f ca="1">ROUND(F76*F77,2)</f>
        <v>0</v>
      </c>
      <c r="D76" s="4215" t="s">
        <v>3442</v>
      </c>
      <c r="E76" s="4228" t="s">
        <v>3801</v>
      </c>
      <c r="F76" s="4230">
        <f ca="1">C53</f>
        <v>0</v>
      </c>
      <c r="O76" s="1024"/>
      <c r="P76" s="1025"/>
      <c r="Q76" s="3694"/>
      <c r="R76" s="1026"/>
    </row>
    <row r="77" spans="1:18" s="991" customFormat="1" ht="16.5" thickBot="1">
      <c r="A77" s="4223"/>
      <c r="B77" s="666"/>
      <c r="C77" s="4214"/>
      <c r="D77" s="4216"/>
      <c r="E77" s="660" t="s">
        <v>729</v>
      </c>
      <c r="F77" s="3004">
        <f ca="1">F24</f>
        <v>0</v>
      </c>
      <c r="O77" s="1034" t="s">
        <v>399</v>
      </c>
      <c r="P77" s="1025" t="s">
        <v>834</v>
      </c>
      <c r="Q77" s="3698">
        <f ca="1">L60</f>
        <v>0</v>
      </c>
      <c r="R77" s="1026" t="s">
        <v>854</v>
      </c>
    </row>
    <row r="78" spans="1:18" s="991" customFormat="1" ht="13.5" thickBot="1">
      <c r="A78" s="4223" t="s">
        <v>778</v>
      </c>
      <c r="B78" s="660" t="s">
        <v>713</v>
      </c>
      <c r="C78" s="4458">
        <f ca="1">ROUND(C57*F78,2)</f>
        <v>0</v>
      </c>
      <c r="D78" s="674" t="s">
        <v>3866</v>
      </c>
      <c r="E78" s="660" t="s">
        <v>697</v>
      </c>
      <c r="F78" s="3004">
        <f ca="1">F26</f>
        <v>0</v>
      </c>
      <c r="O78" s="1034"/>
      <c r="P78" s="1025"/>
      <c r="Q78" s="3698"/>
      <c r="R78" s="1026"/>
    </row>
    <row r="79" spans="1:18" s="991" customFormat="1" ht="16.5" thickBot="1">
      <c r="A79" s="667" t="s">
        <v>3802</v>
      </c>
      <c r="B79" s="677" t="s">
        <v>737</v>
      </c>
      <c r="C79" s="4466">
        <f ca="1">C57-C65</f>
        <v>0</v>
      </c>
      <c r="D79" s="677" t="s">
        <v>3906</v>
      </c>
      <c r="E79" s="4395"/>
      <c r="F79" s="4396"/>
      <c r="O79" s="1034" t="s">
        <v>400</v>
      </c>
      <c r="P79" s="1073" t="s">
        <v>855</v>
      </c>
      <c r="Q79" s="3698">
        <f ca="1">ROUND(Q80-Q81*Q82,0)</f>
        <v>0</v>
      </c>
      <c r="R79" s="1026" t="s">
        <v>408</v>
      </c>
    </row>
    <row r="80" spans="1:18" s="991" customFormat="1" ht="13.5" thickBot="1">
      <c r="A80" s="3453" t="s">
        <v>3803</v>
      </c>
      <c r="B80" s="658" t="s">
        <v>759</v>
      </c>
      <c r="C80" s="4271" t="e">
        <f ca="1">ROUND(C79*(1-((1+F82)/(1+F80))^F81)/(F80-F82),0)</f>
        <v>#DIV/0!</v>
      </c>
      <c r="D80" s="4397" t="s">
        <v>3891</v>
      </c>
      <c r="E80" s="668" t="s">
        <v>3892</v>
      </c>
      <c r="F80" s="3004">
        <f ca="1">F28</f>
        <v>0</v>
      </c>
      <c r="O80" s="1034" t="s">
        <v>405</v>
      </c>
      <c r="P80" s="1073" t="s">
        <v>856</v>
      </c>
      <c r="Q80" s="3698">
        <f ca="1">C27</f>
        <v>0</v>
      </c>
      <c r="R80" s="1026" t="s">
        <v>803</v>
      </c>
    </row>
    <row r="81" spans="1:18" s="991" customFormat="1" ht="13.5" thickBot="1">
      <c r="A81" s="3454"/>
      <c r="B81" s="662"/>
      <c r="C81" s="4467"/>
      <c r="D81" s="4398" t="s">
        <v>3896</v>
      </c>
      <c r="E81" s="668" t="s">
        <v>3895</v>
      </c>
      <c r="F81" s="3005">
        <f ca="1">F29</f>
        <v>0</v>
      </c>
      <c r="O81" s="1034" t="s">
        <v>406</v>
      </c>
      <c r="P81" s="1073" t="s">
        <v>857</v>
      </c>
      <c r="Q81" s="3698">
        <f ca="1">C52</f>
        <v>0</v>
      </c>
      <c r="R81" s="1026" t="s">
        <v>803</v>
      </c>
    </row>
    <row r="82" spans="1:18" s="991" customFormat="1" ht="13.5" thickBot="1">
      <c r="A82" s="3455"/>
      <c r="B82" s="3020"/>
      <c r="C82" s="3020"/>
      <c r="D82" s="4399"/>
      <c r="E82" s="668" t="s">
        <v>3897</v>
      </c>
      <c r="F82" s="2999"/>
      <c r="O82" s="1034" t="s">
        <v>407</v>
      </c>
      <c r="P82" s="1073" t="s">
        <v>858</v>
      </c>
      <c r="Q82" s="3695">
        <f ca="1">C88</f>
        <v>0</v>
      </c>
      <c r="R82" s="1026"/>
    </row>
    <row r="83" spans="1:18" s="991" customFormat="1" ht="13.5" thickBot="1">
      <c r="A83" s="664" t="s">
        <v>3806</v>
      </c>
      <c r="B83" s="2979" t="s">
        <v>3446</v>
      </c>
      <c r="C83" s="4206" t="e">
        <f ca="1">ROUND(C80*(1+F31),0)</f>
        <v>#DIV/0!</v>
      </c>
      <c r="D83" s="4400" t="str">
        <f>D31</f>
        <v>其他类型公式—收益价值×（1+9%）</v>
      </c>
      <c r="E83" s="1077"/>
      <c r="F83" s="4401"/>
      <c r="O83" s="1034" t="s">
        <v>401</v>
      </c>
      <c r="P83" s="1025" t="s">
        <v>836</v>
      </c>
      <c r="Q83" s="3695">
        <f>L61</f>
        <v>0</v>
      </c>
      <c r="R83" s="1026"/>
    </row>
    <row r="84" spans="1:18" ht="16.5" thickBot="1">
      <c r="A84" s="681" t="s">
        <v>390</v>
      </c>
      <c r="B84" s="682" t="s">
        <v>761</v>
      </c>
      <c r="C84" s="2991" t="e">
        <f ca="1">ROUND(C83*10000/F84,0)</f>
        <v>#DIV/0!</v>
      </c>
      <c r="D84" s="4402" t="s">
        <v>3900</v>
      </c>
      <c r="E84" s="682" t="s">
        <v>3901</v>
      </c>
      <c r="F84" s="3006">
        <f ca="1">F32</f>
        <v>0</v>
      </c>
      <c r="G84" s="991"/>
      <c r="H84" s="991"/>
      <c r="O84" s="1034" t="s">
        <v>402</v>
      </c>
      <c r="P84" s="1025" t="s">
        <v>839</v>
      </c>
      <c r="Q84" s="4412" t="e">
        <f ca="1">L67</f>
        <v>#DIV/0!</v>
      </c>
      <c r="R84" s="1026" t="s">
        <v>840</v>
      </c>
    </row>
    <row r="85" spans="1:18" ht="13.5" thickBot="1">
      <c r="A85" s="991"/>
      <c r="B85" s="519"/>
      <c r="C85" s="519"/>
      <c r="D85" s="991"/>
      <c r="E85" s="991"/>
      <c r="F85" s="991"/>
      <c r="O85" s="1034" t="s">
        <v>409</v>
      </c>
      <c r="P85" s="1025" t="str">
        <f>K68</f>
        <v>建筑物剩余耐用年限下的土地年期修正系数Kn</v>
      </c>
      <c r="Q85" s="4412" t="e">
        <f ca="1">L68</f>
        <v>#DIV/0!</v>
      </c>
      <c r="R85" s="1026" t="s">
        <v>841</v>
      </c>
    </row>
    <row r="86" spans="1:18" ht="25.5"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J59" sqref="J59"/>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3</v>
      </c>
      <c r="D1" s="969" t="s">
        <v>41</v>
      </c>
      <c r="E1" s="970" t="s">
        <v>665</v>
      </c>
      <c r="F1" s="742">
        <f ca="1">J62</f>
        <v>26.22</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722.47730000000001</v>
      </c>
      <c r="C2" s="993" t="s">
        <v>790</v>
      </c>
      <c r="D2" s="3585" t="s">
        <v>4007</v>
      </c>
      <c r="E2" s="994"/>
      <c r="F2" s="995"/>
      <c r="G2" s="2137"/>
      <c r="H2" s="2126"/>
      <c r="I2" s="2126"/>
      <c r="J2" s="2126"/>
      <c r="K2" s="2127"/>
      <c r="L2" s="2126"/>
      <c r="M2" s="2126"/>
    </row>
    <row r="3" spans="1:37" ht="18" customHeight="1" thickBot="1">
      <c r="A3" s="996" t="s">
        <v>791</v>
      </c>
      <c r="B3" s="997">
        <f ca="1">IF(ISERROR(D3/F32),0,ROUND(D3/F32,0))</f>
        <v>6862</v>
      </c>
      <c r="C3" s="993" t="s">
        <v>792</v>
      </c>
      <c r="D3" s="993">
        <f ca="1">IF(D2="含税",ROUND((C28+J31+L55)*(1+F31),0),C28+J31+L55)</f>
        <v>7224773</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f ca="1">C6+C10+C12</f>
        <v>484788</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f ca="1">C7-C9</f>
        <v>484183</v>
      </c>
      <c r="D6" s="2952" t="s">
        <v>3799</v>
      </c>
      <c r="E6" s="2950" t="s">
        <v>3982</v>
      </c>
      <c r="F6" s="3684">
        <f ca="1">INDIRECT("'数据-取费表'!u"&amp;$G$1)</f>
        <v>1.4</v>
      </c>
      <c r="G6" s="991"/>
      <c r="H6" s="745" t="s">
        <v>392</v>
      </c>
      <c r="I6" s="2951" t="s">
        <v>3795</v>
      </c>
      <c r="J6" s="2939">
        <f ca="1">J7-J9</f>
        <v>0</v>
      </c>
      <c r="K6" s="2952" t="s">
        <v>3799</v>
      </c>
      <c r="L6" s="2950" t="s">
        <v>3982</v>
      </c>
      <c r="M6" s="3703">
        <f ca="1">INDIRECT("'数据-取费表'!z"&amp;$G$1)</f>
        <v>0</v>
      </c>
    </row>
    <row r="7" spans="1:37" ht="18" customHeight="1">
      <c r="A7" s="4843" t="s">
        <v>391</v>
      </c>
      <c r="B7" s="4836" t="s">
        <v>3793</v>
      </c>
      <c r="C7" s="4846">
        <f ca="1">ROUND(F6*F7*F8,0)</f>
        <v>537981</v>
      </c>
      <c r="D7" s="4839" t="s">
        <v>3471</v>
      </c>
      <c r="E7" s="4453" t="s">
        <v>682</v>
      </c>
      <c r="F7" s="3974">
        <f ca="1">IF(INDIRECT("'数据-取费表'!ah"&amp;$G$1)="",INDIRECT("'数据-取费表'!k"&amp;$G$1),INDIRECT("'数据-取费表'!ah"&amp;$G$1))</f>
        <v>1052.8</v>
      </c>
      <c r="G7" s="991"/>
      <c r="H7" s="4843" t="s">
        <v>391</v>
      </c>
      <c r="I7" s="4836" t="s">
        <v>3793</v>
      </c>
      <c r="J7" s="4847">
        <f ca="1">ROUND(M6*M8*M7,0)</f>
        <v>0</v>
      </c>
      <c r="K7" s="4839" t="s">
        <v>3471</v>
      </c>
      <c r="L7" s="190" t="s">
        <v>682</v>
      </c>
      <c r="M7" s="4602">
        <f ca="1">F7</f>
        <v>1052.8</v>
      </c>
    </row>
    <row r="8" spans="1:37" ht="18" customHeight="1">
      <c r="A8" s="4844"/>
      <c r="B8" s="4837"/>
      <c r="C8" s="4846"/>
      <c r="D8" s="4839"/>
      <c r="E8" s="190" t="str">
        <f ca="1">IF(F8=1,"年",IF(F8=12,"月","天"))</f>
        <v>天</v>
      </c>
      <c r="F8" s="3677">
        <f ca="1">INDIRECT("'数据-取费表'!ai"&amp;$G$1)</f>
        <v>365</v>
      </c>
      <c r="G8" s="991"/>
      <c r="H8" s="4844"/>
      <c r="I8" s="4837"/>
      <c r="J8" s="4847"/>
      <c r="K8" s="4839"/>
      <c r="L8" s="190" t="str">
        <f ca="1">IF(M8=1,"年",IF(M8=12,"月","天"))</f>
        <v>天</v>
      </c>
      <c r="M8" s="3705">
        <f ca="1">INDIRECT("'数据-取费表'!ai"&amp;$G$1)</f>
        <v>365</v>
      </c>
    </row>
    <row r="9" spans="1:37" ht="18" customHeight="1">
      <c r="A9" s="2937" t="s">
        <v>3401</v>
      </c>
      <c r="B9" s="4457" t="s">
        <v>3794</v>
      </c>
      <c r="C9" s="4467">
        <f ca="1">ROUND(C7*F9,0)</f>
        <v>53798</v>
      </c>
      <c r="D9" s="2952" t="s">
        <v>3798</v>
      </c>
      <c r="E9" s="190" t="s">
        <v>684</v>
      </c>
      <c r="F9" s="3004">
        <f ca="1">INDIRECT("'数据-取费表'!w"&amp;$G$1)</f>
        <v>0.1</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f ca="1">ROUND(IF(F10="押一",C6/12*F11,IF(F10="押二",C6/12*2*F11,IF(F10="押三",C6/12*3*F11,C11*F11))),0)</f>
        <v>605</v>
      </c>
      <c r="D10" s="973" t="s">
        <v>2020</v>
      </c>
      <c r="E10" s="201" t="s">
        <v>686</v>
      </c>
      <c r="F10" s="787" t="s">
        <v>4008</v>
      </c>
      <c r="G10" s="991"/>
      <c r="H10" s="745" t="s">
        <v>396</v>
      </c>
      <c r="I10" s="972" t="s">
        <v>685</v>
      </c>
      <c r="J10" s="4271">
        <f ca="1">ROUND(IF(M10="押一",J6/12*M11,IF(M10="押二",J6/12*2*M11,IF(M10="押三",J6/12*3*M11,J11*M11))),0)</f>
        <v>0</v>
      </c>
      <c r="K10" s="973" t="s">
        <v>2020</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f ca="1">ROUND(C14+C22+C24+C26,0)</f>
        <v>79736</v>
      </c>
      <c r="D13" s="4607" t="s">
        <v>3921</v>
      </c>
      <c r="E13" s="4372"/>
      <c r="F13" s="4370"/>
      <c r="G13" s="4367"/>
      <c r="H13" s="754" t="s">
        <v>3676</v>
      </c>
      <c r="I13" s="755" t="s">
        <v>3920</v>
      </c>
      <c r="J13" s="4206">
        <f ca="1">ROUND(J14+J22+J24+J26,0)</f>
        <v>37771</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f ca="1">ROUND(IF(AND(项目基本情况!B11="自然人",项目基本情况!B10="北京市",M56="住宅"),C6*F14,C15+C19+C20),2)</f>
        <v>69484</v>
      </c>
      <c r="D14" s="4455" t="s">
        <v>3445</v>
      </c>
      <c r="E14" s="4600" t="str">
        <f>IF(M56="非住宅","","综合税率")</f>
        <v/>
      </c>
      <c r="F14" s="4190" t="str">
        <f>IF(M56="非住宅","",IF(F6*F7*F8/12/(1+'数据-取费表'!F30)&gt;100000,4%,2.5%))</f>
        <v/>
      </c>
      <c r="G14" s="991"/>
      <c r="H14" s="692" t="s">
        <v>392</v>
      </c>
      <c r="I14" s="2950" t="s">
        <v>3973</v>
      </c>
      <c r="J14" s="2939">
        <f ca="1">ROUND(IF(AND(项目基本情况!B11="自然人",项目基本情况!B10="北京市",M56="住宅"),J6*M14/(1+'数据-取费表'!C43),J15+J19+J20),0)</f>
        <v>31863</v>
      </c>
      <c r="K14" s="2977" t="s">
        <v>3444</v>
      </c>
      <c r="L14" s="4600" t="str">
        <f>E14</f>
        <v/>
      </c>
      <c r="M14" s="4190" t="str">
        <f>IF(M56="非住宅","",IF(M6*M7*M8/12/(1+'数据-取费表'!F30)&gt;100000,4%,2.5%))</f>
        <v/>
      </c>
    </row>
    <row r="15" spans="1:37" s="1003" customFormat="1" ht="18" customHeight="1">
      <c r="A15" s="2937" t="s">
        <v>391</v>
      </c>
      <c r="B15" s="2950" t="s">
        <v>3965</v>
      </c>
      <c r="C15" s="2939">
        <f ca="1">C18</f>
        <v>4278</v>
      </c>
      <c r="D15" s="4462" t="s">
        <v>3964</v>
      </c>
      <c r="E15" s="4463"/>
      <c r="F15" s="4501"/>
      <c r="G15" s="1002"/>
      <c r="H15" s="2937" t="s">
        <v>391</v>
      </c>
      <c r="I15" s="2950" t="s">
        <v>3965</v>
      </c>
      <c r="J15" s="2939">
        <f ca="1">J18</f>
        <v>-53</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43576</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f ca="1">ROUND(C22*F16+((C24+C26)*F17),0)</f>
        <v>792</v>
      </c>
      <c r="D17" s="4342" t="s">
        <v>3861</v>
      </c>
      <c r="E17" s="2959"/>
      <c r="F17" s="3002">
        <v>0.06</v>
      </c>
      <c r="G17" s="1002"/>
      <c r="H17" s="2739" t="s">
        <v>3289</v>
      </c>
      <c r="I17" s="2954" t="s">
        <v>3405</v>
      </c>
      <c r="J17" s="3268">
        <f ca="1">ROUND(J22*M16+((J24+J26)*M17),0)</f>
        <v>532</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f ca="1">ROUND((C16-C17)*F18,0)</f>
        <v>4278</v>
      </c>
      <c r="D18" s="2977" t="s">
        <v>3984</v>
      </c>
      <c r="E18" s="190" t="s">
        <v>3985</v>
      </c>
      <c r="F18" s="3002">
        <f>'数据-取费表'!B44</f>
        <v>0.1</v>
      </c>
      <c r="G18" s="1002"/>
      <c r="H18" s="2739" t="s">
        <v>3962</v>
      </c>
      <c r="I18" s="2954" t="s">
        <v>3961</v>
      </c>
      <c r="J18" s="3268">
        <f ca="1">ROUND((J16-J17)*M18,0)</f>
        <v>-53</v>
      </c>
      <c r="K18" s="2977" t="s">
        <v>3984</v>
      </c>
      <c r="L18" s="190" t="s">
        <v>3985</v>
      </c>
      <c r="M18" s="3701">
        <f>'数据-取费表'!B44</f>
        <v>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f ca="1">IF(AND(项目基本情况!B11="自然人",M56="住宅"),"——",IF(D19="按不含税租金收入（有效毛租金收入）计税",ROUND(C6*F19,0),IF(D19="按房产原值计税",ROUND(C51*F19*0.7,0),INDIRECT("'数据-取费表'!Aj"&amp;$G$1))))</f>
        <v>58102</v>
      </c>
      <c r="D19" s="2953" t="s">
        <v>4009</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24812</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f ca="1">IF(AND(项目基本情况!B11="自然人",M56="住宅"),"——",ROUND(F20*F21,0))</f>
        <v>7104</v>
      </c>
      <c r="D20" s="211" t="s">
        <v>716</v>
      </c>
      <c r="E20" s="190" t="s">
        <v>717</v>
      </c>
      <c r="F20" s="3684">
        <f>'数据-取费表'!B53</f>
        <v>1.5</v>
      </c>
      <c r="G20" s="991"/>
      <c r="H20" s="4464" t="s">
        <v>666</v>
      </c>
      <c r="I20" s="4285" t="s">
        <v>3967</v>
      </c>
      <c r="J20" s="3269">
        <f ca="1">ROUND(M20*M21,0)</f>
        <v>7104</v>
      </c>
      <c r="K20" s="211" t="s">
        <v>716</v>
      </c>
      <c r="L20" s="190" t="s">
        <v>717</v>
      </c>
      <c r="M20" s="3703">
        <f>'数据-取费表'!B53</f>
        <v>1.5</v>
      </c>
    </row>
    <row r="21" spans="1:37" s="1003" customFormat="1" ht="18" customHeight="1">
      <c r="A21" s="213"/>
      <c r="B21" s="776"/>
      <c r="C21" s="3270"/>
      <c r="D21" s="214"/>
      <c r="E21" s="190" t="s">
        <v>721</v>
      </c>
      <c r="F21" s="3272">
        <f ca="1">INDIRECT("'数据-取费表'!r"&amp;$G$1)</f>
        <v>4735.72</v>
      </c>
      <c r="G21" s="1002"/>
      <c r="H21" s="213"/>
      <c r="I21" s="199"/>
      <c r="J21" s="3270"/>
      <c r="K21" s="214"/>
      <c r="L21" s="190" t="s">
        <v>721</v>
      </c>
      <c r="M21" s="3704">
        <f ca="1">INDIRECT("'数据-取费表'!r"&amp;$G$1)</f>
        <v>4735.72</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5908</v>
      </c>
      <c r="D22" s="4286" t="s">
        <v>724</v>
      </c>
      <c r="E22" s="190" t="s">
        <v>697</v>
      </c>
      <c r="F22" s="3004">
        <f ca="1">INDIRECT("'数据-取费表'!Ak"&amp;$G$1)</f>
        <v>2E-3</v>
      </c>
      <c r="G22" s="1002"/>
      <c r="H22" s="4212" t="s">
        <v>396</v>
      </c>
      <c r="I22" s="60" t="s">
        <v>723</v>
      </c>
      <c r="J22" s="4232">
        <f ca="1">ROUND(J35*M22,0)</f>
        <v>5908</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2953842</v>
      </c>
      <c r="G23" s="1002"/>
      <c r="H23" s="213"/>
      <c r="I23" s="199"/>
      <c r="J23" s="4233"/>
      <c r="K23" s="4287"/>
      <c r="L23" s="2950" t="s">
        <v>3819</v>
      </c>
      <c r="M23" s="3705">
        <f ca="1">J35</f>
        <v>2953842</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1920</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1919997</v>
      </c>
      <c r="G25" s="991"/>
      <c r="H25" s="213"/>
      <c r="I25" s="199"/>
      <c r="J25" s="4233"/>
      <c r="K25" s="4287"/>
      <c r="L25" s="4285" t="s">
        <v>3820</v>
      </c>
      <c r="M25" s="3705">
        <f ca="1">J37</f>
        <v>0</v>
      </c>
    </row>
    <row r="26" spans="1:37" s="1003" customFormat="1" ht="18" customHeight="1" thickBot="1">
      <c r="A26" s="764" t="s">
        <v>669</v>
      </c>
      <c r="B26" s="765" t="s">
        <v>713</v>
      </c>
      <c r="C26" s="3271">
        <f ca="1">ROUND(C5*F26,0)</f>
        <v>2424</v>
      </c>
      <c r="D26" s="767" t="s">
        <v>3865</v>
      </c>
      <c r="E26" s="765" t="s">
        <v>697</v>
      </c>
      <c r="F26" s="3072">
        <f ca="1">INDIRECT("'数据-取费表'!Am"&amp;$G$1)</f>
        <v>5.0000000000000001E-3</v>
      </c>
      <c r="G26" s="1002"/>
      <c r="H26" s="764" t="s">
        <v>669</v>
      </c>
      <c r="I26" s="765" t="s">
        <v>713</v>
      </c>
      <c r="J26" s="3271">
        <f ca="1">ROUND(J5*M26,0)</f>
        <v>0</v>
      </c>
      <c r="K26" s="767" t="s">
        <v>3865</v>
      </c>
      <c r="L26" s="765" t="s">
        <v>697</v>
      </c>
      <c r="M26" s="3702">
        <f ca="1">INDIRECT("'数据-取费表'!Am"&amp;$G$1)</f>
        <v>5.0000000000000001E-3</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f ca="1">C5-C13</f>
        <v>405052</v>
      </c>
      <c r="D27" s="4606" t="s">
        <v>3906</v>
      </c>
      <c r="E27" s="4376"/>
      <c r="F27" s="4377"/>
      <c r="G27" s="4378"/>
      <c r="H27" s="754" t="s">
        <v>3300</v>
      </c>
      <c r="I27" s="769" t="s">
        <v>3923</v>
      </c>
      <c r="J27" s="4206">
        <f ca="1">J5-J13</f>
        <v>-37771</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f ca="1">ROUND(C27*(1-((1+F30)/(1+F28))^F29)/(F28-F30),0)</f>
        <v>6450847</v>
      </c>
      <c r="D28" s="4381" t="s">
        <v>3924</v>
      </c>
      <c r="E28" s="2962" t="s">
        <v>3892</v>
      </c>
      <c r="F28" s="3004">
        <f ca="1">INDIRECT("'数据-取费表'!I"&amp;$G$1)</f>
        <v>5.5E-2</v>
      </c>
      <c r="G28" s="4367"/>
      <c r="H28" s="4265" t="s">
        <v>3678</v>
      </c>
      <c r="I28" s="4273" t="s">
        <v>3811</v>
      </c>
      <c r="J28" s="4289">
        <f ca="1">IF(J5&lt;&gt;0,ROUND(J27*(1-((1+M30)/(1+M28))^M29)/(M28-M30),0),0)</f>
        <v>0</v>
      </c>
      <c r="K28" s="4381" t="s">
        <v>3924</v>
      </c>
      <c r="L28" s="4382" t="s">
        <v>3892</v>
      </c>
      <c r="M28" s="3699">
        <f ca="1">INDIRECT("'数据-取费表'!I"&amp;$G$1)</f>
        <v>5.5E-2</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26.22</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7031423</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1052.8</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f ca="1">ROUND(C31/F32,0)</f>
        <v>6679</v>
      </c>
      <c r="D32" s="4386" t="s">
        <v>3900</v>
      </c>
      <c r="E32" s="222" t="s">
        <v>3901</v>
      </c>
      <c r="F32" s="3006">
        <f ca="1">INDIRECT("'数据-取费表'!k"&amp;$G$1)</f>
        <v>1052.8</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f ca="1">1-C27/C5</f>
        <v>0.16447601838329329</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2688851</v>
      </c>
      <c r="D35" s="2973" t="s">
        <v>3415</v>
      </c>
      <c r="E35" s="2969"/>
      <c r="F35" s="2970"/>
      <c r="G35" s="991"/>
      <c r="H35" s="2983" t="s">
        <v>3407</v>
      </c>
      <c r="I35" s="2986" t="s">
        <v>3447</v>
      </c>
      <c r="J35" s="2987">
        <f ca="1">C51</f>
        <v>2953842</v>
      </c>
      <c r="K35" s="3452" t="s">
        <v>3443</v>
      </c>
      <c r="L35" s="2988"/>
      <c r="M35" s="3282"/>
    </row>
    <row r="36" spans="1:37" ht="18" customHeight="1">
      <c r="A36" s="2937" t="s">
        <v>391</v>
      </c>
      <c r="B36" s="2902" t="s">
        <v>692</v>
      </c>
      <c r="C36" s="2845">
        <f ca="1">ROUND(INDIRECT("'数据-取费表'!l"&amp;$G$1)*F32+'数据-取费表'!L14*INDIRECT("'数据-取费表'!S"&amp;$G$1),0)</f>
        <v>2316160</v>
      </c>
      <c r="D36" s="3027" t="s">
        <v>693</v>
      </c>
      <c r="E36" s="3027"/>
      <c r="F36" s="220"/>
      <c r="G36" s="991"/>
      <c r="H36" s="2984" t="s">
        <v>396</v>
      </c>
      <c r="I36" s="2989" t="s">
        <v>3435</v>
      </c>
      <c r="J36" s="2887">
        <f ca="1">ROUND(J35*(1-M36),0)</f>
        <v>2953842</v>
      </c>
      <c r="K36" s="190" t="s">
        <v>3438</v>
      </c>
      <c r="L36" s="2952" t="s">
        <v>3450</v>
      </c>
      <c r="M36" s="3004">
        <f ca="1">INDIRECT("'数据-取费表'!ad"&amp;$G$1)</f>
        <v>0</v>
      </c>
    </row>
    <row r="37" spans="1:37" ht="18" customHeight="1" thickBot="1">
      <c r="A37" s="2937" t="s">
        <v>3401</v>
      </c>
      <c r="B37" s="2902" t="s">
        <v>695</v>
      </c>
      <c r="C37" s="2939">
        <f ca="1">ROUND(C36*F37,0)</f>
        <v>115808</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ROUND(F39*(F32+INDIRECT("'数据-取费表'!S"&amp;$G$1)),0)</f>
        <v>210560</v>
      </c>
      <c r="D39" s="190" t="s">
        <v>702</v>
      </c>
      <c r="E39" s="190" t="s">
        <v>3872</v>
      </c>
      <c r="F39" s="3688">
        <f>'数据-取费表'!B35</f>
        <v>200</v>
      </c>
      <c r="G39" s="991"/>
    </row>
    <row r="40" spans="1:37" ht="18" customHeight="1">
      <c r="A40" s="2937" t="s">
        <v>668</v>
      </c>
      <c r="B40" s="2954" t="s">
        <v>3292</v>
      </c>
      <c r="C40" s="2939">
        <f ca="1">ROUND(C36*F40,0)</f>
        <v>46323</v>
      </c>
      <c r="D40" s="190" t="s">
        <v>696</v>
      </c>
      <c r="E40" s="190" t="s">
        <v>697</v>
      </c>
      <c r="F40" s="3002">
        <f>'数据-取费表'!B36</f>
        <v>0.02</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40333</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0.015V建</v>
      </c>
      <c r="D43" s="3031" t="s">
        <v>3428</v>
      </c>
      <c r="E43" s="2962" t="s">
        <v>3429</v>
      </c>
      <c r="F43" s="3004">
        <f>'数据-取费表'!B39</f>
        <v>1.4999999999999999E-2</v>
      </c>
      <c r="G43" s="991"/>
      <c r="H43" s="832"/>
      <c r="I43" s="832"/>
      <c r="J43" s="832"/>
      <c r="K43" s="2020"/>
      <c r="L43" s="832"/>
      <c r="M43" s="832"/>
    </row>
    <row r="44" spans="1:37" ht="18" customHeight="1">
      <c r="A44" s="203" t="s">
        <v>3430</v>
      </c>
      <c r="B44" s="2965" t="s">
        <v>3367</v>
      </c>
      <c r="C44" s="3680" t="str">
        <f ca="1">C45&amp;"+"&amp;C46&amp;"V建"</f>
        <v>40938+0.0002V建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40938</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136459+0.0008V建</v>
      </c>
      <c r="D47" s="2921" t="s">
        <v>3432</v>
      </c>
      <c r="E47" s="204"/>
      <c r="F47" s="3003"/>
      <c r="G47" s="991"/>
      <c r="H47" s="832"/>
      <c r="I47" s="832"/>
      <c r="J47" s="832"/>
      <c r="K47" s="2020"/>
      <c r="L47" s="832"/>
      <c r="M47" s="832"/>
    </row>
    <row r="48" spans="1:37" ht="18" customHeight="1">
      <c r="A48" s="2937" t="s">
        <v>391</v>
      </c>
      <c r="B48" s="190" t="s">
        <v>739</v>
      </c>
      <c r="C48" s="2939">
        <f ca="1">ROUND((C35+C42)*F48,0)</f>
        <v>136459</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8">
        <f ca="1">ROUND(F43*F48,4)</f>
        <v>8.0000000000000004E-4</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2953842</v>
      </c>
      <c r="D51" s="2976" t="s">
        <v>3443</v>
      </c>
      <c r="E51" s="2962"/>
      <c r="F51" s="3004"/>
      <c r="K51" s="4418"/>
      <c r="Q51" s="4413"/>
    </row>
    <row r="52" spans="1:37" s="4367" customFormat="1" ht="18" customHeight="1">
      <c r="A52" s="2966" t="s">
        <v>3433</v>
      </c>
      <c r="B52" s="2965" t="s">
        <v>3435</v>
      </c>
      <c r="C52" s="4347">
        <f ca="1">ROUND(C51*(1-F52),0)</f>
        <v>1033845</v>
      </c>
      <c r="D52" s="2962" t="s">
        <v>3934</v>
      </c>
      <c r="E52" s="2962" t="s">
        <v>3935</v>
      </c>
      <c r="F52" s="3004">
        <f ca="1">INDIRECT("'数据-取费表'!y"&amp;$G$1)</f>
        <v>0.65</v>
      </c>
      <c r="K52" s="4418"/>
      <c r="Q52" s="4413"/>
    </row>
    <row r="53" spans="1:37" s="4367" customFormat="1" ht="18" customHeight="1" thickBot="1">
      <c r="A53" s="2967" t="s">
        <v>3930</v>
      </c>
      <c r="B53" s="2975" t="s">
        <v>3441</v>
      </c>
      <c r="C53" s="2991">
        <f ca="1">C51-C52</f>
        <v>1919997</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5" thickBot="1">
      <c r="A55" s="2702" t="s">
        <v>3963</v>
      </c>
      <c r="C55" s="4609">
        <f ca="1">ROUND(IF(D2="含税",C83-C31,C80-C28)/10000,4)</f>
        <v>-725.3682</v>
      </c>
      <c r="D55" s="1012" t="str">
        <f>C2</f>
        <v>万元</v>
      </c>
      <c r="E55" s="1006"/>
      <c r="F55" s="1006"/>
      <c r="I55" s="1013" t="s">
        <v>795</v>
      </c>
      <c r="J55" s="1014"/>
      <c r="K55" s="1015"/>
      <c r="L55" s="4250">
        <f ca="1">IF(M56="住宅",0,IF(L57&gt;J60,L69,J69))</f>
        <v>177385</v>
      </c>
      <c r="O55" s="4403" t="s">
        <v>1325</v>
      </c>
      <c r="P55" s="4404" t="s">
        <v>3907</v>
      </c>
      <c r="Q55" s="4424" t="s">
        <v>3908</v>
      </c>
      <c r="R55" s="4405" t="s">
        <v>3909</v>
      </c>
    </row>
    <row r="56" spans="1:37" s="991" customFormat="1" ht="13.5" thickBot="1">
      <c r="A56" s="4390" t="s">
        <v>3878</v>
      </c>
      <c r="B56" s="4391" t="s">
        <v>3879</v>
      </c>
      <c r="C56" s="4362" t="s">
        <v>3987</v>
      </c>
      <c r="D56" s="4391" t="s">
        <v>3880</v>
      </c>
      <c r="E56" s="4392" t="s">
        <v>3881</v>
      </c>
      <c r="F56" s="4419"/>
      <c r="G56" s="515"/>
      <c r="I56" s="1020" t="s">
        <v>800</v>
      </c>
      <c r="J56" s="1021" t="s">
        <v>4010</v>
      </c>
      <c r="K56" s="1022" t="s">
        <v>801</v>
      </c>
      <c r="L56" s="4251">
        <f ca="1">INDIRECT("'数据-取费表'!d"&amp;$G$1)</f>
        <v>50</v>
      </c>
      <c r="M56" s="987" t="str">
        <f>IF(ISNUMBER(FIND("住宅",C1)),"住宅","非住宅")</f>
        <v>非住宅</v>
      </c>
      <c r="O56" s="4406" t="s">
        <v>397</v>
      </c>
      <c r="P56" s="4410" t="s">
        <v>3947</v>
      </c>
      <c r="Q56" s="4411">
        <f ca="1">C28+J31</f>
        <v>6450847</v>
      </c>
      <c r="R56" s="4408" t="s">
        <v>3911</v>
      </c>
    </row>
    <row r="57" spans="1:37" s="991" customFormat="1" ht="42.75" thickBot="1">
      <c r="A57" s="686" t="s">
        <v>432</v>
      </c>
      <c r="B57" s="4268" t="s">
        <v>3903</v>
      </c>
      <c r="C57" s="4393">
        <f ca="1">C58+C62+C64</f>
        <v>0</v>
      </c>
      <c r="D57" s="4368" t="s">
        <v>3937</v>
      </c>
      <c r="E57" s="4394"/>
      <c r="F57" s="4420"/>
      <c r="G57" s="515"/>
      <c r="H57" s="516"/>
      <c r="I57" s="1027" t="s">
        <v>804</v>
      </c>
      <c r="J57" s="1028" t="s">
        <v>4011</v>
      </c>
      <c r="K57" s="1029" t="s">
        <v>805</v>
      </c>
      <c r="L57" s="4240">
        <f ca="1">INDIRECT("'数据-取费表'!f"&amp;$G$1)</f>
        <v>26.22</v>
      </c>
      <c r="O57" s="4406" t="s">
        <v>398</v>
      </c>
      <c r="P57" s="4407" t="s">
        <v>3912</v>
      </c>
      <c r="Q57" s="4411">
        <f ca="1">J69</f>
        <v>177385</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v>2005</v>
      </c>
      <c r="K58" s="1029" t="s">
        <v>809</v>
      </c>
      <c r="L58" s="4252"/>
      <c r="O58" s="1034" t="s">
        <v>399</v>
      </c>
      <c r="P58" s="4426" t="s">
        <v>3948</v>
      </c>
      <c r="Q58" s="3694">
        <f ca="1">C51</f>
        <v>2953842</v>
      </c>
      <c r="R58" s="1026" t="s">
        <v>803</v>
      </c>
    </row>
    <row r="59" spans="1:37" s="991" customFormat="1" ht="15" customHeight="1" thickBot="1">
      <c r="A59" s="4224" t="s">
        <v>3796</v>
      </c>
      <c r="B59" s="4836" t="s">
        <v>3793</v>
      </c>
      <c r="C59" s="4271">
        <f ca="1">ROUND(F58*F60*F59,0)</f>
        <v>0</v>
      </c>
      <c r="D59" s="4839" t="s">
        <v>3471</v>
      </c>
      <c r="E59" s="736" t="s">
        <v>682</v>
      </c>
      <c r="F59" s="2997">
        <f ca="1">F7</f>
        <v>1052.8</v>
      </c>
      <c r="H59" s="516"/>
      <c r="I59" s="1027" t="s">
        <v>811</v>
      </c>
      <c r="J59" s="4256">
        <f>SUMPRODUCT((I72:I74=J56)*(J71:L71=J57)*(J72:L74))</f>
        <v>50</v>
      </c>
      <c r="K59" s="1029" t="s">
        <v>812</v>
      </c>
      <c r="L59" s="4252"/>
      <c r="M59" s="1036"/>
      <c r="O59" s="1034" t="s">
        <v>400</v>
      </c>
      <c r="P59" s="1025" t="s">
        <v>813</v>
      </c>
      <c r="Q59" s="3695">
        <f ca="1">J67</f>
        <v>0.4</v>
      </c>
      <c r="R59" s="1026"/>
    </row>
    <row r="60" spans="1:37" s="991" customFormat="1" ht="15" customHeight="1" thickBot="1">
      <c r="A60" s="4502"/>
      <c r="B60" s="4837"/>
      <c r="C60" s="4205"/>
      <c r="D60" s="4839"/>
      <c r="E60" s="691" t="str">
        <f ca="1">IF(F60=1,"年",IF(F60=12,"月","天"))</f>
        <v>天</v>
      </c>
      <c r="F60" s="2998">
        <f ca="1">F8</f>
        <v>365</v>
      </c>
      <c r="I60" s="1038" t="s">
        <v>814</v>
      </c>
      <c r="J60" s="4240">
        <f>IF(J58="",J59,J58+J59-YEAR('数据-取费表'!B2))</f>
        <v>29</v>
      </c>
      <c r="K60" s="1040" t="s">
        <v>815</v>
      </c>
      <c r="L60" s="4229">
        <f ca="1">ROUND(-PV(INDIRECT("'数据-取费表'!h"&amp;$G$1),J60,(C27-C52*C88),0),0)</f>
        <v>5037176</v>
      </c>
      <c r="M60" s="1042"/>
      <c r="O60" s="1034" t="s">
        <v>401</v>
      </c>
      <c r="P60" s="1025" t="s">
        <v>816</v>
      </c>
      <c r="Q60" s="3695">
        <f>J61</f>
        <v>7.4999999999999997E-2</v>
      </c>
      <c r="R60" s="1026"/>
    </row>
    <row r="61" spans="1:37" s="991" customFormat="1" ht="15" customHeight="1" thickBot="1">
      <c r="A61" s="4204" t="s">
        <v>3797</v>
      </c>
      <c r="B61" s="4457" t="s">
        <v>3794</v>
      </c>
      <c r="C61" s="2995">
        <f ca="1">ROUND(C59*F61,0)</f>
        <v>0</v>
      </c>
      <c r="D61" s="2952" t="s">
        <v>3798</v>
      </c>
      <c r="E61" s="691" t="s">
        <v>684</v>
      </c>
      <c r="F61" s="2999"/>
      <c r="I61" s="1043" t="s">
        <v>817</v>
      </c>
      <c r="J61" s="4241">
        <v>7.4999999999999997E-2</v>
      </c>
      <c r="K61" s="1043" t="s">
        <v>818</v>
      </c>
      <c r="L61" s="4255"/>
      <c r="O61" s="1034" t="s">
        <v>402</v>
      </c>
      <c r="P61" s="1025" t="s">
        <v>819</v>
      </c>
      <c r="Q61" s="3694">
        <f ca="1">J62</f>
        <v>26.22</v>
      </c>
      <c r="R61" s="1026" t="s">
        <v>820</v>
      </c>
    </row>
    <row r="62" spans="1:37" s="991" customFormat="1" ht="24.75" thickBot="1">
      <c r="A62" s="4227" t="s">
        <v>3448</v>
      </c>
      <c r="B62" s="980" t="s">
        <v>685</v>
      </c>
      <c r="C62" s="4466">
        <f ca="1">ROUND(IF(F62="押一",C58/12*F11,IF(F62="押二",C58/12*2*F11,IF(F62="押三",C58/12*3*F11,C63*F11))),0)</f>
        <v>0</v>
      </c>
      <c r="D62" s="973" t="s">
        <v>2020</v>
      </c>
      <c r="E62" s="201" t="s">
        <v>686</v>
      </c>
      <c r="F62" s="3000"/>
      <c r="I62" s="1045" t="s">
        <v>821</v>
      </c>
      <c r="J62" s="4242">
        <f ca="1">IF(M56="住宅",IF(D1="——",MAX(J60,L57),MAX(J60,L57-'数据-取费表'!B24)),IF(D1="——",MIN(J60,L57),MIN(J60,L57-'数据-取费表'!B24)))</f>
        <v>26.22</v>
      </c>
      <c r="K62" s="4834" t="s">
        <v>822</v>
      </c>
      <c r="L62" s="4835"/>
      <c r="O62" s="4406" t="s">
        <v>403</v>
      </c>
      <c r="P62" s="4410" t="s">
        <v>3949</v>
      </c>
      <c r="Q62" s="4411">
        <f ca="1">ROUND((Q56+Q57)*(1+F31),0)</f>
        <v>7224773</v>
      </c>
      <c r="R62" s="4408" t="s">
        <v>3951</v>
      </c>
    </row>
    <row r="63" spans="1:37" s="991" customFormat="1" ht="13.5" thickBot="1">
      <c r="A63" s="807"/>
      <c r="B63" s="974" t="str">
        <f>IF(OR(F62="自定义",F62=" "),"（自定义押金）单位：元","")</f>
        <v/>
      </c>
      <c r="C63" s="3686"/>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6"/>
      <c r="R63" s="988"/>
    </row>
    <row r="64" spans="1:37" s="991" customFormat="1" ht="13.5" thickBot="1">
      <c r="A64" s="758" t="s">
        <v>431</v>
      </c>
      <c r="B64" s="976" t="s">
        <v>688</v>
      </c>
      <c r="C64" s="2981"/>
      <c r="D64" s="973"/>
      <c r="E64" s="4454"/>
      <c r="F64" s="1046"/>
      <c r="I64" s="1049" t="s">
        <v>825</v>
      </c>
      <c r="J64" s="1050">
        <f ca="1">ROUND(IF(J56="钢混",J66/J59,1-(1-2%)*(J59-J66)/J59),3)</f>
        <v>7.3999999999999996E-2</v>
      </c>
      <c r="K64" s="1051" t="s">
        <v>826</v>
      </c>
      <c r="L64" s="1052"/>
      <c r="O64" s="4403" t="s">
        <v>1325</v>
      </c>
      <c r="P64" s="4404" t="s">
        <v>3907</v>
      </c>
      <c r="Q64" s="4424" t="s">
        <v>3908</v>
      </c>
      <c r="R64" s="4405" t="s">
        <v>3909</v>
      </c>
    </row>
    <row r="65" spans="1:18" s="991" customFormat="1" ht="25.5" thickTop="1" thickBot="1">
      <c r="A65" s="203" t="s">
        <v>3938</v>
      </c>
      <c r="B65" s="668" t="s">
        <v>3920</v>
      </c>
      <c r="C65" s="4466">
        <f ca="1">ROUND(C66+C74+C76+C78,0)</f>
        <v>14867</v>
      </c>
      <c r="D65" s="668" t="s">
        <v>3939</v>
      </c>
      <c r="E65" s="4421"/>
      <c r="F65" s="672"/>
      <c r="I65" s="1055" t="s">
        <v>827</v>
      </c>
      <c r="J65" s="1056" t="s">
        <v>4012</v>
      </c>
      <c r="K65" s="1027" t="s">
        <v>828</v>
      </c>
      <c r="L65" s="4240" t="str">
        <f ca="1">IF(L57&lt;J60,"——",L57-J62)</f>
        <v>——</v>
      </c>
      <c r="O65" s="4406" t="s">
        <v>397</v>
      </c>
      <c r="P65" s="4410" t="s">
        <v>3947</v>
      </c>
      <c r="Q65" s="4411">
        <f ca="1">C28+J31</f>
        <v>6450847</v>
      </c>
      <c r="R65" s="4408" t="s">
        <v>3911</v>
      </c>
    </row>
    <row r="66" spans="1:18" s="991" customFormat="1" ht="24.75" thickBot="1">
      <c r="A66" s="546" t="s">
        <v>392</v>
      </c>
      <c r="B66" s="2932" t="s">
        <v>3973</v>
      </c>
      <c r="C66" s="2939">
        <f ca="1">ROUND(IF(AND(项目基本情况!B11="自然人",项目基本情况!B10="北京市",M56="住宅"),C58*F66,C67+C71+C72),0)</f>
        <v>7039</v>
      </c>
      <c r="D66" s="673" t="s">
        <v>3445</v>
      </c>
      <c r="E66" s="673" t="str">
        <f>E14</f>
        <v/>
      </c>
      <c r="F66" s="4190" t="str">
        <f>IF(M56="非住宅","",IF(F58*F59*F60/12/(1+'数据-取费表'!F30)&gt;100000,4%,2.5%))</f>
        <v/>
      </c>
      <c r="I66" s="1061" t="s">
        <v>829</v>
      </c>
      <c r="J66" s="4246">
        <f ca="1">IF(OR(M56="住宅",J60&lt;L57,J65="是"),"——",J60-L57)</f>
        <v>2.7800000000000011</v>
      </c>
      <c r="K66" s="1027" t="s">
        <v>830</v>
      </c>
      <c r="L66" s="4253" t="str">
        <f ca="1">IF(L57&lt;J60,"——",IF(L64="比较法",L58,IF(L64="基准地价",L59,L60)))</f>
        <v>——</v>
      </c>
      <c r="O66" s="4406" t="s">
        <v>398</v>
      </c>
      <c r="P66" s="4407" t="s">
        <v>3914</v>
      </c>
      <c r="Q66" s="4411">
        <f ca="1">L69</f>
        <v>0</v>
      </c>
      <c r="R66" s="4408" t="s">
        <v>3915</v>
      </c>
    </row>
    <row r="67" spans="1:18" s="991" customFormat="1" ht="24.75" thickBot="1">
      <c r="A67" s="2937" t="s">
        <v>391</v>
      </c>
      <c r="B67" s="2950" t="s">
        <v>3965</v>
      </c>
      <c r="C67" s="2939">
        <f ca="1">C70</f>
        <v>-65</v>
      </c>
      <c r="D67" s="2952" t="s">
        <v>3964</v>
      </c>
      <c r="E67" s="4463"/>
      <c r="F67" s="4501"/>
      <c r="I67" s="1061" t="s">
        <v>832</v>
      </c>
      <c r="J67" s="4247">
        <f ca="1">IF(J64&lt;0.4,0.4,J64)</f>
        <v>0.4</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2939">
        <f ca="1">ROUND(C58*F68,0)</f>
        <v>0</v>
      </c>
      <c r="D68" s="1053" t="s">
        <v>3867</v>
      </c>
      <c r="E68" s="2958" t="s">
        <v>3406</v>
      </c>
      <c r="F68" s="3002">
        <f>F16</f>
        <v>0.09</v>
      </c>
      <c r="I68" s="1061" t="s">
        <v>835</v>
      </c>
      <c r="J68" s="4248">
        <f ca="1">IF(OR(M56="住宅",J60&lt;L57,J65="是"),"——",ROUND(C51*J67,0))</f>
        <v>1181537</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2939">
        <f ca="1">ROUND(C74*F68+((C76+C78)*F69),0)</f>
        <v>647</v>
      </c>
      <c r="D69" s="4342" t="s">
        <v>3861</v>
      </c>
      <c r="E69" s="2959"/>
      <c r="F69" s="3002">
        <f>F17</f>
        <v>0.06</v>
      </c>
      <c r="I69" s="1064" t="s">
        <v>837</v>
      </c>
      <c r="J69" s="4249">
        <f ca="1">IF(OR(M56="住宅",J60&lt;L57,J65="是"),"0",ROUND(J68/(1+J61)^J62,0))</f>
        <v>177385</v>
      </c>
      <c r="K69" s="1066" t="s">
        <v>838</v>
      </c>
      <c r="L69" s="4249">
        <f ca="1">IF(OR(M56="住宅",L57&lt;J60),0,ROUND(L66*(L67/L68-1),0))</f>
        <v>0</v>
      </c>
      <c r="O69" s="1034" t="s">
        <v>401</v>
      </c>
      <c r="P69" s="1025" t="s">
        <v>839</v>
      </c>
      <c r="Q69" s="3697" t="e">
        <f ca="1">L67</f>
        <v>#DIV/0!</v>
      </c>
      <c r="R69" s="1026" t="s">
        <v>840</v>
      </c>
    </row>
    <row r="70" spans="1:18" s="991" customFormat="1" ht="13.5" thickBot="1">
      <c r="A70" s="2739" t="s">
        <v>3962</v>
      </c>
      <c r="B70" s="2954" t="s">
        <v>3961</v>
      </c>
      <c r="C70" s="2939">
        <f ca="1">ROUND((C68-C69)*F70,0)</f>
        <v>-65</v>
      </c>
      <c r="D70" s="2977" t="s">
        <v>3984</v>
      </c>
      <c r="E70" s="190" t="s">
        <v>3986</v>
      </c>
      <c r="F70" s="3002">
        <f>F18</f>
        <v>0.1</v>
      </c>
      <c r="I70" s="1067"/>
      <c r="J70" s="1067"/>
      <c r="K70" s="1067"/>
      <c r="L70" s="1067"/>
      <c r="O70" s="1034" t="s">
        <v>402</v>
      </c>
      <c r="P70" s="1025" t="str">
        <f>K68</f>
        <v>建筑物剩余耐用年限下的土地年期修正系数Kn</v>
      </c>
      <c r="Q70" s="3697" t="e">
        <f ca="1">L68</f>
        <v>#DIV/0!</v>
      </c>
      <c r="R70" s="1026" t="s">
        <v>841</v>
      </c>
    </row>
    <row r="71" spans="1:18" s="991" customFormat="1" ht="13.5" thickBot="1">
      <c r="A71" s="2937" t="s">
        <v>766</v>
      </c>
      <c r="B71" s="2932" t="s">
        <v>3971</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6" t="s">
        <v>403</v>
      </c>
      <c r="P71" s="4410" t="s">
        <v>3950</v>
      </c>
      <c r="Q71" s="4411">
        <f ca="1">ROUND((Q65+Q66)*(1+F31),0)</f>
        <v>7031423</v>
      </c>
      <c r="R71" s="4408" t="s">
        <v>3951</v>
      </c>
    </row>
    <row r="72" spans="1:18" s="991" customFormat="1" ht="13.5" thickBot="1">
      <c r="A72" s="4464" t="s">
        <v>769</v>
      </c>
      <c r="B72" s="4452" t="s">
        <v>3967</v>
      </c>
      <c r="C72" s="3269">
        <f ca="1">IF(项目基本情况!B11="自然人","——",ROUND(F72*F73,0))</f>
        <v>7104</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5"/>
      <c r="B73" s="666"/>
      <c r="C73" s="3270"/>
      <c r="D73" s="676"/>
      <c r="E73" s="660" t="s">
        <v>721</v>
      </c>
      <c r="F73" s="3272">
        <f t="shared" ca="1" si="0"/>
        <v>4735.72</v>
      </c>
      <c r="I73" s="3689" t="s">
        <v>850</v>
      </c>
      <c r="J73" s="3685">
        <v>50</v>
      </c>
      <c r="K73" s="3685">
        <v>35</v>
      </c>
      <c r="L73" s="3685">
        <v>60</v>
      </c>
      <c r="M73" s="1070">
        <v>0</v>
      </c>
      <c r="O73" s="4403" t="s">
        <v>1325</v>
      </c>
      <c r="P73" s="4404" t="s">
        <v>3907</v>
      </c>
      <c r="Q73" s="4424" t="s">
        <v>3908</v>
      </c>
      <c r="R73" s="4405" t="s">
        <v>3909</v>
      </c>
    </row>
    <row r="74" spans="1:18" s="991" customFormat="1" ht="13.5" thickBot="1">
      <c r="A74" s="4221" t="s">
        <v>774</v>
      </c>
      <c r="B74" s="659" t="s">
        <v>775</v>
      </c>
      <c r="C74" s="4232">
        <f ca="1">ROUND(F74*F75,0)</f>
        <v>5908</v>
      </c>
      <c r="D74" s="4215" t="s">
        <v>724</v>
      </c>
      <c r="E74" s="2932" t="s">
        <v>3807</v>
      </c>
      <c r="F74" s="4229">
        <f ca="1">C51</f>
        <v>2953842</v>
      </c>
      <c r="I74" s="3689" t="s">
        <v>851</v>
      </c>
      <c r="J74" s="3685">
        <v>40</v>
      </c>
      <c r="K74" s="3685">
        <v>30</v>
      </c>
      <c r="L74" s="3685">
        <v>50</v>
      </c>
      <c r="M74" s="1071">
        <v>0.02</v>
      </c>
      <c r="O74" s="4406" t="s">
        <v>397</v>
      </c>
      <c r="P74" s="4407" t="s">
        <v>3910</v>
      </c>
      <c r="Q74" s="4409">
        <f ca="1">C28+J31</f>
        <v>6450847</v>
      </c>
      <c r="R74" s="4408" t="s">
        <v>3911</v>
      </c>
    </row>
    <row r="75" spans="1:18" s="991" customFormat="1" ht="15" thickBot="1">
      <c r="A75" s="4223"/>
      <c r="B75" s="666"/>
      <c r="C75" s="4233"/>
      <c r="D75" s="4216"/>
      <c r="E75" s="660" t="s">
        <v>697</v>
      </c>
      <c r="F75" s="3004">
        <f ca="1">F22</f>
        <v>2E-3</v>
      </c>
      <c r="O75" s="4406" t="s">
        <v>398</v>
      </c>
      <c r="P75" s="4407" t="s">
        <v>3914</v>
      </c>
      <c r="Q75" s="4425">
        <f ca="1">L69</f>
        <v>0</v>
      </c>
      <c r="R75" s="4408" t="s">
        <v>3916</v>
      </c>
    </row>
    <row r="76" spans="1:18" s="991" customFormat="1" ht="13.5" thickBot="1">
      <c r="A76" s="4221" t="s">
        <v>777</v>
      </c>
      <c r="B76" s="659" t="s">
        <v>727</v>
      </c>
      <c r="C76" s="4232">
        <f ca="1">ROUND(F76*F77,0)</f>
        <v>1920</v>
      </c>
      <c r="D76" s="4215" t="s">
        <v>3442</v>
      </c>
      <c r="E76" s="2932" t="s">
        <v>3441</v>
      </c>
      <c r="F76" s="4230">
        <f ca="1">C53</f>
        <v>1919997</v>
      </c>
      <c r="O76" s="1024"/>
      <c r="P76" s="1025"/>
      <c r="Q76" s="3697"/>
      <c r="R76" s="1026"/>
    </row>
    <row r="77" spans="1:18" s="991" customFormat="1" ht="16.5" thickBot="1">
      <c r="A77" s="4223"/>
      <c r="B77" s="666"/>
      <c r="C77" s="4233"/>
      <c r="D77" s="4216"/>
      <c r="E77" s="660" t="s">
        <v>697</v>
      </c>
      <c r="F77" s="3004">
        <f ca="1">F24</f>
        <v>1E-3</v>
      </c>
      <c r="O77" s="1034" t="s">
        <v>399</v>
      </c>
      <c r="P77" s="1025" t="s">
        <v>834</v>
      </c>
      <c r="Q77" s="3698">
        <f ca="1">L60</f>
        <v>5037176</v>
      </c>
      <c r="R77" s="1026" t="s">
        <v>854</v>
      </c>
    </row>
    <row r="78" spans="1:18" s="4367" customFormat="1" ht="13.5" thickBot="1">
      <c r="A78" s="546" t="s">
        <v>778</v>
      </c>
      <c r="B78" s="660" t="s">
        <v>713</v>
      </c>
      <c r="C78" s="2939">
        <f ca="1">ROUND(C57*F78,0)</f>
        <v>0</v>
      </c>
      <c r="D78" s="674" t="s">
        <v>3865</v>
      </c>
      <c r="E78" s="660" t="s">
        <v>697</v>
      </c>
      <c r="F78" s="3004">
        <f ca="1">F26</f>
        <v>5.0000000000000001E-3</v>
      </c>
      <c r="G78" s="991"/>
      <c r="H78" s="991"/>
      <c r="O78" s="1034"/>
      <c r="P78" s="1025"/>
      <c r="Q78" s="3698"/>
      <c r="R78" s="1026"/>
    </row>
    <row r="79" spans="1:18" s="4367" customFormat="1" ht="16.5" thickBot="1">
      <c r="A79" s="667" t="s">
        <v>3940</v>
      </c>
      <c r="B79" s="677" t="s">
        <v>3888</v>
      </c>
      <c r="C79" s="4466">
        <f ca="1">C57-C65</f>
        <v>-14867</v>
      </c>
      <c r="D79" s="677" t="s">
        <v>3889</v>
      </c>
      <c r="E79" s="4395"/>
      <c r="F79" s="4396"/>
      <c r="O79" s="1034" t="s">
        <v>400</v>
      </c>
      <c r="P79" s="1073" t="s">
        <v>3941</v>
      </c>
      <c r="Q79" s="3698">
        <f ca="1">ROUND(Q80-Q81*Q82,0)</f>
        <v>332683</v>
      </c>
      <c r="R79" s="1026" t="s">
        <v>408</v>
      </c>
    </row>
    <row r="80" spans="1:18" s="4367" customFormat="1" ht="13.5" thickBot="1">
      <c r="A80" s="3453" t="s">
        <v>388</v>
      </c>
      <c r="B80" s="658" t="s">
        <v>3890</v>
      </c>
      <c r="C80" s="4271">
        <f ca="1">ROUND(C79*(1-((1+F82)/(1+F80))^F81)/(F80-F82),0)</f>
        <v>-203907</v>
      </c>
      <c r="D80" s="4397" t="s">
        <v>3891</v>
      </c>
      <c r="E80" s="668" t="s">
        <v>3892</v>
      </c>
      <c r="F80" s="3004">
        <f ca="1">F28</f>
        <v>5.5E-2</v>
      </c>
      <c r="O80" s="1034" t="s">
        <v>405</v>
      </c>
      <c r="P80" s="1073" t="s">
        <v>3942</v>
      </c>
      <c r="Q80" s="3698">
        <f ca="1">C27</f>
        <v>405052</v>
      </c>
      <c r="R80" s="1026" t="s">
        <v>803</v>
      </c>
    </row>
    <row r="81" spans="1:18" s="4367" customFormat="1" ht="13.5" thickBot="1">
      <c r="A81" s="3454"/>
      <c r="B81" s="662"/>
      <c r="C81" s="4467"/>
      <c r="D81" s="4398" t="s">
        <v>3896</v>
      </c>
      <c r="E81" s="668" t="s">
        <v>3895</v>
      </c>
      <c r="F81" s="3005">
        <f ca="1">F29</f>
        <v>26.22</v>
      </c>
      <c r="O81" s="1034" t="s">
        <v>406</v>
      </c>
      <c r="P81" s="1073" t="s">
        <v>3943</v>
      </c>
      <c r="Q81" s="3698">
        <f ca="1">C52</f>
        <v>1033845</v>
      </c>
      <c r="R81" s="1026" t="s">
        <v>803</v>
      </c>
    </row>
    <row r="82" spans="1:18" s="4367" customFormat="1" ht="13.5" thickBot="1">
      <c r="A82" s="4422"/>
      <c r="B82" s="4423"/>
      <c r="C82" s="4423"/>
      <c r="D82" s="4399"/>
      <c r="E82" s="668" t="s">
        <v>3897</v>
      </c>
      <c r="F82" s="2999"/>
      <c r="O82" s="1034" t="s">
        <v>407</v>
      </c>
      <c r="P82" s="1073" t="s">
        <v>3944</v>
      </c>
      <c r="Q82" s="3695">
        <f ca="1">C88</f>
        <v>7.0000000000000007E-2</v>
      </c>
      <c r="R82" s="1026"/>
    </row>
    <row r="83" spans="1:18" s="4367" customFormat="1" ht="13.5" thickBot="1">
      <c r="A83" s="664"/>
      <c r="B83" s="2979" t="s">
        <v>3946</v>
      </c>
      <c r="C83" s="4206">
        <f ca="1">ROUND(C80*(1+F31),0)</f>
        <v>-222259</v>
      </c>
      <c r="D83" s="4608" t="str">
        <f>D31</f>
        <v>其他类型公式—收益价值×（1+9%）</v>
      </c>
      <c r="E83" s="1077"/>
      <c r="F83" s="4401"/>
      <c r="O83" s="1034" t="s">
        <v>401</v>
      </c>
      <c r="P83" s="1025" t="s">
        <v>3945</v>
      </c>
      <c r="Q83" s="3695">
        <f>L61</f>
        <v>0</v>
      </c>
      <c r="R83" s="1026"/>
    </row>
    <row r="84" spans="1:18" ht="16.5" thickBot="1">
      <c r="A84" s="681" t="s">
        <v>389</v>
      </c>
      <c r="B84" s="682" t="s">
        <v>761</v>
      </c>
      <c r="C84" s="2991">
        <f ca="1">ROUND(C83/F84,0)</f>
        <v>-211</v>
      </c>
      <c r="D84" s="4402" t="s">
        <v>3900</v>
      </c>
      <c r="E84" s="682" t="s">
        <v>3901</v>
      </c>
      <c r="F84" s="3006">
        <f ca="1">F32</f>
        <v>1052.8</v>
      </c>
      <c r="G84" s="4367"/>
      <c r="H84" s="4367"/>
      <c r="O84" s="1034" t="s">
        <v>402</v>
      </c>
      <c r="P84" s="1025" t="s">
        <v>839</v>
      </c>
      <c r="Q84" s="3697" t="e">
        <f ca="1">L67</f>
        <v>#DIV/0!</v>
      </c>
      <c r="R84" s="1026" t="s">
        <v>840</v>
      </c>
    </row>
    <row r="85" spans="1:18" ht="13.5" thickBot="1">
      <c r="A85" s="991"/>
      <c r="B85" s="519"/>
      <c r="C85" s="519"/>
      <c r="D85" s="991"/>
      <c r="E85" s="991"/>
      <c r="F85" s="991"/>
      <c r="O85" s="1034" t="s">
        <v>409</v>
      </c>
      <c r="P85" s="1025" t="str">
        <f>K68</f>
        <v>建筑物剩余耐用年限下的土地年期修正系数Kn</v>
      </c>
      <c r="Q85" s="3697" t="e">
        <f ca="1">L68</f>
        <v>#DIV/0!</v>
      </c>
      <c r="R85" s="1026" t="s">
        <v>841</v>
      </c>
    </row>
    <row r="86" spans="1:18" ht="13.5" thickBot="1">
      <c r="A86" s="991"/>
      <c r="B86" s="172" t="s">
        <v>859</v>
      </c>
      <c r="C86" s="1075"/>
      <c r="D86" s="991"/>
      <c r="E86" s="991"/>
      <c r="F86" s="991"/>
      <c r="K86" s="1008"/>
      <c r="L86" s="991"/>
      <c r="O86" s="4406" t="s">
        <v>403</v>
      </c>
      <c r="P86" s="4410" t="s">
        <v>3950</v>
      </c>
      <c r="Q86" s="4409">
        <f ca="1">ROUND((Q74+Q75)*(1+F31),0)</f>
        <v>7031423</v>
      </c>
      <c r="R86" s="4408" t="s">
        <v>3951</v>
      </c>
    </row>
    <row r="87" spans="1:18">
      <c r="A87" s="991"/>
      <c r="B87" s="227" t="s">
        <v>780</v>
      </c>
      <c r="C87" s="3073">
        <f ca="1">ROUND(C53*C88,0)</f>
        <v>134400</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0.66799999999999993</v>
      </c>
    </row>
    <row r="92" spans="1:18">
      <c r="B92" s="227" t="s">
        <v>785</v>
      </c>
      <c r="C92" s="3074">
        <f ca="1">ROUND(C87/C27,3)</f>
        <v>0.33200000000000002</v>
      </c>
    </row>
    <row r="93" spans="1:18">
      <c r="B93" s="169" t="s">
        <v>786</v>
      </c>
      <c r="C93" s="137"/>
    </row>
    <row r="94" spans="1:18">
      <c r="B94" s="172" t="s">
        <v>787</v>
      </c>
      <c r="C94" s="3075">
        <f ca="1">1-C95</f>
        <v>0.71</v>
      </c>
    </row>
    <row r="95" spans="1:18">
      <c r="B95" s="172" t="s">
        <v>788</v>
      </c>
      <c r="C95" s="3074">
        <f ca="1">ROUND(C53/(C28+J31+L55),3)</f>
        <v>0.28999999999999998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48" t="s">
        <v>679</v>
      </c>
      <c r="C6" s="750">
        <f ca="1">ROUND(F6*F8*F7*(1-F9),0)</f>
        <v>0</v>
      </c>
      <c r="D6" s="60" t="s">
        <v>2013</v>
      </c>
      <c r="E6" s="190" t="s">
        <v>681</v>
      </c>
      <c r="F6" s="191">
        <f ca="1">INDIRECT("'数据-取费表'!u"&amp;$G$1)</f>
        <v>0</v>
      </c>
      <c r="G6" s="991"/>
      <c r="H6" s="745" t="s">
        <v>392</v>
      </c>
      <c r="I6" s="4848" t="s">
        <v>679</v>
      </c>
      <c r="J6" s="189">
        <f ca="1">ROUND(M6*M8*M7*(1-M9),0)</f>
        <v>0</v>
      </c>
      <c r="K6" s="983" t="s">
        <v>2014</v>
      </c>
      <c r="L6" s="190" t="s">
        <v>681</v>
      </c>
      <c r="M6" s="191">
        <f ca="1">INDIRECT("'数据-取费表'!z"&amp;$G$1)</f>
        <v>0</v>
      </c>
    </row>
    <row r="7" spans="1:37" ht="18" customHeight="1">
      <c r="A7" s="749"/>
      <c r="B7" s="4849"/>
      <c r="C7" s="751"/>
      <c r="D7" s="195"/>
      <c r="E7" s="752" t="s">
        <v>682</v>
      </c>
      <c r="F7" s="191">
        <f ca="1">IF(INDIRECT("'数据-取费表'!ah"&amp;$G$1)="",INDIRECT("'数据-取费表'!k"&amp;$G$1),INDIRECT("'数据-取费表'!ah"&amp;$G$1))</f>
        <v>0</v>
      </c>
      <c r="G7" s="991"/>
      <c r="H7" s="192"/>
      <c r="I7" s="4849"/>
      <c r="J7" s="194"/>
      <c r="K7" s="195"/>
      <c r="L7" s="190" t="s">
        <v>682</v>
      </c>
      <c r="M7" s="191">
        <f ca="1">F7</f>
        <v>0</v>
      </c>
    </row>
    <row r="8" spans="1:37" ht="18" customHeight="1">
      <c r="A8" s="192"/>
      <c r="B8" s="4849"/>
      <c r="C8" s="194"/>
      <c r="D8" s="195"/>
      <c r="E8" s="190" t="s">
        <v>683</v>
      </c>
      <c r="F8" s="191">
        <f ca="1">INDIRECT("'数据-取费表'!ai"&amp;$G$1)</f>
        <v>0</v>
      </c>
      <c r="G8" s="991"/>
      <c r="H8" s="192"/>
      <c r="I8" s="4849"/>
      <c r="J8" s="194"/>
      <c r="K8" s="195"/>
      <c r="L8" s="190" t="s">
        <v>683</v>
      </c>
      <c r="M8" s="191">
        <f ca="1">INDIRECT("'数据-取费表'!ai"&amp;$G$1)</f>
        <v>0</v>
      </c>
    </row>
    <row r="9" spans="1:37" ht="18" customHeight="1">
      <c r="A9" s="192"/>
      <c r="B9" s="4850"/>
      <c r="C9" s="194"/>
      <c r="D9" s="195"/>
      <c r="E9" s="190" t="s">
        <v>684</v>
      </c>
      <c r="F9" s="200">
        <f ca="1">INDIRECT("'数据-取费表'!w"&amp;$G$1)</f>
        <v>0</v>
      </c>
      <c r="G9" s="991"/>
      <c r="H9" s="192"/>
      <c r="I9" s="4850"/>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200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1.4999999999999999E-2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34" t="s">
        <v>822</v>
      </c>
      <c r="L53" s="4835"/>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15" customHeight="1">
      <c r="A2" s="992" t="s">
        <v>2209</v>
      </c>
      <c r="B2" s="3706" t="e">
        <f>IF(D2="——",C40,C40+E2)</f>
        <v>#DIV/0!</v>
      </c>
      <c r="C2" s="2251" t="s">
        <v>2210</v>
      </c>
      <c r="D2" s="2710" t="s">
        <v>3244</v>
      </c>
      <c r="E2" s="2711"/>
      <c r="F2" s="2253"/>
      <c r="G2" s="2254"/>
      <c r="H2" s="2255"/>
      <c r="I2" s="2256"/>
      <c r="J2" s="4851" t="s">
        <v>2211</v>
      </c>
      <c r="K2" s="4852"/>
      <c r="L2" s="2257" t="s">
        <v>2212</v>
      </c>
      <c r="M2" s="2257" t="s">
        <v>2213</v>
      </c>
      <c r="N2" s="2257" t="s">
        <v>2214</v>
      </c>
      <c r="O2" s="2257" t="s">
        <v>2215</v>
      </c>
      <c r="P2" s="2257" t="s">
        <v>2216</v>
      </c>
      <c r="Q2" s="2258" t="s">
        <v>2217</v>
      </c>
      <c r="R2" s="2259" t="s">
        <v>2218</v>
      </c>
      <c r="S2" s="2249"/>
      <c r="T2" s="2249"/>
      <c r="U2" s="2249"/>
      <c r="V2" s="2256"/>
    </row>
    <row r="3" spans="1:22" s="2260" customFormat="1" ht="13.15" customHeight="1">
      <c r="A3" s="2261" t="s">
        <v>2219</v>
      </c>
      <c r="B3" s="3707" t="e">
        <f>ROUND(B2*10000/B4,0)</f>
        <v>#DIV/0!</v>
      </c>
      <c r="C3" s="2251" t="s">
        <v>2220</v>
      </c>
      <c r="D3" s="2251"/>
      <c r="E3" s="2252"/>
      <c r="F3" s="2253"/>
      <c r="G3" s="2254"/>
      <c r="H3" s="2255"/>
      <c r="I3" s="2256"/>
      <c r="J3" s="4853" t="s">
        <v>2221</v>
      </c>
      <c r="K3" s="4854"/>
      <c r="L3" s="2262"/>
      <c r="M3" s="2262"/>
      <c r="N3" s="2262"/>
      <c r="O3" s="2262"/>
      <c r="P3" s="2262"/>
      <c r="Q3" s="2263"/>
      <c r="R3" s="2264">
        <f>SUM(L3:Q3)</f>
        <v>0</v>
      </c>
      <c r="S3" s="2249"/>
      <c r="T3" s="2249"/>
      <c r="U3" s="2249"/>
      <c r="V3" s="2256"/>
    </row>
    <row r="4" spans="1:22" s="2260" customFormat="1" ht="13.15" customHeight="1">
      <c r="A4" s="2265" t="s">
        <v>2222</v>
      </c>
      <c r="B4" s="2298"/>
      <c r="C4" s="2251"/>
      <c r="D4" s="2251"/>
      <c r="E4" s="2252"/>
      <c r="F4" s="2253"/>
      <c r="G4" s="2254"/>
      <c r="H4" s="2255"/>
      <c r="I4" s="2256"/>
      <c r="J4" s="4853" t="s">
        <v>2223</v>
      </c>
      <c r="K4" s="4854"/>
      <c r="L4" s="2267"/>
      <c r="M4" s="2267"/>
      <c r="N4" s="2267"/>
      <c r="O4" s="2267"/>
      <c r="P4" s="2267"/>
      <c r="Q4" s="2268"/>
      <c r="R4" s="2269">
        <f>SUM(L4:Q4)</f>
        <v>0</v>
      </c>
      <c r="S4" s="2249"/>
      <c r="T4" s="2249"/>
      <c r="U4" s="2249"/>
      <c r="V4" s="2256"/>
    </row>
    <row r="5" spans="1:22" s="2260" customFormat="1" ht="13.15"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15" customHeight="1" thickBot="1">
      <c r="A6" s="4855" t="s">
        <v>3791</v>
      </c>
      <c r="B6" s="4856"/>
      <c r="C6" s="4857"/>
      <c r="D6" s="3709"/>
      <c r="E6" s="3859"/>
      <c r="F6" s="2276"/>
      <c r="G6" s="2277"/>
      <c r="H6" s="2255"/>
      <c r="I6" s="2256"/>
      <c r="J6" s="4858">
        <v>1</v>
      </c>
      <c r="K6" s="4859"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15" customHeight="1">
      <c r="A7" s="2280" t="s">
        <v>2236</v>
      </c>
      <c r="B7" s="2281"/>
      <c r="C7" s="2282"/>
      <c r="D7" s="3710">
        <f>SUM(D9,D10,D11,D17,0)</f>
        <v>0</v>
      </c>
      <c r="E7" s="2283" t="e">
        <f>E9+E10+E11+E17</f>
        <v>#DIV/0!</v>
      </c>
      <c r="F7" s="2284"/>
      <c r="G7" s="2285"/>
      <c r="H7" s="2255"/>
      <c r="I7" s="2256"/>
      <c r="J7" s="4858"/>
      <c r="K7" s="4860"/>
      <c r="L7" s="2286" t="s">
        <v>2237</v>
      </c>
      <c r="M7" s="3982"/>
      <c r="N7" s="3981"/>
      <c r="O7" s="4615"/>
      <c r="P7" s="4615"/>
      <c r="Q7" s="3981">
        <v>365</v>
      </c>
      <c r="R7" s="3980">
        <f>ROUND(M7*N7*O7*P7*Q7/10000,0)</f>
        <v>0</v>
      </c>
      <c r="S7" s="2249"/>
      <c r="T7" s="2249" t="s">
        <v>2238</v>
      </c>
      <c r="U7" s="2249"/>
      <c r="V7" s="2256"/>
    </row>
    <row r="8" spans="1:22" s="2260" customFormat="1" ht="13.15" customHeight="1">
      <c r="A8" s="2290" t="s">
        <v>2239</v>
      </c>
      <c r="B8" s="4862" t="s">
        <v>2240</v>
      </c>
      <c r="C8" s="4863"/>
      <c r="D8" s="4434" t="s">
        <v>3953</v>
      </c>
      <c r="E8" s="2291" t="s">
        <v>2241</v>
      </c>
      <c r="F8" s="2292" t="s">
        <v>2242</v>
      </c>
      <c r="G8" s="2293"/>
      <c r="H8" s="2255"/>
      <c r="I8" s="2256"/>
      <c r="J8" s="4858"/>
      <c r="K8" s="4860"/>
      <c r="L8" s="2286" t="s">
        <v>2243</v>
      </c>
      <c r="M8" s="3982"/>
      <c r="N8" s="3981"/>
      <c r="O8" s="4615"/>
      <c r="P8" s="4615"/>
      <c r="Q8" s="3981">
        <v>365</v>
      </c>
      <c r="R8" s="3980">
        <f t="shared" ref="R8:R13" si="0">ROUND(M8*N8*O8*P8*Q8/10000,0)</f>
        <v>0</v>
      </c>
      <c r="S8" s="2249"/>
      <c r="T8" s="2249" t="s">
        <v>2244</v>
      </c>
      <c r="U8" s="2249"/>
      <c r="V8" s="2256"/>
    </row>
    <row r="9" spans="1:22" s="2260" customFormat="1" ht="13.15" customHeight="1">
      <c r="A9" s="2290">
        <v>1</v>
      </c>
      <c r="B9" s="4862" t="s">
        <v>2245</v>
      </c>
      <c r="C9" s="4863"/>
      <c r="D9" s="3711">
        <f>ROUND(D6*E9,0)</f>
        <v>0</v>
      </c>
      <c r="E9" s="3712"/>
      <c r="F9" s="2294" t="s">
        <v>2246</v>
      </c>
      <c r="G9" s="2277"/>
      <c r="H9" s="2255"/>
      <c r="I9" s="2256"/>
      <c r="J9" s="4858"/>
      <c r="K9" s="4860"/>
      <c r="L9" s="2286" t="s">
        <v>2247</v>
      </c>
      <c r="M9" s="3982"/>
      <c r="N9" s="3981"/>
      <c r="O9" s="4615"/>
      <c r="P9" s="4615"/>
      <c r="Q9" s="3981">
        <v>365</v>
      </c>
      <c r="R9" s="3980">
        <f t="shared" si="0"/>
        <v>0</v>
      </c>
      <c r="S9" s="2249"/>
      <c r="T9" s="2249"/>
      <c r="U9" s="2249"/>
      <c r="V9" s="2256"/>
    </row>
    <row r="10" spans="1:22" s="2260" customFormat="1" ht="13.15" customHeight="1">
      <c r="A10" s="2290">
        <v>2</v>
      </c>
      <c r="B10" s="4862" t="s">
        <v>2248</v>
      </c>
      <c r="C10" s="4863"/>
      <c r="D10" s="3711">
        <f>ROUND(D6*E10,0)</f>
        <v>0</v>
      </c>
      <c r="E10" s="3712"/>
      <c r="F10" s="3854" t="s">
        <v>3716</v>
      </c>
      <c r="G10" s="2277"/>
      <c r="H10" s="2255"/>
      <c r="I10" s="2256"/>
      <c r="J10" s="4858"/>
      <c r="K10" s="4860"/>
      <c r="L10" s="2286" t="s">
        <v>2249</v>
      </c>
      <c r="M10" s="3982"/>
      <c r="N10" s="3981"/>
      <c r="O10" s="4615"/>
      <c r="P10" s="4615"/>
      <c r="Q10" s="3981">
        <v>365</v>
      </c>
      <c r="R10" s="3980">
        <f t="shared" si="0"/>
        <v>0</v>
      </c>
      <c r="S10" s="2249"/>
      <c r="T10" s="2249"/>
      <c r="U10" s="2249"/>
      <c r="V10" s="2256"/>
    </row>
    <row r="11" spans="1:22" s="2260" customFormat="1" ht="13.15" customHeight="1">
      <c r="A11" s="2290">
        <v>3</v>
      </c>
      <c r="B11" s="4862" t="s">
        <v>2250</v>
      </c>
      <c r="C11" s="4863"/>
      <c r="D11" s="3711">
        <f>D12+D14+D15+D16</f>
        <v>0</v>
      </c>
      <c r="E11" s="3713" t="e">
        <f>D11/D6</f>
        <v>#DIV/0!</v>
      </c>
      <c r="F11" s="2292"/>
      <c r="G11" s="2293"/>
      <c r="H11" s="2255"/>
      <c r="I11" s="2256"/>
      <c r="J11" s="4858"/>
      <c r="K11" s="4860"/>
      <c r="L11" s="2286" t="s">
        <v>2251</v>
      </c>
      <c r="M11" s="3982"/>
      <c r="N11" s="3981"/>
      <c r="O11" s="4615"/>
      <c r="P11" s="4615"/>
      <c r="Q11" s="3981">
        <v>365</v>
      </c>
      <c r="R11" s="3980">
        <f t="shared" si="0"/>
        <v>0</v>
      </c>
      <c r="S11" s="2249"/>
      <c r="T11" s="2249"/>
      <c r="U11" s="2249"/>
      <c r="V11" s="2256"/>
    </row>
    <row r="12" spans="1:22" s="2260" customFormat="1" ht="13.15" customHeight="1">
      <c r="A12" s="2295" t="s">
        <v>2252</v>
      </c>
      <c r="B12" s="4864" t="s">
        <v>2253</v>
      </c>
      <c r="C12" s="4865"/>
      <c r="D12" s="3714">
        <f>ROUND(D13*1.2%*(1-30%),0)</f>
        <v>0</v>
      </c>
      <c r="E12" s="3715">
        <v>1.2E-2</v>
      </c>
      <c r="F12" s="2292" t="s">
        <v>2254</v>
      </c>
      <c r="G12" s="2293"/>
      <c r="H12" s="2255"/>
      <c r="I12" s="2256"/>
      <c r="J12" s="4858"/>
      <c r="K12" s="4860"/>
      <c r="L12" s="2286" t="s">
        <v>2255</v>
      </c>
      <c r="M12" s="3982"/>
      <c r="N12" s="3981"/>
      <c r="O12" s="4615"/>
      <c r="P12" s="4615"/>
      <c r="Q12" s="3981">
        <v>365</v>
      </c>
      <c r="R12" s="3980">
        <f t="shared" si="0"/>
        <v>0</v>
      </c>
      <c r="S12" s="2249"/>
      <c r="T12" s="2249"/>
      <c r="U12" s="2249"/>
      <c r="V12" s="2256"/>
    </row>
    <row r="13" spans="1:22" s="2260" customFormat="1" ht="13.15" customHeight="1">
      <c r="A13" s="2295"/>
      <c r="B13" s="2296"/>
      <c r="C13" s="2297" t="s">
        <v>2256</v>
      </c>
      <c r="D13" s="3716"/>
      <c r="E13" s="2299"/>
      <c r="F13" s="2292"/>
      <c r="G13" s="2293"/>
      <c r="H13" s="2255"/>
      <c r="I13" s="2256"/>
      <c r="J13" s="4858"/>
      <c r="K13" s="4860"/>
      <c r="L13" s="2286" t="s">
        <v>2257</v>
      </c>
      <c r="M13" s="3982"/>
      <c r="N13" s="3981"/>
      <c r="O13" s="4615"/>
      <c r="P13" s="4615"/>
      <c r="Q13" s="3981">
        <v>365</v>
      </c>
      <c r="R13" s="3980">
        <f t="shared" si="0"/>
        <v>0</v>
      </c>
      <c r="S13" s="2249"/>
      <c r="T13" s="2249"/>
      <c r="U13" s="2249"/>
      <c r="V13" s="2256"/>
    </row>
    <row r="14" spans="1:22" s="2260" customFormat="1" ht="13.15" customHeight="1">
      <c r="A14" s="2295" t="s">
        <v>2258</v>
      </c>
      <c r="B14" s="4864" t="s">
        <v>2259</v>
      </c>
      <c r="C14" s="4865"/>
      <c r="D14" s="3714">
        <f>ROUND(E14*B5/10000,0)</f>
        <v>0</v>
      </c>
      <c r="E14" s="3717"/>
      <c r="F14" s="2292" t="s">
        <v>2260</v>
      </c>
      <c r="G14" s="2293"/>
      <c r="H14" s="2255"/>
      <c r="I14" s="2256"/>
      <c r="J14" s="4858"/>
      <c r="K14" s="4861"/>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2262</v>
      </c>
      <c r="B15" s="4866" t="s">
        <v>3788</v>
      </c>
      <c r="C15" s="4865"/>
      <c r="D15" s="3714">
        <f>IF(F15="酒店",E48*(1+E15),IF(F15="购物中心",E67*(1+E15),IF(F15="按比例计算-酒店",E46,E65)))</f>
        <v>0</v>
      </c>
      <c r="E15" s="3715">
        <f>'数据-取费表'!B44</f>
        <v>0.1</v>
      </c>
      <c r="F15" s="3857" t="s">
        <v>3847</v>
      </c>
      <c r="G15" s="3858"/>
      <c r="H15" s="2255"/>
      <c r="I15" s="2256"/>
      <c r="J15" s="4858">
        <v>2</v>
      </c>
      <c r="K15" s="4859"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15" customHeight="1">
      <c r="A16" s="2295" t="s">
        <v>2269</v>
      </c>
      <c r="B16" s="4864" t="s">
        <v>2270</v>
      </c>
      <c r="C16" s="4865"/>
      <c r="D16" s="3718">
        <f>D6*E16</f>
        <v>0</v>
      </c>
      <c r="E16" s="3719"/>
      <c r="F16" s="2294" t="s">
        <v>2271</v>
      </c>
      <c r="G16" s="2277"/>
      <c r="H16" s="2255"/>
      <c r="I16" s="2256"/>
      <c r="J16" s="4858"/>
      <c r="K16" s="4860"/>
      <c r="L16" s="2286" t="s">
        <v>2272</v>
      </c>
      <c r="M16" s="3982"/>
      <c r="N16" s="3982"/>
      <c r="O16" s="4617"/>
      <c r="P16" s="3981">
        <v>365</v>
      </c>
      <c r="Q16" s="3981"/>
      <c r="R16" s="3980">
        <f>ROUND(M16*N16*O16*P16/10000,0)</f>
        <v>0</v>
      </c>
      <c r="S16" s="2249"/>
      <c r="T16" s="2249"/>
      <c r="U16" s="2249"/>
      <c r="V16" s="2256"/>
    </row>
    <row r="17" spans="1:22" s="2260" customFormat="1" ht="13.15" customHeight="1" thickBot="1">
      <c r="A17" s="2305">
        <v>4</v>
      </c>
      <c r="B17" s="4867" t="s">
        <v>2273</v>
      </c>
      <c r="C17" s="4868"/>
      <c r="D17" s="3720">
        <f>ROUND(D6*E17,0)</f>
        <v>0</v>
      </c>
      <c r="E17" s="3721"/>
      <c r="F17" s="3855" t="s">
        <v>3717</v>
      </c>
      <c r="G17" s="2277"/>
      <c r="H17" s="2255"/>
      <c r="I17" s="2256"/>
      <c r="J17" s="4858"/>
      <c r="K17" s="4860"/>
      <c r="L17" s="2286" t="s">
        <v>2274</v>
      </c>
      <c r="M17" s="3982"/>
      <c r="N17" s="3982"/>
      <c r="O17" s="4617"/>
      <c r="P17" s="3981">
        <v>365</v>
      </c>
      <c r="Q17" s="3981"/>
      <c r="R17" s="3980">
        <f>ROUND(M17*N17*O17*P17/10000,0)</f>
        <v>0</v>
      </c>
      <c r="S17" s="2249"/>
      <c r="T17" s="2249"/>
      <c r="U17" s="2249"/>
      <c r="V17" s="2256"/>
    </row>
    <row r="18" spans="1:22" s="2260" customFormat="1" ht="13.15" customHeight="1" thickBot="1">
      <c r="A18" s="2280" t="s">
        <v>2275</v>
      </c>
      <c r="B18" s="2281"/>
      <c r="C18" s="2281"/>
      <c r="D18" s="3722">
        <f>ROUND(D6*E18,0)</f>
        <v>0</v>
      </c>
      <c r="E18" s="3723"/>
      <c r="F18" s="2306" t="s">
        <v>2276</v>
      </c>
      <c r="G18" s="2277"/>
      <c r="H18" s="2255"/>
      <c r="I18" s="2256"/>
      <c r="J18" s="4858"/>
      <c r="K18" s="4860"/>
      <c r="L18" s="2286" t="s">
        <v>2277</v>
      </c>
      <c r="M18" s="3982"/>
      <c r="N18" s="3982"/>
      <c r="O18" s="4617"/>
      <c r="P18" s="3981">
        <v>365</v>
      </c>
      <c r="Q18" s="3981"/>
      <c r="R18" s="3980">
        <f>ROUND(M18*N18*O18*P18/10000,0)</f>
        <v>0</v>
      </c>
      <c r="S18" s="2249"/>
      <c r="T18" s="2249"/>
      <c r="U18" s="2249"/>
      <c r="V18" s="2256"/>
    </row>
    <row r="19" spans="1:22" s="2260" customFormat="1" ht="13.15" customHeight="1" thickBot="1">
      <c r="A19" s="2307" t="s">
        <v>2278</v>
      </c>
      <c r="B19" s="2275"/>
      <c r="C19" s="2275"/>
      <c r="D19" s="2275"/>
      <c r="E19" s="2275"/>
      <c r="F19" s="2276"/>
      <c r="G19" s="2293"/>
      <c r="H19" s="2255"/>
      <c r="I19" s="2256"/>
      <c r="J19" s="4858"/>
      <c r="K19" s="4861"/>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58">
        <v>3</v>
      </c>
      <c r="K20" s="4859"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15" customHeight="1">
      <c r="A21" s="2280"/>
      <c r="B21" s="2281"/>
      <c r="C21" s="2312" t="s">
        <v>2287</v>
      </c>
      <c r="D21" s="2313" t="s">
        <v>2288</v>
      </c>
      <c r="E21" s="2314" t="s">
        <v>2289</v>
      </c>
      <c r="F21" s="2309"/>
      <c r="G21" s="2293"/>
      <c r="H21" s="2255"/>
      <c r="I21" s="2256"/>
      <c r="J21" s="4858"/>
      <c r="K21" s="4860"/>
      <c r="L21" s="2286" t="s">
        <v>2290</v>
      </c>
      <c r="M21" s="3982"/>
      <c r="N21" s="3982"/>
      <c r="O21" s="4616"/>
      <c r="P21" s="3981">
        <v>365</v>
      </c>
      <c r="Q21" s="3981"/>
      <c r="R21" s="3983">
        <f>ROUND(M21*N21*O21*P21/10000,0)</f>
        <v>0</v>
      </c>
      <c r="S21" s="2311"/>
      <c r="T21" s="2311"/>
      <c r="U21" s="2311"/>
      <c r="V21" s="2256"/>
    </row>
    <row r="22" spans="1:22" s="2260" customFormat="1" ht="13.15" customHeight="1">
      <c r="A22" s="2280"/>
      <c r="B22" s="2281"/>
      <c r="C22" s="2315" t="s">
        <v>2291</v>
      </c>
      <c r="D22" s="2316" t="s">
        <v>2292</v>
      </c>
      <c r="E22" s="2317" t="s">
        <v>2293</v>
      </c>
      <c r="F22" s="2309"/>
      <c r="G22" s="2318"/>
      <c r="H22" s="2255"/>
      <c r="I22" s="2256"/>
      <c r="J22" s="4858"/>
      <c r="K22" s="4860"/>
      <c r="L22" s="2286" t="s">
        <v>2294</v>
      </c>
      <c r="M22" s="3982"/>
      <c r="N22" s="3982"/>
      <c r="O22" s="4616"/>
      <c r="P22" s="3981">
        <v>365</v>
      </c>
      <c r="Q22" s="3981"/>
      <c r="R22" s="3983">
        <f>ROUND(M22*N22*O22*P22/10000,0)</f>
        <v>0</v>
      </c>
      <c r="S22" s="2311"/>
      <c r="T22" s="2311"/>
      <c r="U22" s="2311"/>
      <c r="V22" s="2256"/>
    </row>
    <row r="23" spans="1:22" s="2260" customFormat="1" ht="13.15" customHeight="1">
      <c r="A23" s="2319">
        <v>1</v>
      </c>
      <c r="B23" s="2320" t="s">
        <v>2295</v>
      </c>
      <c r="C23" s="2325">
        <f>D6</f>
        <v>0</v>
      </c>
      <c r="D23" s="3738">
        <f>C23*(1+D24)</f>
        <v>0</v>
      </c>
      <c r="E23" s="3739">
        <f>D23*(1+E24)</f>
        <v>0</v>
      </c>
      <c r="F23" s="2321"/>
      <c r="G23" s="2322"/>
      <c r="H23" s="2255"/>
      <c r="I23" s="2256"/>
      <c r="J23" s="4858"/>
      <c r="K23" s="4860"/>
      <c r="L23" s="2286" t="s">
        <v>2296</v>
      </c>
      <c r="M23" s="3982"/>
      <c r="N23" s="3982"/>
      <c r="O23" s="4616"/>
      <c r="P23" s="3981">
        <v>365</v>
      </c>
      <c r="Q23" s="3981"/>
      <c r="R23" s="3983">
        <f>ROUND(M23*N23*O23*P23/10000,0)</f>
        <v>0</v>
      </c>
      <c r="S23" s="2249"/>
      <c r="T23" s="2249"/>
      <c r="U23" s="2249"/>
      <c r="V23" s="2256"/>
    </row>
    <row r="24" spans="1:22" s="2260" customFormat="1" ht="13.15" customHeight="1">
      <c r="A24" s="2323"/>
      <c r="B24" s="2324" t="s">
        <v>2297</v>
      </c>
      <c r="C24" s="2325"/>
      <c r="D24" s="2326"/>
      <c r="E24" s="2327"/>
      <c r="F24" s="2328"/>
      <c r="G24" s="2322"/>
      <c r="H24" s="2255"/>
      <c r="I24" s="2256"/>
      <c r="J24" s="4858"/>
      <c r="K24" s="4861"/>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15" customHeight="1">
      <c r="A26" s="2319">
        <v>2</v>
      </c>
      <c r="B26" s="2320" t="s">
        <v>2299</v>
      </c>
      <c r="C26" s="2325">
        <f>D7</f>
        <v>0</v>
      </c>
      <c r="D26" s="3724">
        <f>D23*D27</f>
        <v>0</v>
      </c>
      <c r="E26" s="3725">
        <f>E23*E27</f>
        <v>0</v>
      </c>
      <c r="F26" s="2321"/>
      <c r="G26" s="2322"/>
      <c r="H26" s="2255"/>
      <c r="I26" s="2256"/>
      <c r="J26" s="4869">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15" customHeight="1">
      <c r="A27" s="2323"/>
      <c r="B27" s="2324" t="s">
        <v>2305</v>
      </c>
      <c r="C27" s="2342" t="e">
        <f>E7</f>
        <v>#DIV/0!</v>
      </c>
      <c r="D27" s="2326"/>
      <c r="E27" s="2327"/>
      <c r="F27" s="2328"/>
      <c r="G27" s="2322"/>
      <c r="H27" s="2343"/>
      <c r="I27" s="2334"/>
      <c r="J27" s="4870"/>
      <c r="K27" s="2344"/>
      <c r="L27" s="2345"/>
      <c r="M27" s="2346"/>
      <c r="N27" s="3743"/>
      <c r="O27" s="3743"/>
      <c r="P27" s="3743"/>
      <c r="Q27" s="4618"/>
      <c r="R27" s="3984">
        <f>ROUND(O27*N27*P27*(1-Q27)/10000,0)</f>
        <v>0</v>
      </c>
      <c r="S27" s="2249"/>
      <c r="T27" s="2249"/>
      <c r="U27" s="2249"/>
      <c r="V27" s="2256"/>
    </row>
    <row r="28" spans="1:22" s="2335" customFormat="1" ht="13.15"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15"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15" customHeight="1">
      <c r="A32" s="2319">
        <v>4</v>
      </c>
      <c r="B32" s="2320" t="s">
        <v>2313</v>
      </c>
      <c r="C32" s="2325">
        <f>C23-C26-C29</f>
        <v>0</v>
      </c>
      <c r="D32" s="3724">
        <f>D23-D26-D29</f>
        <v>0</v>
      </c>
      <c r="E32" s="3725">
        <f>E23-E26-E29</f>
        <v>0</v>
      </c>
      <c r="F32" s="2321"/>
      <c r="G32" s="2318"/>
      <c r="H32" s="2255"/>
      <c r="I32" s="2256"/>
      <c r="J32" s="4851" t="s">
        <v>2211</v>
      </c>
      <c r="K32" s="4852"/>
      <c r="L32" s="2257" t="s">
        <v>2212</v>
      </c>
      <c r="M32" s="2257" t="s">
        <v>2213</v>
      </c>
      <c r="N32" s="2257" t="s">
        <v>2214</v>
      </c>
      <c r="O32" s="2257" t="s">
        <v>2215</v>
      </c>
      <c r="P32" s="2257" t="s">
        <v>2216</v>
      </c>
      <c r="Q32" s="2258" t="s">
        <v>2217</v>
      </c>
      <c r="R32" s="2355" t="s">
        <v>2218</v>
      </c>
      <c r="S32" s="2311"/>
      <c r="T32" s="2249"/>
      <c r="U32" s="2249"/>
      <c r="V32" s="2334"/>
    </row>
    <row r="33" spans="1:23" s="2260" customFormat="1" ht="13.15" customHeight="1">
      <c r="A33" s="2319"/>
      <c r="B33" s="2320"/>
      <c r="C33" s="2325"/>
      <c r="D33" s="3726"/>
      <c r="E33" s="3727"/>
      <c r="F33" s="2321"/>
      <c r="G33" s="2318"/>
      <c r="H33" s="2343"/>
      <c r="I33" s="2334"/>
      <c r="J33" s="4853" t="s">
        <v>2221</v>
      </c>
      <c r="K33" s="4854"/>
      <c r="L33" s="3746"/>
      <c r="M33" s="3746"/>
      <c r="N33" s="3746"/>
      <c r="O33" s="3746"/>
      <c r="P33" s="3746"/>
      <c r="Q33" s="3747"/>
      <c r="R33" s="3748">
        <f>SUM(L33:Q33)</f>
        <v>0</v>
      </c>
      <c r="S33" s="2311"/>
      <c r="T33" s="2249"/>
      <c r="U33" s="2249"/>
      <c r="V33" s="2256"/>
    </row>
    <row r="34" spans="1:23" s="2260" customFormat="1" ht="13.15" customHeight="1">
      <c r="A34" s="2319">
        <v>5</v>
      </c>
      <c r="B34" s="2320" t="s">
        <v>2314</v>
      </c>
      <c r="C34" s="3728"/>
      <c r="D34" s="3729"/>
      <c r="E34" s="3730"/>
      <c r="F34" s="2321"/>
      <c r="G34" s="2318"/>
      <c r="H34" s="2343"/>
      <c r="I34" s="2334"/>
      <c r="J34" s="4853" t="s">
        <v>2223</v>
      </c>
      <c r="K34" s="4854"/>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15" customHeight="1" thickBot="1">
      <c r="A36" s="2319">
        <v>7</v>
      </c>
      <c r="B36" s="2358" t="s">
        <v>2316</v>
      </c>
      <c r="C36" s="3731"/>
      <c r="D36" s="3732"/>
      <c r="E36" s="3733"/>
      <c r="F36" s="2359">
        <f>C36+D36+E36</f>
        <v>0</v>
      </c>
      <c r="G36" s="2318"/>
      <c r="H36" s="2255"/>
      <c r="I36" s="2256"/>
      <c r="J36" s="4858">
        <v>1</v>
      </c>
      <c r="K36" s="4859" t="s">
        <v>2317</v>
      </c>
      <c r="L36" s="2278"/>
      <c r="M36" s="2279"/>
      <c r="N36" s="2279"/>
      <c r="O36" s="2279"/>
      <c r="P36" s="2279"/>
      <c r="Q36" s="2279"/>
      <c r="R36" s="2264" t="s">
        <v>2234</v>
      </c>
      <c r="S36" s="2311"/>
      <c r="T36" s="2249" t="s">
        <v>2235</v>
      </c>
      <c r="U36" s="2249"/>
      <c r="V36" s="2256"/>
    </row>
    <row r="37" spans="1:23" s="2260" customFormat="1" ht="13.15" customHeight="1">
      <c r="A37" s="2319"/>
      <c r="B37" s="2320"/>
      <c r="C37" s="2324"/>
      <c r="D37" s="2324"/>
      <c r="E37" s="2324"/>
      <c r="F37" s="2321"/>
      <c r="G37" s="2318"/>
      <c r="H37" s="2255"/>
      <c r="I37" s="2256"/>
      <c r="J37" s="4858"/>
      <c r="K37" s="4860"/>
      <c r="L37" s="3752"/>
      <c r="M37" s="3740"/>
      <c r="N37" s="2298"/>
      <c r="O37" s="2298"/>
      <c r="P37" s="2298"/>
      <c r="Q37" s="2298"/>
      <c r="R37" s="3741"/>
      <c r="S37" s="2311"/>
      <c r="T37" s="2249" t="s">
        <v>2238</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58"/>
      <c r="K38" s="4860"/>
      <c r="L38" s="3752"/>
      <c r="M38" s="3740"/>
      <c r="N38" s="2298"/>
      <c r="O38" s="2298"/>
      <c r="P38" s="2298"/>
      <c r="Q38" s="2298"/>
      <c r="R38" s="3741"/>
      <c r="S38" s="2311"/>
      <c r="T38" s="2249" t="s">
        <v>2244</v>
      </c>
      <c r="U38" s="2249"/>
      <c r="V38" s="2256"/>
    </row>
    <row r="39" spans="1:23" s="2260" customFormat="1" ht="13.15" customHeight="1">
      <c r="A39" s="2319">
        <v>9</v>
      </c>
      <c r="B39" s="2320" t="s">
        <v>2318</v>
      </c>
      <c r="C39" s="3714" t="e">
        <f>C38</f>
        <v>#DIV/0!</v>
      </c>
      <c r="D39" s="3714">
        <f>IF(D23=0,0,D38/(1+D34)^C36)</f>
        <v>0</v>
      </c>
      <c r="E39" s="3714">
        <f>IF(E23=0,0,E38/(1+E34)^(C36+D36))</f>
        <v>0</v>
      </c>
      <c r="F39" s="2321"/>
      <c r="G39" s="2360"/>
      <c r="H39" s="2255"/>
      <c r="I39" s="2256"/>
      <c r="J39" s="4858"/>
      <c r="K39" s="4860"/>
      <c r="L39" s="3752"/>
      <c r="M39" s="3740"/>
      <c r="N39" s="2298"/>
      <c r="O39" s="2298"/>
      <c r="P39" s="2298"/>
      <c r="Q39" s="2298"/>
      <c r="R39" s="3741"/>
      <c r="S39" s="2311"/>
      <c r="T39" s="2249"/>
      <c r="U39" s="2249"/>
      <c r="V39" s="2256"/>
    </row>
    <row r="40" spans="1:23" s="2260" customFormat="1" ht="13.15" customHeight="1">
      <c r="A40" s="2361">
        <v>10</v>
      </c>
      <c r="B40" s="2320" t="s">
        <v>2319</v>
      </c>
      <c r="C40" s="3734" t="e">
        <f>C39+D39+E39</f>
        <v>#DIV/0!</v>
      </c>
      <c r="D40" s="3735"/>
      <c r="E40" s="3735"/>
      <c r="F40" s="2362"/>
      <c r="G40" s="2318"/>
      <c r="H40" s="2255"/>
      <c r="I40" s="2256"/>
      <c r="J40" s="4858"/>
      <c r="K40" s="4861"/>
      <c r="L40" s="2300" t="s">
        <v>2261</v>
      </c>
      <c r="M40" s="2301"/>
      <c r="N40" s="2301"/>
      <c r="O40" s="2302"/>
      <c r="P40" s="2302"/>
      <c r="Q40" s="3753"/>
      <c r="R40" s="3985">
        <f>SUM(R37:R39)</f>
        <v>0</v>
      </c>
      <c r="S40" s="2311"/>
      <c r="T40" s="2249"/>
      <c r="U40" s="2249"/>
      <c r="V40" s="2256"/>
    </row>
    <row r="41" spans="1:23" s="2260" customFormat="1" ht="13.15"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15" customHeight="1">
      <c r="G42" s="2366"/>
      <c r="H42" s="2255"/>
      <c r="I42" s="2256"/>
      <c r="J42" s="4869">
        <v>3</v>
      </c>
      <c r="K42" s="2336" t="s">
        <v>2300</v>
      </c>
      <c r="L42" s="2337"/>
      <c r="M42" s="2338"/>
      <c r="N42" s="2339" t="s">
        <v>2301</v>
      </c>
      <c r="O42" s="2339" t="s">
        <v>2302</v>
      </c>
      <c r="P42" s="2340" t="s">
        <v>2303</v>
      </c>
      <c r="Q42" s="2340" t="s">
        <v>2304</v>
      </c>
      <c r="R42" s="2264" t="s">
        <v>2234</v>
      </c>
      <c r="S42" s="2341"/>
      <c r="T42" s="2341"/>
      <c r="U42" s="2249"/>
      <c r="V42" s="2256"/>
    </row>
    <row r="43" spans="1:23" ht="13.15" customHeight="1">
      <c r="A43" s="2260"/>
      <c r="B43" s="2260"/>
      <c r="C43" s="2260"/>
      <c r="D43" s="2260"/>
      <c r="E43" s="2260"/>
      <c r="F43" s="2260"/>
      <c r="G43" s="2366"/>
      <c r="H43" s="2255"/>
      <c r="I43" s="2244"/>
      <c r="J43" s="4870"/>
      <c r="K43" s="2344"/>
      <c r="L43" s="2345"/>
      <c r="M43" s="2346"/>
      <c r="N43" s="3740"/>
      <c r="O43" s="3740"/>
      <c r="P43" s="3740"/>
      <c r="Q43" s="3740"/>
      <c r="R43" s="3984">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15" customHeight="1" thickBot="1">
      <c r="A45" s="2260"/>
      <c r="B45" s="2260"/>
      <c r="C45" s="2260"/>
      <c r="D45" s="2260"/>
      <c r="E45" s="2260"/>
      <c r="F45" s="2260"/>
      <c r="G45" s="2366"/>
      <c r="H45" s="2255"/>
    </row>
    <row r="46" spans="1:23" ht="15">
      <c r="A46" s="3860"/>
      <c r="B46" s="3860"/>
      <c r="C46" s="3872" t="s">
        <v>3718</v>
      </c>
      <c r="D46" s="3873" t="s">
        <v>3789</v>
      </c>
      <c r="E46" s="4322">
        <f>ROUND(D6*G46,0)</f>
        <v>0</v>
      </c>
      <c r="F46" s="3884" t="s">
        <v>3778</v>
      </c>
      <c r="G46" s="4323">
        <v>0.05</v>
      </c>
      <c r="H46" s="3860"/>
      <c r="I46" s="3861"/>
    </row>
    <row r="47" spans="1:23" ht="13.15" customHeight="1">
      <c r="A47" s="3860"/>
      <c r="B47" s="3860"/>
      <c r="C47" s="3874" t="s">
        <v>3719</v>
      </c>
      <c r="D47" s="3875" t="s">
        <v>3720</v>
      </c>
      <c r="E47" s="4435" t="s">
        <v>3954</v>
      </c>
      <c r="F47" s="3885" t="s">
        <v>3721</v>
      </c>
      <c r="G47" s="3886" t="s">
        <v>3722</v>
      </c>
      <c r="H47" s="3862"/>
      <c r="I47" s="3861"/>
    </row>
    <row r="48" spans="1:23" ht="13.15" customHeight="1">
      <c r="A48" s="3862"/>
      <c r="B48" s="3862"/>
      <c r="C48" s="3876">
        <v>1</v>
      </c>
      <c r="D48" s="3875" t="s">
        <v>3723</v>
      </c>
      <c r="E48" s="3896">
        <f>E49-E54</f>
        <v>0</v>
      </c>
      <c r="F48" s="3875"/>
      <c r="G48" s="3886"/>
      <c r="H48" s="3862"/>
      <c r="I48" s="3861"/>
    </row>
    <row r="49" spans="1:9" ht="13.15" customHeight="1">
      <c r="A49" s="3862"/>
      <c r="B49" s="3862"/>
      <c r="C49" s="3876">
        <v>2</v>
      </c>
      <c r="D49" s="3875" t="s">
        <v>3724</v>
      </c>
      <c r="E49" s="3896">
        <f>SUM(E50:E53)</f>
        <v>0</v>
      </c>
      <c r="F49" s="3875"/>
      <c r="G49" s="4317"/>
      <c r="H49" s="3862"/>
      <c r="I49" s="3861"/>
    </row>
    <row r="50" spans="1:9" ht="13.15" customHeight="1">
      <c r="A50" s="3862"/>
      <c r="B50" s="3862"/>
      <c r="C50" s="3877" t="s">
        <v>3740</v>
      </c>
      <c r="D50" s="3878" t="s">
        <v>3725</v>
      </c>
      <c r="E50" s="3897">
        <f>R14*G50/(1+G50)</f>
        <v>0</v>
      </c>
      <c r="F50" s="3887" t="s">
        <v>3741</v>
      </c>
      <c r="G50" s="4318">
        <v>0.06</v>
      </c>
      <c r="H50" s="3862"/>
      <c r="I50" s="3861"/>
    </row>
    <row r="51" spans="1:9" ht="13.15" customHeight="1">
      <c r="A51" s="3862"/>
      <c r="B51" s="3862"/>
      <c r="C51" s="3877" t="s">
        <v>3742</v>
      </c>
      <c r="D51" s="3878" t="s">
        <v>3726</v>
      </c>
      <c r="E51" s="3897">
        <f>R19*G51/(1+G51)</f>
        <v>0</v>
      </c>
      <c r="F51" s="3887" t="s">
        <v>3743</v>
      </c>
      <c r="G51" s="4318">
        <v>0.06</v>
      </c>
      <c r="H51" s="3862"/>
      <c r="I51" s="3861"/>
    </row>
    <row r="52" spans="1:9" ht="13.15" customHeight="1">
      <c r="A52" s="3862"/>
      <c r="B52" s="3862"/>
      <c r="C52" s="3877" t="s">
        <v>3744</v>
      </c>
      <c r="D52" s="3878" t="s">
        <v>3727</v>
      </c>
      <c r="E52" s="3897">
        <f>R24*G52/(1+R24)</f>
        <v>0</v>
      </c>
      <c r="F52" s="3887" t="s">
        <v>3728</v>
      </c>
      <c r="G52" s="4318">
        <v>0.09</v>
      </c>
      <c r="H52" s="3862"/>
      <c r="I52" s="3861"/>
    </row>
    <row r="53" spans="1:9" ht="13.15" customHeight="1">
      <c r="A53" s="3862"/>
      <c r="B53" s="3862"/>
      <c r="C53" s="3877" t="s">
        <v>3745</v>
      </c>
      <c r="D53" s="3878" t="s">
        <v>3729</v>
      </c>
      <c r="E53" s="3897">
        <f>R27*G53/(1+G53)</f>
        <v>0</v>
      </c>
      <c r="F53" s="3887" t="s">
        <v>3728</v>
      </c>
      <c r="G53" s="4318">
        <v>0.09</v>
      </c>
      <c r="H53" s="3862"/>
      <c r="I53" s="3861"/>
    </row>
    <row r="54" spans="1:9" ht="13.15" customHeight="1">
      <c r="A54" s="3862" t="s">
        <v>3773</v>
      </c>
      <c r="B54" s="3861"/>
      <c r="C54" s="3876">
        <v>3</v>
      </c>
      <c r="D54" s="3875" t="s">
        <v>3730</v>
      </c>
      <c r="E54" s="3896">
        <f>E55+E56+E60</f>
        <v>0</v>
      </c>
      <c r="F54" s="3875"/>
      <c r="G54" s="4317"/>
      <c r="H54" s="3862"/>
      <c r="I54" s="3861"/>
    </row>
    <row r="55" spans="1:9" ht="13.15" customHeight="1">
      <c r="A55" s="3863">
        <v>0.05</v>
      </c>
      <c r="B55" s="3864" t="s">
        <v>3777</v>
      </c>
      <c r="C55" s="3877" t="s">
        <v>3740</v>
      </c>
      <c r="D55" s="3878" t="s">
        <v>3731</v>
      </c>
      <c r="E55" s="3897">
        <f>D9*G55/(1+G55)</f>
        <v>0</v>
      </c>
      <c r="F55" s="3889" t="s">
        <v>3779</v>
      </c>
      <c r="G55" s="4318">
        <v>0.13</v>
      </c>
      <c r="H55" s="3862"/>
      <c r="I55" s="3861"/>
    </row>
    <row r="56" spans="1:9" ht="13.15" customHeight="1">
      <c r="A56" s="3863">
        <f>SUM(A57:A59)</f>
        <v>0.39</v>
      </c>
      <c r="B56" s="3864"/>
      <c r="C56" s="3877" t="s">
        <v>3742</v>
      </c>
      <c r="D56" s="3878" t="s">
        <v>3732</v>
      </c>
      <c r="E56" s="3897">
        <f>SUM(E57:E59)</f>
        <v>0</v>
      </c>
      <c r="F56" s="3887"/>
      <c r="G56" s="3890"/>
      <c r="H56" s="3862" t="s">
        <v>3786</v>
      </c>
      <c r="I56" s="3862" t="s">
        <v>3787</v>
      </c>
    </row>
    <row r="57" spans="1:9" ht="13.15" customHeight="1">
      <c r="A57" s="3863">
        <v>0.25</v>
      </c>
      <c r="B57" s="3864" t="s">
        <v>3774</v>
      </c>
      <c r="C57" s="3879" t="s">
        <v>3733</v>
      </c>
      <c r="D57" s="3880" t="s">
        <v>3734</v>
      </c>
      <c r="E57" s="3898">
        <v>0</v>
      </c>
      <c r="F57" s="3891"/>
      <c r="G57" s="3892" t="s">
        <v>3735</v>
      </c>
      <c r="H57" s="3856">
        <v>0.65</v>
      </c>
      <c r="I57" s="3865">
        <f>A57/SUM(A57:A59)</f>
        <v>0.64102564102564097</v>
      </c>
    </row>
    <row r="58" spans="1:9" ht="13.15"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15"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15" customHeight="1">
      <c r="A60" s="3863">
        <f>SUM(A61:A62)</f>
        <v>0.1</v>
      </c>
      <c r="B60" s="3864"/>
      <c r="C60" s="3877" t="s">
        <v>3744</v>
      </c>
      <c r="D60" s="3878" t="s">
        <v>3749</v>
      </c>
      <c r="E60" s="3897">
        <f>SUM(E61:E62)</f>
        <v>0</v>
      </c>
      <c r="F60" s="3887"/>
      <c r="G60" s="4320"/>
      <c r="I60" s="3861"/>
    </row>
    <row r="61" spans="1:9" ht="13.15" customHeight="1">
      <c r="A61" s="3863">
        <v>0.05</v>
      </c>
      <c r="B61" s="3864" t="s">
        <v>3777</v>
      </c>
      <c r="C61" s="3879" t="s">
        <v>3750</v>
      </c>
      <c r="D61" s="3880" t="s">
        <v>3751</v>
      </c>
      <c r="E61" s="3898">
        <f>D17*H61*G61/(1+G61)</f>
        <v>0</v>
      </c>
      <c r="F61" s="3891" t="s">
        <v>3748</v>
      </c>
      <c r="G61" s="4319">
        <v>0.06</v>
      </c>
      <c r="H61" s="3856">
        <v>0.5</v>
      </c>
      <c r="I61" s="3861"/>
    </row>
    <row r="62" spans="1:9" ht="13.15" customHeight="1" thickBot="1">
      <c r="A62" s="3863">
        <v>0.05</v>
      </c>
      <c r="B62" s="3864" t="s">
        <v>3778</v>
      </c>
      <c r="C62" s="3882" t="s">
        <v>3736</v>
      </c>
      <c r="D62" s="3883" t="s">
        <v>3752</v>
      </c>
      <c r="E62" s="3899">
        <f>D17*H62*G62/(1+G62)</f>
        <v>0</v>
      </c>
      <c r="F62" s="3894" t="s">
        <v>3753</v>
      </c>
      <c r="G62" s="4321">
        <v>0.09</v>
      </c>
      <c r="H62" s="3856">
        <v>0.5</v>
      </c>
      <c r="I62" s="3861"/>
    </row>
    <row r="63" spans="1:9" ht="13.15" customHeight="1">
      <c r="A63" s="3863">
        <f>A55+A56+A60</f>
        <v>0.54</v>
      </c>
      <c r="B63" s="3864"/>
      <c r="C63" s="3861"/>
      <c r="D63" s="3866"/>
      <c r="E63" s="3866"/>
      <c r="F63" s="3867"/>
      <c r="G63" s="3868"/>
      <c r="H63" s="3862"/>
      <c r="I63" s="3862"/>
    </row>
    <row r="64" spans="1:9" ht="13.15" customHeight="1" thickBot="1">
      <c r="A64" s="3862"/>
      <c r="B64" s="3862"/>
      <c r="C64" s="3861"/>
      <c r="D64" s="3861"/>
      <c r="E64" s="3861"/>
      <c r="F64" s="3861"/>
      <c r="G64" s="3869"/>
      <c r="H64" s="3862"/>
      <c r="I64" s="3861"/>
    </row>
    <row r="65" spans="1:9" ht="15">
      <c r="A65" s="3862"/>
      <c r="B65" s="3862"/>
      <c r="C65" s="3872" t="s">
        <v>3754</v>
      </c>
      <c r="D65" s="3873" t="s">
        <v>3789</v>
      </c>
      <c r="E65" s="4322">
        <f>ROUND(D6*G65,0)</f>
        <v>0</v>
      </c>
      <c r="F65" s="3884" t="s">
        <v>3790</v>
      </c>
      <c r="G65" s="4323">
        <v>0.03</v>
      </c>
      <c r="H65" s="3862"/>
      <c r="I65" s="3861"/>
    </row>
    <row r="66" spans="1:9" ht="12.75">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15" customHeight="1">
      <c r="A68" s="3862"/>
      <c r="B68" s="3862"/>
      <c r="C68" s="3901">
        <v>2</v>
      </c>
      <c r="D68" s="3875" t="s">
        <v>3760</v>
      </c>
      <c r="E68" s="3900">
        <f>SUM(E69:E70)</f>
        <v>0</v>
      </c>
      <c r="F68" s="3875"/>
      <c r="G68" s="3886"/>
      <c r="H68" s="3862"/>
      <c r="I68" s="3861"/>
    </row>
    <row r="69" spans="1:9" ht="13.15" customHeight="1">
      <c r="A69" s="3862"/>
      <c r="B69" s="3862"/>
      <c r="C69" s="3877" t="s">
        <v>3761</v>
      </c>
      <c r="D69" s="3878" t="s">
        <v>3762</v>
      </c>
      <c r="E69" s="3878"/>
      <c r="F69" s="3887" t="s">
        <v>3763</v>
      </c>
      <c r="G69" s="3888">
        <v>0.09</v>
      </c>
      <c r="H69" s="3862"/>
      <c r="I69" s="3861"/>
    </row>
    <row r="70" spans="1:9" ht="13.15" customHeight="1">
      <c r="A70" s="3862"/>
      <c r="B70" s="3862"/>
      <c r="C70" s="3877" t="s">
        <v>3742</v>
      </c>
      <c r="D70" s="3878" t="s">
        <v>3764</v>
      </c>
      <c r="E70" s="3878"/>
      <c r="F70" s="3887" t="s">
        <v>3765</v>
      </c>
      <c r="G70" s="3888">
        <v>0.06</v>
      </c>
      <c r="H70" s="3862"/>
      <c r="I70" s="3861"/>
    </row>
    <row r="71" spans="1:9" ht="13.15" customHeight="1">
      <c r="A71" s="3862" t="s">
        <v>3780</v>
      </c>
      <c r="B71" s="3862"/>
      <c r="C71" s="3901">
        <v>3</v>
      </c>
      <c r="D71" s="3875" t="s">
        <v>3766</v>
      </c>
      <c r="E71" s="3900">
        <f>E72+E77</f>
        <v>0</v>
      </c>
      <c r="F71" s="3875"/>
      <c r="G71" s="3886"/>
      <c r="H71" s="3862"/>
      <c r="I71" s="3861"/>
    </row>
    <row r="72" spans="1:9" ht="13.15" customHeight="1">
      <c r="A72" s="3863">
        <v>0.05</v>
      </c>
      <c r="B72" s="3870"/>
      <c r="C72" s="3877" t="s">
        <v>3761</v>
      </c>
      <c r="D72" s="3878" t="s">
        <v>3767</v>
      </c>
      <c r="E72" s="3878">
        <f>D9*G72/(1+G72)</f>
        <v>0</v>
      </c>
      <c r="F72" s="3889" t="s">
        <v>3779</v>
      </c>
      <c r="G72" s="3888">
        <v>0.13</v>
      </c>
      <c r="H72" s="3862"/>
      <c r="I72" s="3861"/>
    </row>
    <row r="73" spans="1:9" ht="13.15" customHeight="1">
      <c r="A73" s="3863">
        <f>SUM(A74:A76)</f>
        <v>0.2</v>
      </c>
      <c r="B73" s="3870"/>
      <c r="C73" s="3877" t="s">
        <v>3742</v>
      </c>
      <c r="D73" s="3878" t="s">
        <v>3768</v>
      </c>
      <c r="E73" s="3878">
        <f>SUM(E74:E76)</f>
        <v>0</v>
      </c>
      <c r="F73" s="3887"/>
      <c r="G73" s="3890"/>
      <c r="H73" s="3862" t="s">
        <v>3786</v>
      </c>
      <c r="I73" s="3862" t="s">
        <v>3787</v>
      </c>
    </row>
    <row r="74" spans="1:9" ht="13.15" customHeight="1">
      <c r="A74" s="3863">
        <v>0.05</v>
      </c>
      <c r="B74" s="3870" t="s">
        <v>3784</v>
      </c>
      <c r="C74" s="3902" t="s">
        <v>3769</v>
      </c>
      <c r="D74" s="3880" t="s">
        <v>3770</v>
      </c>
      <c r="E74" s="3880">
        <v>0</v>
      </c>
      <c r="F74" s="3891"/>
      <c r="G74" s="3892" t="s">
        <v>3771</v>
      </c>
      <c r="H74" s="3856">
        <v>0.25</v>
      </c>
      <c r="I74" s="3865">
        <f>A74/SUM(A74:A76)</f>
        <v>0.25</v>
      </c>
    </row>
    <row r="75" spans="1:9" ht="13.15" customHeight="1">
      <c r="A75" s="3863">
        <v>0.1</v>
      </c>
      <c r="B75" s="3870" t="s">
        <v>3782</v>
      </c>
      <c r="C75" s="3902" t="s">
        <v>3738</v>
      </c>
      <c r="D75" s="3881" t="s">
        <v>3781</v>
      </c>
      <c r="E75" s="3880">
        <f>D10*H75*G75/(1+G75)</f>
        <v>0</v>
      </c>
      <c r="F75" s="3891" t="s">
        <v>3772</v>
      </c>
      <c r="G75" s="3893">
        <v>0.09</v>
      </c>
      <c r="H75" s="3856">
        <v>0.5</v>
      </c>
      <c r="I75" s="3865">
        <f>A75/SUM(A74:A76)</f>
        <v>0.5</v>
      </c>
    </row>
    <row r="76" spans="1:9" ht="13.15" customHeight="1">
      <c r="A76" s="3863">
        <v>0.05</v>
      </c>
      <c r="B76" s="3870" t="s">
        <v>3785</v>
      </c>
      <c r="C76" s="3902" t="s">
        <v>3739</v>
      </c>
      <c r="D76" s="3880" t="s">
        <v>3747</v>
      </c>
      <c r="E76" s="3880">
        <f>D10*H76*G76/(1+G76)</f>
        <v>0</v>
      </c>
      <c r="F76" s="3891" t="s">
        <v>3748</v>
      </c>
      <c r="G76" s="3893">
        <v>0.06</v>
      </c>
      <c r="H76" s="3856">
        <v>0.25</v>
      </c>
      <c r="I76" s="3865">
        <f>1-I74-I75</f>
        <v>0.25</v>
      </c>
    </row>
    <row r="77" spans="1:9" ht="13.15" customHeight="1">
      <c r="A77" s="3863">
        <f>SUM(A78:A79)</f>
        <v>0.1</v>
      </c>
      <c r="B77" s="3870"/>
      <c r="C77" s="3877" t="s">
        <v>3744</v>
      </c>
      <c r="D77" s="3878" t="s">
        <v>3749</v>
      </c>
      <c r="E77" s="3878">
        <f>SUM(E78:E79)</f>
        <v>0</v>
      </c>
      <c r="F77" s="3887"/>
      <c r="G77" s="3890"/>
      <c r="I77" s="3861"/>
    </row>
    <row r="78" spans="1:9" ht="13.15" customHeight="1">
      <c r="A78" s="3863">
        <v>0.05</v>
      </c>
      <c r="B78" s="3870" t="s">
        <v>3775</v>
      </c>
      <c r="C78" s="3902" t="s">
        <v>3769</v>
      </c>
      <c r="D78" s="3880" t="s">
        <v>3751</v>
      </c>
      <c r="E78" s="3880">
        <f>D17*H78*G78/(1+G78)</f>
        <v>0</v>
      </c>
      <c r="F78" s="3891" t="s">
        <v>3748</v>
      </c>
      <c r="G78" s="3893">
        <v>0.06</v>
      </c>
      <c r="H78" s="3856">
        <v>0.5</v>
      </c>
      <c r="I78" s="3861"/>
    </row>
    <row r="79" spans="1:9" ht="13.15" customHeight="1" thickBot="1">
      <c r="A79" s="3863">
        <v>0.05</v>
      </c>
      <c r="B79" s="3870" t="s">
        <v>3783</v>
      </c>
      <c r="C79" s="3903" t="s">
        <v>3738</v>
      </c>
      <c r="D79" s="3883" t="s">
        <v>3752</v>
      </c>
      <c r="E79" s="3883">
        <f>D17*H79*G79/(1+G79)</f>
        <v>0</v>
      </c>
      <c r="F79" s="3894" t="s">
        <v>3753</v>
      </c>
      <c r="G79" s="3895">
        <v>0.09</v>
      </c>
      <c r="H79" s="3856">
        <v>0.5</v>
      </c>
      <c r="I79" s="3861"/>
    </row>
    <row r="80" spans="1:9" ht="13.15" customHeight="1">
      <c r="A80" s="3863">
        <f>A72+A73+A77</f>
        <v>0.35</v>
      </c>
      <c r="B80" s="3870"/>
      <c r="C80" s="3862"/>
      <c r="D80" s="3862"/>
      <c r="E80" s="3862"/>
      <c r="F80" s="3862"/>
      <c r="G80" s="3871"/>
      <c r="H80" s="3862"/>
      <c r="I80" s="3861"/>
    </row>
    <row r="81" spans="1:9" ht="13.15" customHeight="1">
      <c r="A81" s="3862"/>
      <c r="B81" s="3862"/>
      <c r="C81" s="3862"/>
      <c r="D81" s="3862"/>
      <c r="E81" s="3862"/>
      <c r="F81" s="3862"/>
      <c r="G81" s="3871"/>
      <c r="H81" s="3862"/>
      <c r="I81" s="3861"/>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7">
        <f ca="1">SUMIF(B6:B13,"&lt;&gt;#ref!",B6:B13)</f>
        <v>722.47730000000001</v>
      </c>
      <c r="C2" s="1446" t="s">
        <v>1558</v>
      </c>
      <c r="D2" s="1447" t="s">
        <v>1559</v>
      </c>
      <c r="E2" s="3120">
        <f>SUM(E6:E13)</f>
        <v>1052.8</v>
      </c>
      <c r="F2" s="2138"/>
      <c r="G2" s="1095"/>
      <c r="H2" s="1095"/>
      <c r="I2" s="1095"/>
      <c r="J2" s="1095"/>
      <c r="K2" s="1095"/>
      <c r="L2" s="1095"/>
      <c r="M2" s="1095"/>
      <c r="N2" s="1095"/>
      <c r="O2" s="1095"/>
      <c r="P2" s="1095"/>
      <c r="Q2" s="1095"/>
      <c r="R2" s="1095"/>
      <c r="S2" s="1095"/>
    </row>
    <row r="3" spans="1:22" ht="15.75">
      <c r="A3" s="1445" t="s">
        <v>672</v>
      </c>
      <c r="B3" s="3119">
        <f ca="1">ROUND(B2*10000/E2,0)</f>
        <v>6862</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71" t="s">
        <v>1561</v>
      </c>
      <c r="C5" s="4872"/>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6">
        <f ca="1">IF(F6="是",'数据-取费表'!AO6,0)</f>
        <v>722.47730000000001</v>
      </c>
      <c r="C6" s="1446" t="s">
        <v>1558</v>
      </c>
      <c r="D6" s="2140"/>
      <c r="E6" s="3121">
        <f>IF(OR(A6=0,F6="否"),0,'数据-取费表'!K6+'数据-取费表'!S6)</f>
        <v>1052.8</v>
      </c>
      <c r="F6" s="1450" t="s">
        <v>1564</v>
      </c>
      <c r="G6" s="1095"/>
      <c r="H6" s="1095"/>
      <c r="I6" s="1095"/>
      <c r="J6" s="1095"/>
      <c r="K6" s="1095"/>
      <c r="L6" s="1095"/>
      <c r="M6" s="1095"/>
      <c r="N6" s="1095"/>
      <c r="O6" s="1095"/>
      <c r="P6" s="1095"/>
      <c r="Q6" s="1095"/>
      <c r="R6" s="1095"/>
      <c r="S6" s="1095"/>
    </row>
    <row r="7" spans="1:22">
      <c r="A7" s="2042">
        <f>'数据-取费表'!AN7</f>
        <v>0</v>
      </c>
      <c r="B7" s="3986"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6"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6"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6"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6"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6"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76" t="s">
        <v>1991</v>
      </c>
      <c r="D1" s="4877"/>
      <c r="E1" s="4877"/>
      <c r="F1" s="4877"/>
      <c r="G1" s="4877"/>
      <c r="H1" s="4877"/>
      <c r="I1" s="4877"/>
      <c r="J1" s="4877"/>
      <c r="K1" s="4877"/>
      <c r="L1" s="4877"/>
      <c r="M1" s="4877"/>
      <c r="N1" s="4877"/>
      <c r="O1" s="4877"/>
      <c r="P1" s="4877"/>
      <c r="Q1" s="4877"/>
      <c r="R1" s="4877"/>
      <c r="S1" s="4878"/>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73" t="s">
        <v>25</v>
      </c>
      <c r="D22" s="4874"/>
      <c r="E22" s="4874"/>
      <c r="F22" s="4874"/>
      <c r="G22" s="4874"/>
      <c r="H22" s="4874"/>
      <c r="I22" s="4874"/>
      <c r="J22" s="4874"/>
      <c r="K22" s="4874"/>
      <c r="L22" s="4874"/>
      <c r="M22" s="4874"/>
      <c r="N22" s="4874"/>
      <c r="O22" s="4874"/>
      <c r="P22" s="4874"/>
      <c r="Q22" s="4875"/>
      <c r="R22" s="3926" t="e">
        <f>ROUND(S22*10000/B22,0)</f>
        <v>#DIV/0!</v>
      </c>
      <c r="S22" s="3926">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1052.8</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98" t="s">
        <v>1574</v>
      </c>
      <c r="D4" s="4899"/>
      <c r="E4" s="4900" t="s">
        <v>1575</v>
      </c>
      <c r="F4" s="4901"/>
      <c r="G4" s="4898" t="s">
        <v>1576</v>
      </c>
      <c r="H4" s="4899"/>
      <c r="I4" s="4898" t="s">
        <v>1577</v>
      </c>
      <c r="J4" s="4899"/>
      <c r="K4" s="3050" t="s">
        <v>1578</v>
      </c>
      <c r="L4" s="2146"/>
      <c r="M4" s="2147"/>
      <c r="N4" s="2147"/>
      <c r="O4" s="2147"/>
      <c r="P4" s="4902" t="s">
        <v>1579</v>
      </c>
      <c r="Q4" s="4903"/>
      <c r="R4" s="4884" t="s">
        <v>1575</v>
      </c>
      <c r="S4" s="4885"/>
      <c r="T4" s="4884" t="s">
        <v>1576</v>
      </c>
      <c r="U4" s="4885"/>
      <c r="V4" s="4910" t="s">
        <v>1577</v>
      </c>
      <c r="W4" s="4910"/>
      <c r="X4" s="963"/>
      <c r="Y4" s="4913" t="s">
        <v>1579</v>
      </c>
      <c r="Z4" s="4914"/>
      <c r="AA4" s="4879" t="s">
        <v>1575</v>
      </c>
      <c r="AB4" s="4879" t="s">
        <v>1576</v>
      </c>
      <c r="AC4" s="4879" t="s">
        <v>1577</v>
      </c>
    </row>
    <row r="5" spans="1:29" ht="15">
      <c r="A5" s="244"/>
      <c r="B5" s="245"/>
      <c r="C5" s="4890" t="s">
        <v>1580</v>
      </c>
      <c r="D5" s="4891"/>
      <c r="E5" s="4888" t="s">
        <v>1581</v>
      </c>
      <c r="F5" s="4889"/>
      <c r="G5" s="4890" t="s">
        <v>1582</v>
      </c>
      <c r="H5" s="4891"/>
      <c r="I5" s="4890" t="s">
        <v>1583</v>
      </c>
      <c r="J5" s="4891"/>
      <c r="K5" s="3051"/>
      <c r="L5" s="2146"/>
      <c r="M5" s="2147"/>
      <c r="N5" s="2147"/>
      <c r="O5" s="2147"/>
      <c r="P5" s="4904"/>
      <c r="Q5" s="4905"/>
      <c r="R5" s="4886"/>
      <c r="S5" s="4887"/>
      <c r="T5" s="4886"/>
      <c r="U5" s="4887"/>
      <c r="V5" s="4910"/>
      <c r="W5" s="4910"/>
      <c r="X5" s="963"/>
      <c r="Y5" s="4915"/>
      <c r="Z5" s="4916"/>
      <c r="AA5" s="4880"/>
      <c r="AB5" s="4880"/>
      <c r="AC5" s="4880"/>
    </row>
    <row r="6" spans="1:29" ht="15.75" thickBot="1">
      <c r="A6" s="246"/>
      <c r="B6" s="247"/>
      <c r="C6" s="4892" t="s">
        <v>1584</v>
      </c>
      <c r="D6" s="4893"/>
      <c r="E6" s="4894" t="s">
        <v>1584</v>
      </c>
      <c r="F6" s="4895"/>
      <c r="G6" s="4892" t="s">
        <v>1584</v>
      </c>
      <c r="H6" s="4893"/>
      <c r="I6" s="4892" t="s">
        <v>1584</v>
      </c>
      <c r="J6" s="4893"/>
      <c r="K6" s="3051" t="s">
        <v>1585</v>
      </c>
      <c r="L6" s="2146"/>
      <c r="M6" s="2147"/>
      <c r="N6" s="2147"/>
      <c r="O6" s="2147"/>
      <c r="P6" s="4906"/>
      <c r="Q6" s="4907"/>
      <c r="R6" s="4886"/>
      <c r="S6" s="4887"/>
      <c r="T6" s="4908"/>
      <c r="U6" s="4909"/>
      <c r="V6" s="4910"/>
      <c r="W6" s="4910"/>
      <c r="X6" s="963"/>
      <c r="Y6" s="4917"/>
      <c r="Z6" s="4918"/>
      <c r="AA6" s="4881"/>
      <c r="AB6" s="4881"/>
      <c r="AC6" s="4881"/>
    </row>
    <row r="7" spans="1:29" s="49" customFormat="1" ht="15.75" thickBot="1">
      <c r="A7" s="248" t="s">
        <v>1586</v>
      </c>
      <c r="B7" s="249"/>
      <c r="C7" s="3052">
        <f>'数据-取费表'!B2</f>
        <v>46077</v>
      </c>
      <c r="D7" s="3128">
        <v>100</v>
      </c>
      <c r="E7" s="3082"/>
      <c r="F7" s="4026">
        <f>SUMIF(58:58,YEAR(E7)&amp;"-"&amp;MONTH(E7),59:59)</f>
        <v>0</v>
      </c>
      <c r="G7" s="3082"/>
      <c r="H7" s="4038">
        <f>SUMIF(58:58,YEAR(G7)&amp;"-"&amp;MONTH(G7),59:59)</f>
        <v>0</v>
      </c>
      <c r="I7" s="3082"/>
      <c r="J7" s="4038">
        <f>SUMIF(58:58,YEAR(I7)&amp;"-"&amp;MONTH(I7),59:59)</f>
        <v>0</v>
      </c>
      <c r="K7" s="3043"/>
      <c r="L7" s="2148"/>
      <c r="M7" s="2149"/>
      <c r="N7" s="2149"/>
      <c r="O7" s="2149"/>
      <c r="P7" s="4911" t="s">
        <v>1587</v>
      </c>
      <c r="Q7" s="4919"/>
      <c r="R7" s="3923" t="s">
        <v>18</v>
      </c>
      <c r="S7" s="3405">
        <f t="shared" ref="S7:S15" si="0">F7</f>
        <v>0</v>
      </c>
      <c r="T7" s="3923" t="s">
        <v>18</v>
      </c>
      <c r="U7" s="3405">
        <f t="shared" ref="U7:U15" si="1">H7</f>
        <v>0</v>
      </c>
      <c r="V7" s="3923" t="s">
        <v>18</v>
      </c>
      <c r="W7" s="3405">
        <f t="shared" ref="W7:W15" si="2">J7</f>
        <v>0</v>
      </c>
      <c r="X7" s="504"/>
      <c r="Y7" s="4882" t="s">
        <v>1587</v>
      </c>
      <c r="Z7" s="4883"/>
      <c r="AA7" s="505" t="e">
        <f>D7/F7</f>
        <v>#DIV/0!</v>
      </c>
      <c r="AB7" s="505" t="e">
        <f>D7/H7</f>
        <v>#DIV/0!</v>
      </c>
      <c r="AC7" s="505" t="e">
        <f>D7/J7</f>
        <v>#DIV/0!</v>
      </c>
    </row>
    <row r="8" spans="1:29" s="49" customFormat="1" ht="15.75" thickBot="1">
      <c r="A8" s="248" t="s">
        <v>1588</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11" t="s">
        <v>1590</v>
      </c>
      <c r="Q8" s="4912"/>
      <c r="R8" s="3923" t="s">
        <v>18</v>
      </c>
      <c r="S8" s="3405">
        <f t="shared" si="0"/>
        <v>100</v>
      </c>
      <c r="T8" s="3923" t="s">
        <v>18</v>
      </c>
      <c r="U8" s="3405">
        <f t="shared" si="1"/>
        <v>100</v>
      </c>
      <c r="V8" s="3923" t="s">
        <v>18</v>
      </c>
      <c r="W8" s="3405">
        <f t="shared" si="2"/>
        <v>100</v>
      </c>
      <c r="X8" s="504"/>
      <c r="Y8" s="4882" t="s">
        <v>1590</v>
      </c>
      <c r="Z8" s="4883"/>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896" t="s">
        <v>1593</v>
      </c>
      <c r="Q9" s="3026" t="str">
        <f t="shared" ref="Q9:Q15" si="6">B9</f>
        <v>用途</v>
      </c>
      <c r="R9" s="3923" t="s">
        <v>13</v>
      </c>
      <c r="S9" s="3405">
        <f t="shared" si="0"/>
        <v>100</v>
      </c>
      <c r="T9" s="3923" t="s">
        <v>13</v>
      </c>
      <c r="U9" s="3405">
        <f t="shared" si="1"/>
        <v>100</v>
      </c>
      <c r="V9" s="3923" t="s">
        <v>13</v>
      </c>
      <c r="W9" s="3405">
        <f t="shared" si="2"/>
        <v>100</v>
      </c>
      <c r="X9" s="504"/>
      <c r="Y9" s="4897"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896"/>
      <c r="Q10" s="3026" t="str">
        <f t="shared" si="6"/>
        <v>土地使用年限（年）</v>
      </c>
      <c r="R10" s="3923" t="s">
        <v>13</v>
      </c>
      <c r="S10" s="3405">
        <f t="shared" si="0"/>
        <v>100</v>
      </c>
      <c r="T10" s="3923" t="s">
        <v>13</v>
      </c>
      <c r="U10" s="3405">
        <f t="shared" si="1"/>
        <v>100</v>
      </c>
      <c r="V10" s="3923" t="s">
        <v>13</v>
      </c>
      <c r="W10" s="3405">
        <f t="shared" si="2"/>
        <v>100</v>
      </c>
      <c r="X10" s="504"/>
      <c r="Y10" s="4897"/>
      <c r="Z10" s="28" t="str">
        <f t="shared" si="7"/>
        <v>土地使用年限（年）</v>
      </c>
      <c r="AA10" s="505">
        <f t="shared" si="3"/>
        <v>1</v>
      </c>
      <c r="AB10" s="505">
        <f t="shared" si="4"/>
        <v>1</v>
      </c>
      <c r="AC10" s="505">
        <f t="shared" si="5"/>
        <v>1</v>
      </c>
    </row>
    <row r="11" spans="1:29" ht="15">
      <c r="A11" s="260"/>
      <c r="B11" s="3028" t="s">
        <v>1596</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896"/>
      <c r="Q11" s="3026" t="str">
        <f t="shared" si="6"/>
        <v>容积率</v>
      </c>
      <c r="R11" s="3923" t="s">
        <v>16</v>
      </c>
      <c r="S11" s="3405">
        <f t="shared" si="0"/>
        <v>100</v>
      </c>
      <c r="T11" s="3923" t="s">
        <v>16</v>
      </c>
      <c r="U11" s="3405">
        <f t="shared" si="1"/>
        <v>100</v>
      </c>
      <c r="V11" s="3923" t="s">
        <v>16</v>
      </c>
      <c r="W11" s="3405">
        <f t="shared" si="2"/>
        <v>100</v>
      </c>
      <c r="X11" s="504"/>
      <c r="Y11" s="4897"/>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896"/>
      <c r="Q12" s="3026">
        <f t="shared" si="6"/>
        <v>111</v>
      </c>
      <c r="R12" s="3923" t="s">
        <v>16</v>
      </c>
      <c r="S12" s="3405">
        <f t="shared" si="0"/>
        <v>100</v>
      </c>
      <c r="T12" s="3923" t="s">
        <v>16</v>
      </c>
      <c r="U12" s="3405">
        <f t="shared" si="1"/>
        <v>100</v>
      </c>
      <c r="V12" s="3923" t="s">
        <v>16</v>
      </c>
      <c r="W12" s="3405">
        <f t="shared" si="2"/>
        <v>100</v>
      </c>
      <c r="X12" s="504"/>
      <c r="Y12" s="4897"/>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896"/>
      <c r="Q13" s="3026">
        <f t="shared" si="6"/>
        <v>111</v>
      </c>
      <c r="R13" s="3923" t="s">
        <v>16</v>
      </c>
      <c r="S13" s="3405">
        <f t="shared" si="0"/>
        <v>100</v>
      </c>
      <c r="T13" s="3923" t="s">
        <v>16</v>
      </c>
      <c r="U13" s="3405">
        <f t="shared" si="1"/>
        <v>100</v>
      </c>
      <c r="V13" s="3923" t="s">
        <v>16</v>
      </c>
      <c r="W13" s="3405">
        <f t="shared" si="2"/>
        <v>100</v>
      </c>
      <c r="X13" s="504"/>
      <c r="Y13" s="4897"/>
      <c r="Z13" s="28">
        <f t="shared" si="7"/>
        <v>111</v>
      </c>
      <c r="AA13" s="505">
        <f t="shared" si="3"/>
        <v>1</v>
      </c>
      <c r="AB13" s="505">
        <f t="shared" si="4"/>
        <v>1</v>
      </c>
      <c r="AC13" s="505">
        <f t="shared" si="5"/>
        <v>1</v>
      </c>
    </row>
    <row r="14" spans="1:29" ht="15.75"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896"/>
      <c r="Q14" s="3026">
        <f t="shared" si="6"/>
        <v>111</v>
      </c>
      <c r="R14" s="3923" t="s">
        <v>16</v>
      </c>
      <c r="S14" s="3405">
        <f t="shared" si="0"/>
        <v>100</v>
      </c>
      <c r="T14" s="3923" t="s">
        <v>16</v>
      </c>
      <c r="U14" s="3405">
        <f t="shared" si="1"/>
        <v>100</v>
      </c>
      <c r="V14" s="3923" t="s">
        <v>16</v>
      </c>
      <c r="W14" s="3405">
        <f t="shared" si="2"/>
        <v>100</v>
      </c>
      <c r="X14" s="504"/>
      <c r="Y14" s="4897"/>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32" t="s">
        <v>1598</v>
      </c>
      <c r="Q15" s="1618" t="str">
        <f t="shared" si="6"/>
        <v>居住社区成熟度</v>
      </c>
      <c r="R15" s="4044" t="s">
        <v>16</v>
      </c>
      <c r="S15" s="3406">
        <f t="shared" si="0"/>
        <v>100</v>
      </c>
      <c r="T15" s="4044" t="s">
        <v>16</v>
      </c>
      <c r="U15" s="3406">
        <f t="shared" si="1"/>
        <v>100</v>
      </c>
      <c r="V15" s="4044" t="s">
        <v>16</v>
      </c>
      <c r="W15" s="3406">
        <f t="shared" si="2"/>
        <v>100</v>
      </c>
      <c r="X15" s="963"/>
      <c r="Y15" s="4925" t="s">
        <v>1598</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33"/>
      <c r="Q16" s="1618"/>
      <c r="R16" s="4044"/>
      <c r="S16" s="3406"/>
      <c r="T16" s="4044"/>
      <c r="U16" s="3406"/>
      <c r="V16" s="4044"/>
      <c r="W16" s="3406"/>
      <c r="X16" s="963"/>
      <c r="Y16" s="4926"/>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33"/>
      <c r="Q17" s="1618" t="str">
        <f>B17</f>
        <v>交通便捷度</v>
      </c>
      <c r="R17" s="4044" t="s">
        <v>16</v>
      </c>
      <c r="S17" s="3406">
        <f>F17</f>
        <v>100</v>
      </c>
      <c r="T17" s="4044" t="s">
        <v>16</v>
      </c>
      <c r="U17" s="3406">
        <f>H17</f>
        <v>100</v>
      </c>
      <c r="V17" s="4044" t="s">
        <v>16</v>
      </c>
      <c r="W17" s="3406">
        <f>J17</f>
        <v>100</v>
      </c>
      <c r="X17" s="963"/>
      <c r="Y17" s="4926"/>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33"/>
      <c r="Q18" s="1618"/>
      <c r="R18" s="4044"/>
      <c r="S18" s="3406"/>
      <c r="T18" s="4044"/>
      <c r="U18" s="3406"/>
      <c r="V18" s="4044"/>
      <c r="W18" s="3406"/>
      <c r="X18" s="963"/>
      <c r="Y18" s="4926"/>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33"/>
      <c r="Q19" s="1618" t="str">
        <f>B19</f>
        <v>公共配套设施</v>
      </c>
      <c r="R19" s="4044" t="s">
        <v>16</v>
      </c>
      <c r="S19" s="3406">
        <f>F19</f>
        <v>100</v>
      </c>
      <c r="T19" s="4044" t="s">
        <v>16</v>
      </c>
      <c r="U19" s="3406">
        <f>H19</f>
        <v>100</v>
      </c>
      <c r="V19" s="4044" t="s">
        <v>16</v>
      </c>
      <c r="W19" s="3406">
        <f>J19</f>
        <v>100</v>
      </c>
      <c r="X19" s="963"/>
      <c r="Y19" s="4926"/>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33"/>
      <c r="Q20" s="1618"/>
      <c r="R20" s="4044"/>
      <c r="S20" s="3406"/>
      <c r="T20" s="4044"/>
      <c r="U20" s="3406"/>
      <c r="V20" s="4044"/>
      <c r="W20" s="3406"/>
      <c r="X20" s="963"/>
      <c r="Y20" s="4926"/>
      <c r="Z20" s="964"/>
      <c r="AA20" s="961">
        <v>1</v>
      </c>
      <c r="AB20" s="961">
        <v>1</v>
      </c>
      <c r="AC20" s="961">
        <v>1</v>
      </c>
    </row>
    <row r="21" spans="1:29" ht="28.5">
      <c r="A21" s="260"/>
      <c r="B21" s="3040" t="s">
        <v>1238</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33"/>
      <c r="Q21" s="1618" t="str">
        <f>B21</f>
        <v>基础设施水平</v>
      </c>
      <c r="R21" s="4044" t="s">
        <v>13</v>
      </c>
      <c r="S21" s="3406">
        <f>F21</f>
        <v>100</v>
      </c>
      <c r="T21" s="4044" t="s">
        <v>13</v>
      </c>
      <c r="U21" s="3406">
        <f>H21</f>
        <v>100</v>
      </c>
      <c r="V21" s="4044" t="s">
        <v>13</v>
      </c>
      <c r="W21" s="3406">
        <f>J21</f>
        <v>100</v>
      </c>
      <c r="X21" s="963"/>
      <c r="Y21" s="4926"/>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33"/>
      <c r="Q22" s="1618"/>
      <c r="R22" s="4044"/>
      <c r="S22" s="3406"/>
      <c r="T22" s="4044"/>
      <c r="U22" s="3406"/>
      <c r="V22" s="4044"/>
      <c r="W22" s="3406"/>
      <c r="X22" s="963"/>
      <c r="Y22" s="4926"/>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33"/>
      <c r="Q23" s="1618" t="str">
        <f>B23</f>
        <v>自然及人文环境</v>
      </c>
      <c r="R23" s="4044" t="s">
        <v>16</v>
      </c>
      <c r="S23" s="3406">
        <f>F23</f>
        <v>100</v>
      </c>
      <c r="T23" s="4044" t="s">
        <v>16</v>
      </c>
      <c r="U23" s="3406">
        <f>H23</f>
        <v>100</v>
      </c>
      <c r="V23" s="4044" t="s">
        <v>16</v>
      </c>
      <c r="W23" s="3406">
        <f>J23</f>
        <v>100</v>
      </c>
      <c r="X23" s="963"/>
      <c r="Y23" s="4926"/>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33"/>
      <c r="Q24" s="1618"/>
      <c r="R24" s="4044"/>
      <c r="S24" s="3406"/>
      <c r="T24" s="4044"/>
      <c r="U24" s="3406"/>
      <c r="V24" s="4044"/>
      <c r="W24" s="3406"/>
      <c r="X24" s="963"/>
      <c r="Y24" s="4926"/>
      <c r="Z24" s="964"/>
      <c r="AA24" s="961">
        <v>1</v>
      </c>
      <c r="AB24" s="961">
        <v>1</v>
      </c>
      <c r="AC24" s="961">
        <v>1</v>
      </c>
    </row>
    <row r="25" spans="1:29" ht="15">
      <c r="A25" s="260"/>
      <c r="B25" s="3028" t="s">
        <v>1599</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33"/>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26"/>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33"/>
      <c r="Q26" s="1618" t="str">
        <f t="shared" si="11"/>
        <v>朝向</v>
      </c>
      <c r="R26" s="4044" t="s">
        <v>16</v>
      </c>
      <c r="S26" s="3406">
        <f t="shared" si="12"/>
        <v>100</v>
      </c>
      <c r="T26" s="4044" t="s">
        <v>16</v>
      </c>
      <c r="U26" s="3406">
        <f t="shared" si="13"/>
        <v>100</v>
      </c>
      <c r="V26" s="4044" t="s">
        <v>16</v>
      </c>
      <c r="W26" s="3406">
        <f t="shared" si="14"/>
        <v>100</v>
      </c>
      <c r="X26" s="963"/>
      <c r="Y26" s="4926"/>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33"/>
      <c r="Q27" s="3026">
        <f t="shared" si="11"/>
        <v>111</v>
      </c>
      <c r="R27" s="3923" t="s">
        <v>16</v>
      </c>
      <c r="S27" s="3405">
        <f t="shared" si="12"/>
        <v>100</v>
      </c>
      <c r="T27" s="3923" t="s">
        <v>16</v>
      </c>
      <c r="U27" s="3405">
        <f t="shared" si="13"/>
        <v>100</v>
      </c>
      <c r="V27" s="3923" t="s">
        <v>16</v>
      </c>
      <c r="W27" s="3405">
        <f t="shared" si="14"/>
        <v>100</v>
      </c>
      <c r="X27" s="504"/>
      <c r="Y27" s="4926"/>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33"/>
      <c r="Q28" s="1618">
        <f t="shared" si="11"/>
        <v>111</v>
      </c>
      <c r="R28" s="4044" t="s">
        <v>16</v>
      </c>
      <c r="S28" s="3406">
        <f t="shared" si="12"/>
        <v>100</v>
      </c>
      <c r="T28" s="4044" t="s">
        <v>16</v>
      </c>
      <c r="U28" s="3406">
        <f t="shared" si="13"/>
        <v>100</v>
      </c>
      <c r="V28" s="4044" t="s">
        <v>16</v>
      </c>
      <c r="W28" s="3406">
        <f t="shared" si="14"/>
        <v>100</v>
      </c>
      <c r="X28" s="963"/>
      <c r="Y28" s="4926"/>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33"/>
      <c r="Q29" s="1618">
        <f t="shared" si="11"/>
        <v>111</v>
      </c>
      <c r="R29" s="4044" t="s">
        <v>16</v>
      </c>
      <c r="S29" s="3406">
        <f t="shared" si="12"/>
        <v>100</v>
      </c>
      <c r="T29" s="4044" t="s">
        <v>16</v>
      </c>
      <c r="U29" s="3406">
        <f t="shared" si="13"/>
        <v>100</v>
      </c>
      <c r="V29" s="4044" t="s">
        <v>16</v>
      </c>
      <c r="W29" s="3406">
        <f t="shared" si="14"/>
        <v>100</v>
      </c>
      <c r="X29" s="963"/>
      <c r="Y29" s="4926"/>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33"/>
      <c r="Q30" s="1618">
        <f t="shared" si="11"/>
        <v>111</v>
      </c>
      <c r="R30" s="4044" t="s">
        <v>16</v>
      </c>
      <c r="S30" s="3406">
        <f t="shared" si="12"/>
        <v>100</v>
      </c>
      <c r="T30" s="4044" t="s">
        <v>16</v>
      </c>
      <c r="U30" s="3406">
        <f t="shared" si="13"/>
        <v>100</v>
      </c>
      <c r="V30" s="4044" t="s">
        <v>16</v>
      </c>
      <c r="W30" s="3406">
        <f t="shared" si="14"/>
        <v>100</v>
      </c>
      <c r="X30" s="963"/>
      <c r="Y30" s="4926"/>
      <c r="Z30" s="964">
        <f t="shared" si="18"/>
        <v>111</v>
      </c>
      <c r="AA30" s="961">
        <f t="shared" si="15"/>
        <v>1</v>
      </c>
      <c r="AB30" s="961">
        <f t="shared" si="16"/>
        <v>1</v>
      </c>
      <c r="AC30" s="961">
        <f t="shared" si="17"/>
        <v>1</v>
      </c>
    </row>
    <row r="31" spans="1:29" ht="15.75"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33"/>
      <c r="Q31" s="1618">
        <f t="shared" si="11"/>
        <v>111</v>
      </c>
      <c r="R31" s="4044" t="s">
        <v>16</v>
      </c>
      <c r="S31" s="3406">
        <f t="shared" si="12"/>
        <v>100</v>
      </c>
      <c r="T31" s="4044" t="s">
        <v>16</v>
      </c>
      <c r="U31" s="3406">
        <f t="shared" si="13"/>
        <v>100</v>
      </c>
      <c r="V31" s="4044" t="s">
        <v>16</v>
      </c>
      <c r="W31" s="3406">
        <f t="shared" si="14"/>
        <v>100</v>
      </c>
      <c r="X31" s="963"/>
      <c r="Y31" s="4926"/>
      <c r="Z31" s="964">
        <f t="shared" si="18"/>
        <v>111</v>
      </c>
      <c r="AA31" s="961">
        <f t="shared" si="15"/>
        <v>1</v>
      </c>
      <c r="AB31" s="961">
        <f t="shared" si="16"/>
        <v>1</v>
      </c>
      <c r="AC31" s="961">
        <f t="shared" si="17"/>
        <v>1</v>
      </c>
    </row>
    <row r="32" spans="1:29" ht="15">
      <c r="A32" s="268" t="s">
        <v>1601</v>
      </c>
      <c r="B32" s="3033" t="s">
        <v>1602</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27" t="s">
        <v>1603</v>
      </c>
      <c r="Q32" s="1618" t="str">
        <f t="shared" si="11"/>
        <v>建筑类型</v>
      </c>
      <c r="R32" s="4044" t="s">
        <v>16</v>
      </c>
      <c r="S32" s="3406">
        <f t="shared" si="12"/>
        <v>100</v>
      </c>
      <c r="T32" s="4044" t="s">
        <v>16</v>
      </c>
      <c r="U32" s="3406">
        <f t="shared" si="13"/>
        <v>100</v>
      </c>
      <c r="V32" s="4044" t="s">
        <v>16</v>
      </c>
      <c r="W32" s="3406">
        <f t="shared" si="14"/>
        <v>100</v>
      </c>
      <c r="X32" s="963"/>
      <c r="Y32" s="4930"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8" t="e">
        <f>LOOKUP(E33,103:103,104:104)-LOOKUP(C33,103:103,104:104)+100</f>
        <v>#N/A</v>
      </c>
      <c r="G33" s="3055"/>
      <c r="H33" s="4040" t="e">
        <f>LOOKUP(G33,103:103,104:104)-LOOKUP(C33,103:103,104:104)+100</f>
        <v>#N/A</v>
      </c>
      <c r="I33" s="3084"/>
      <c r="J33" s="4040" t="e">
        <f>LOOKUP(I33,103:103,104:104)-LOOKUP(C33,103:103,104:104)+100</f>
        <v>#N/A</v>
      </c>
      <c r="K33" s="3045"/>
      <c r="L33" s="2152"/>
      <c r="M33" s="2154"/>
      <c r="N33" s="2154"/>
      <c r="O33" s="2154"/>
      <c r="P33" s="4928"/>
      <c r="Q33" s="3106" t="str">
        <f t="shared" si="11"/>
        <v>项目建筑规模</v>
      </c>
      <c r="R33" s="4045" t="s">
        <v>16</v>
      </c>
      <c r="S33" s="3407" t="e">
        <f t="shared" si="12"/>
        <v>#N/A</v>
      </c>
      <c r="T33" s="4045" t="s">
        <v>16</v>
      </c>
      <c r="U33" s="3407" t="e">
        <f t="shared" si="13"/>
        <v>#N/A</v>
      </c>
      <c r="V33" s="4045" t="s">
        <v>16</v>
      </c>
      <c r="W33" s="3407" t="e">
        <f t="shared" si="14"/>
        <v>#N/A</v>
      </c>
      <c r="X33" s="507"/>
      <c r="Y33" s="4930"/>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28"/>
      <c r="Q34" s="1618" t="str">
        <f t="shared" si="11"/>
        <v>建筑结构</v>
      </c>
      <c r="R34" s="4044" t="s">
        <v>16</v>
      </c>
      <c r="S34" s="3406">
        <f t="shared" si="12"/>
        <v>100</v>
      </c>
      <c r="T34" s="4044" t="s">
        <v>16</v>
      </c>
      <c r="U34" s="3406">
        <f t="shared" si="13"/>
        <v>100</v>
      </c>
      <c r="V34" s="4044" t="s">
        <v>16</v>
      </c>
      <c r="W34" s="3406">
        <f t="shared" si="14"/>
        <v>100</v>
      </c>
      <c r="X34" s="963"/>
      <c r="Y34" s="4930"/>
      <c r="Z34" s="964" t="str">
        <f t="shared" si="18"/>
        <v>建筑结构</v>
      </c>
      <c r="AA34" s="961">
        <f t="shared" si="15"/>
        <v>1</v>
      </c>
      <c r="AB34" s="961">
        <f t="shared" si="16"/>
        <v>1</v>
      </c>
      <c r="AC34" s="961">
        <f t="shared" si="17"/>
        <v>1</v>
      </c>
    </row>
    <row r="35" spans="1:29" ht="15">
      <c r="A35" s="286"/>
      <c r="B35" s="3028" t="s">
        <v>1606</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28"/>
      <c r="Q35" s="1618" t="str">
        <f t="shared" si="11"/>
        <v>建筑品质</v>
      </c>
      <c r="R35" s="4044" t="s">
        <v>16</v>
      </c>
      <c r="S35" s="3406">
        <f t="shared" si="12"/>
        <v>100</v>
      </c>
      <c r="T35" s="4044" t="s">
        <v>16</v>
      </c>
      <c r="U35" s="3406">
        <f t="shared" si="13"/>
        <v>100</v>
      </c>
      <c r="V35" s="4044" t="s">
        <v>16</v>
      </c>
      <c r="W35" s="3406">
        <f t="shared" si="14"/>
        <v>100</v>
      </c>
      <c r="X35" s="963"/>
      <c r="Y35" s="4930"/>
      <c r="Z35" s="964" t="str">
        <f t="shared" si="18"/>
        <v>建筑品质</v>
      </c>
      <c r="AA35" s="961">
        <f t="shared" si="15"/>
        <v>1</v>
      </c>
      <c r="AB35" s="961">
        <f t="shared" si="16"/>
        <v>1</v>
      </c>
      <c r="AC35" s="961">
        <f t="shared" si="17"/>
        <v>1</v>
      </c>
    </row>
    <row r="36" spans="1:29" ht="15">
      <c r="A36" s="286"/>
      <c r="B36" s="3028" t="s">
        <v>1607</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28"/>
      <c r="Q36" s="1618" t="str">
        <f t="shared" si="11"/>
        <v>公共部分装修</v>
      </c>
      <c r="R36" s="4044" t="s">
        <v>16</v>
      </c>
      <c r="S36" s="3406">
        <f t="shared" si="12"/>
        <v>100</v>
      </c>
      <c r="T36" s="4044" t="s">
        <v>16</v>
      </c>
      <c r="U36" s="3406">
        <f t="shared" si="13"/>
        <v>100</v>
      </c>
      <c r="V36" s="4044" t="s">
        <v>16</v>
      </c>
      <c r="W36" s="3406">
        <f t="shared" si="14"/>
        <v>100</v>
      </c>
      <c r="X36" s="963"/>
      <c r="Y36" s="4930"/>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8" t="e">
        <f>LOOKUP(E37,112:112,113:113)-LOOKUP(C37,112:112,113:113)+100</f>
        <v>#N/A</v>
      </c>
      <c r="G37" s="3117"/>
      <c r="H37" s="4040" t="e">
        <f>LOOKUP(G37,112:112,113:113)-LOOKUP(C37,112:112,113:113)+100</f>
        <v>#N/A</v>
      </c>
      <c r="I37" s="3118"/>
      <c r="J37" s="4040" t="e">
        <f>LOOKUP(I37,112:112,113:113)-LOOKUP(C37,112:112,113:113)+100</f>
        <v>#N/A</v>
      </c>
      <c r="K37" s="3044"/>
      <c r="L37" s="2148"/>
      <c r="M37" s="2149"/>
      <c r="N37" s="2149"/>
      <c r="O37" s="2149"/>
      <c r="P37" s="4928"/>
      <c r="Q37" s="3026" t="str">
        <f t="shared" si="11"/>
        <v>成新度</v>
      </c>
      <c r="R37" s="3923" t="s">
        <v>16</v>
      </c>
      <c r="S37" s="3405" t="e">
        <f t="shared" si="12"/>
        <v>#N/A</v>
      </c>
      <c r="T37" s="3923" t="s">
        <v>16</v>
      </c>
      <c r="U37" s="3405" t="e">
        <f t="shared" si="13"/>
        <v>#N/A</v>
      </c>
      <c r="V37" s="3923" t="s">
        <v>16</v>
      </c>
      <c r="W37" s="3405" t="e">
        <f t="shared" si="14"/>
        <v>#N/A</v>
      </c>
      <c r="X37" s="504"/>
      <c r="Y37" s="4930"/>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28" t="s">
        <v>1603</v>
      </c>
      <c r="Q38" s="1618" t="str">
        <f t="shared" si="11"/>
        <v>物业管理</v>
      </c>
      <c r="R38" s="4044" t="s">
        <v>16</v>
      </c>
      <c r="S38" s="3406">
        <f t="shared" si="12"/>
        <v>100</v>
      </c>
      <c r="T38" s="4044" t="s">
        <v>16</v>
      </c>
      <c r="U38" s="3406">
        <f t="shared" si="13"/>
        <v>100</v>
      </c>
      <c r="V38" s="4044" t="s">
        <v>16</v>
      </c>
      <c r="W38" s="3406">
        <f t="shared" si="14"/>
        <v>100</v>
      </c>
      <c r="X38" s="963"/>
      <c r="Y38" s="4930"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28"/>
      <c r="Q39" s="1618" t="str">
        <f t="shared" si="11"/>
        <v>市政基础设施</v>
      </c>
      <c r="R39" s="4044" t="s">
        <v>16</v>
      </c>
      <c r="S39" s="3406">
        <f t="shared" si="12"/>
        <v>100</v>
      </c>
      <c r="T39" s="4044" t="s">
        <v>16</v>
      </c>
      <c r="U39" s="3406">
        <f t="shared" si="13"/>
        <v>100</v>
      </c>
      <c r="V39" s="4044" t="s">
        <v>16</v>
      </c>
      <c r="W39" s="3406">
        <f t="shared" si="14"/>
        <v>100</v>
      </c>
      <c r="X39" s="963"/>
      <c r="Y39" s="4930"/>
      <c r="Z39" s="964" t="str">
        <f t="shared" si="18"/>
        <v>市政基础设施</v>
      </c>
      <c r="AA39" s="961">
        <f t="shared" si="15"/>
        <v>1</v>
      </c>
      <c r="AB39" s="961">
        <f t="shared" si="16"/>
        <v>1</v>
      </c>
      <c r="AC39" s="961">
        <f t="shared" si="17"/>
        <v>1</v>
      </c>
    </row>
    <row r="40" spans="1:29" ht="15">
      <c r="A40" s="286"/>
      <c r="B40" s="3028" t="s">
        <v>1611</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28"/>
      <c r="Q40" s="1618" t="str">
        <f t="shared" si="11"/>
        <v>房型</v>
      </c>
      <c r="R40" s="4044" t="s">
        <v>16</v>
      </c>
      <c r="S40" s="3406">
        <f t="shared" si="12"/>
        <v>100</v>
      </c>
      <c r="T40" s="4044" t="s">
        <v>16</v>
      </c>
      <c r="U40" s="3406">
        <f t="shared" si="13"/>
        <v>100</v>
      </c>
      <c r="V40" s="4044" t="s">
        <v>16</v>
      </c>
      <c r="W40" s="3406">
        <f t="shared" si="14"/>
        <v>100</v>
      </c>
      <c r="X40" s="963"/>
      <c r="Y40" s="4930"/>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28"/>
      <c r="Q41" s="3106" t="str">
        <f t="shared" si="11"/>
        <v>单套/主力户型建筑面积</v>
      </c>
      <c r="R41" s="4045" t="s">
        <v>16</v>
      </c>
      <c r="S41" s="3407">
        <f t="shared" si="12"/>
        <v>100</v>
      </c>
      <c r="T41" s="4045" t="s">
        <v>16</v>
      </c>
      <c r="U41" s="3407">
        <f t="shared" si="13"/>
        <v>100</v>
      </c>
      <c r="V41" s="4045" t="s">
        <v>16</v>
      </c>
      <c r="W41" s="3407">
        <f t="shared" si="14"/>
        <v>100</v>
      </c>
      <c r="X41" s="507"/>
      <c r="Y41" s="4930"/>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28"/>
      <c r="Q42" s="1618" t="str">
        <f t="shared" si="11"/>
        <v>内部装修</v>
      </c>
      <c r="R42" s="4044" t="s">
        <v>16</v>
      </c>
      <c r="S42" s="3406">
        <f t="shared" si="12"/>
        <v>100</v>
      </c>
      <c r="T42" s="4044" t="s">
        <v>16</v>
      </c>
      <c r="U42" s="3406">
        <f t="shared" si="13"/>
        <v>100</v>
      </c>
      <c r="V42" s="4044" t="s">
        <v>16</v>
      </c>
      <c r="W42" s="3406">
        <f t="shared" si="14"/>
        <v>100</v>
      </c>
      <c r="X42" s="963"/>
      <c r="Y42" s="4930"/>
      <c r="Z42" s="964" t="str">
        <f t="shared" si="18"/>
        <v>内部装修</v>
      </c>
      <c r="AA42" s="961">
        <f t="shared" si="15"/>
        <v>1</v>
      </c>
      <c r="AB42" s="961">
        <f t="shared" si="16"/>
        <v>1</v>
      </c>
      <c r="AC42" s="961">
        <f t="shared" si="17"/>
        <v>1</v>
      </c>
    </row>
    <row r="43" spans="1:29" ht="15">
      <c r="A43" s="286"/>
      <c r="B43" s="3028" t="s">
        <v>1614</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28"/>
      <c r="Q43" s="1618" t="str">
        <f t="shared" si="11"/>
        <v>内部装修维护情况</v>
      </c>
      <c r="R43" s="4044" t="s">
        <v>16</v>
      </c>
      <c r="S43" s="3406">
        <f t="shared" si="12"/>
        <v>100</v>
      </c>
      <c r="T43" s="4044" t="s">
        <v>16</v>
      </c>
      <c r="U43" s="3406">
        <f t="shared" si="13"/>
        <v>100</v>
      </c>
      <c r="V43" s="4044" t="s">
        <v>16</v>
      </c>
      <c r="W43" s="3406">
        <f t="shared" si="14"/>
        <v>100</v>
      </c>
      <c r="X43" s="963"/>
      <c r="Y43" s="4930"/>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28"/>
      <c r="Q44" s="3026">
        <f t="shared" si="11"/>
        <v>111</v>
      </c>
      <c r="R44" s="3923" t="s">
        <v>16</v>
      </c>
      <c r="S44" s="3405">
        <f t="shared" si="12"/>
        <v>100</v>
      </c>
      <c r="T44" s="3923" t="s">
        <v>16</v>
      </c>
      <c r="U44" s="3405">
        <f t="shared" si="13"/>
        <v>100</v>
      </c>
      <c r="V44" s="3923" t="s">
        <v>16</v>
      </c>
      <c r="W44" s="3405">
        <f t="shared" si="14"/>
        <v>100</v>
      </c>
      <c r="X44" s="504"/>
      <c r="Y44" s="4930"/>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28"/>
      <c r="Q45" s="1618">
        <f t="shared" si="11"/>
        <v>111</v>
      </c>
      <c r="R45" s="4044" t="s">
        <v>16</v>
      </c>
      <c r="S45" s="3406">
        <f t="shared" si="12"/>
        <v>100</v>
      </c>
      <c r="T45" s="4044" t="s">
        <v>16</v>
      </c>
      <c r="U45" s="3406">
        <f t="shared" si="13"/>
        <v>100</v>
      </c>
      <c r="V45" s="4044" t="s">
        <v>16</v>
      </c>
      <c r="W45" s="3406">
        <f t="shared" si="14"/>
        <v>100</v>
      </c>
      <c r="X45" s="963"/>
      <c r="Y45" s="4930"/>
      <c r="Z45" s="964">
        <f t="shared" si="18"/>
        <v>111</v>
      </c>
      <c r="AA45" s="961">
        <f t="shared" si="15"/>
        <v>1</v>
      </c>
      <c r="AB45" s="961">
        <f t="shared" si="16"/>
        <v>1</v>
      </c>
      <c r="AC45" s="961">
        <f t="shared" si="17"/>
        <v>1</v>
      </c>
    </row>
    <row r="46" spans="1:29" ht="15.75"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29"/>
      <c r="Q46" s="1618">
        <f t="shared" si="11"/>
        <v>111</v>
      </c>
      <c r="R46" s="4044" t="s">
        <v>15</v>
      </c>
      <c r="S46" s="3406">
        <f t="shared" si="12"/>
        <v>100</v>
      </c>
      <c r="T46" s="4044" t="s">
        <v>15</v>
      </c>
      <c r="U46" s="3406">
        <f t="shared" si="13"/>
        <v>100</v>
      </c>
      <c r="V46" s="4044" t="s">
        <v>15</v>
      </c>
      <c r="W46" s="3406">
        <f t="shared" si="14"/>
        <v>100</v>
      </c>
      <c r="X46" s="963"/>
      <c r="Y46" s="4931"/>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23" t="str">
        <f>A47</f>
        <v>成交单价（元/平方米）</v>
      </c>
      <c r="Q47" s="4923"/>
      <c r="R47" s="4924">
        <f>E47</f>
        <v>0</v>
      </c>
      <c r="S47" s="4924"/>
      <c r="T47" s="4924">
        <f>G47</f>
        <v>0</v>
      </c>
      <c r="U47" s="4924"/>
      <c r="V47" s="4924">
        <f>I47</f>
        <v>0</v>
      </c>
      <c r="W47" s="4924"/>
      <c r="X47" s="493"/>
      <c r="Y47" s="509"/>
      <c r="Z47" s="493"/>
      <c r="AA47" s="493"/>
      <c r="AB47" s="493"/>
      <c r="AC47" s="493"/>
    </row>
    <row r="48" spans="1:29" ht="15.75" thickBot="1">
      <c r="A48" s="295" t="s">
        <v>1616</v>
      </c>
      <c r="B48" s="296"/>
      <c r="C48" s="4042" t="e">
        <f>R49</f>
        <v>#DIV/0!</v>
      </c>
      <c r="D48" s="4199" t="s">
        <v>2042</v>
      </c>
      <c r="E48" s="3127" t="e">
        <f>R48</f>
        <v>#DIV/0!</v>
      </c>
      <c r="F48" s="3042"/>
      <c r="G48" s="3126" t="e">
        <f>T48</f>
        <v>#DIV/0!</v>
      </c>
      <c r="H48" s="3042"/>
      <c r="I48" s="3127" t="e">
        <f>V48</f>
        <v>#DIV/0!</v>
      </c>
      <c r="J48" s="3042"/>
      <c r="K48" s="3097">
        <f>F48+H48+J48</f>
        <v>0</v>
      </c>
      <c r="L48" s="2155"/>
      <c r="M48" s="2156"/>
      <c r="N48" s="2156"/>
      <c r="O48" s="2156"/>
      <c r="P48" s="4923" t="str">
        <f>A48</f>
        <v>比较价值（元/平方米）</v>
      </c>
      <c r="Q48" s="4923"/>
      <c r="R48" s="4924" t="e">
        <f>IF(F1="售价",ROUND(PRODUCT(R47,AA7:AA46),0),ROUND(PRODUCT(R47,AA7:AA46),1))</f>
        <v>#DIV/0!</v>
      </c>
      <c r="S48" s="4924"/>
      <c r="T48" s="4924" t="e">
        <f>IF(F1="售价",ROUND(PRODUCT(T47,AB7:AB46),0),ROUND(PRODUCT(T47,AB7:AB46),1))</f>
        <v>#DIV/0!</v>
      </c>
      <c r="U48" s="4924"/>
      <c r="V48" s="4924" t="e">
        <f>IF(F1="售价",ROUND(PRODUCT(V47,AC7:AC46),0),ROUND(PRODUCT(V47,AC7:AC46),1))</f>
        <v>#DIV/0!</v>
      </c>
      <c r="W48" s="4924"/>
      <c r="X48" s="493"/>
      <c r="Y48" s="493"/>
      <c r="Z48" s="493"/>
      <c r="AA48" s="493"/>
      <c r="AB48" s="493"/>
      <c r="AC48" s="493"/>
    </row>
    <row r="49" spans="1:29" ht="15.75" thickBot="1">
      <c r="A49" s="297" t="s">
        <v>1617</v>
      </c>
      <c r="B49" s="298"/>
      <c r="C49" s="4043" t="e">
        <f>R49</f>
        <v>#DIV/0!</v>
      </c>
      <c r="D49" s="812"/>
      <c r="E49" s="812"/>
      <c r="F49" s="812"/>
      <c r="G49" s="812"/>
      <c r="H49" s="812"/>
      <c r="I49" s="812"/>
      <c r="J49" s="812"/>
      <c r="K49" s="1474"/>
      <c r="L49" s="2155"/>
      <c r="M49" s="2156"/>
      <c r="N49" s="2156"/>
      <c r="O49" s="2156"/>
      <c r="P49" s="4920" t="str">
        <f>A49</f>
        <v>估价对象XX用房的比较价值（楼面单价，元/平方米）</v>
      </c>
      <c r="Q49" s="4921"/>
      <c r="R49" s="4922" t="e">
        <f>IF(F1="售价",ROUND(IF(D48="简单平均",AVERAGE(R48:V48),R48*F48+T48*H48+V48*J48),0),ROUND(IF(D48="简单平均",AVERAGE(R48:V48),R48*F48+T48*H48+V48*J48),1))</f>
        <v>#DIV/0!</v>
      </c>
      <c r="S49" s="4922"/>
      <c r="T49" s="4922"/>
      <c r="U49" s="4922"/>
      <c r="V49" s="4922"/>
      <c r="W49" s="492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3874</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1052.8</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98" t="s">
        <v>1677</v>
      </c>
      <c r="D4" s="4899"/>
      <c r="E4" s="4900" t="s">
        <v>1678</v>
      </c>
      <c r="F4" s="4901"/>
      <c r="G4" s="4898" t="s">
        <v>1679</v>
      </c>
      <c r="H4" s="4899"/>
      <c r="I4" s="4898" t="s">
        <v>1680</v>
      </c>
      <c r="J4" s="4899"/>
      <c r="K4" s="3105" t="s">
        <v>1681</v>
      </c>
      <c r="L4" s="2146"/>
      <c r="M4" s="2147"/>
      <c r="N4" s="2147"/>
      <c r="O4" s="2147"/>
      <c r="P4" s="4902" t="s">
        <v>1682</v>
      </c>
      <c r="Q4" s="4903"/>
      <c r="R4" s="4884" t="s">
        <v>1678</v>
      </c>
      <c r="S4" s="4885"/>
      <c r="T4" s="4884" t="s">
        <v>1679</v>
      </c>
      <c r="U4" s="4885"/>
      <c r="V4" s="4910" t="s">
        <v>1680</v>
      </c>
      <c r="W4" s="4910"/>
      <c r="X4" s="963"/>
      <c r="Y4" s="4913" t="s">
        <v>1682</v>
      </c>
      <c r="Z4" s="4914"/>
      <c r="AA4" s="4879" t="s">
        <v>1678</v>
      </c>
      <c r="AB4" s="4934" t="s">
        <v>1679</v>
      </c>
      <c r="AC4" s="4879" t="s">
        <v>1680</v>
      </c>
    </row>
    <row r="5" spans="1:29" ht="15">
      <c r="A5" s="244"/>
      <c r="B5" s="245"/>
      <c r="C5" s="4890" t="s">
        <v>1580</v>
      </c>
      <c r="D5" s="4891"/>
      <c r="E5" s="4888" t="s">
        <v>1581</v>
      </c>
      <c r="F5" s="4889"/>
      <c r="G5" s="4890" t="s">
        <v>1582</v>
      </c>
      <c r="H5" s="4891"/>
      <c r="I5" s="4890" t="s">
        <v>1583</v>
      </c>
      <c r="J5" s="4891"/>
      <c r="K5" s="3105"/>
      <c r="L5" s="2146"/>
      <c r="M5" s="2147"/>
      <c r="N5" s="2147"/>
      <c r="O5" s="2147"/>
      <c r="P5" s="4904"/>
      <c r="Q5" s="4905"/>
      <c r="R5" s="4886"/>
      <c r="S5" s="4887"/>
      <c r="T5" s="4886"/>
      <c r="U5" s="4887"/>
      <c r="V5" s="4910"/>
      <c r="W5" s="4910"/>
      <c r="X5" s="963"/>
      <c r="Y5" s="4915"/>
      <c r="Z5" s="4916"/>
      <c r="AA5" s="4880"/>
      <c r="AB5" s="4934"/>
      <c r="AC5" s="4880"/>
    </row>
    <row r="6" spans="1:29" ht="15.75" thickBot="1">
      <c r="A6" s="246"/>
      <c r="B6" s="247"/>
      <c r="C6" s="4892" t="s">
        <v>1584</v>
      </c>
      <c r="D6" s="4893"/>
      <c r="E6" s="4894" t="s">
        <v>1584</v>
      </c>
      <c r="F6" s="4895"/>
      <c r="G6" s="4892" t="s">
        <v>1584</v>
      </c>
      <c r="H6" s="4893"/>
      <c r="I6" s="4892" t="s">
        <v>1584</v>
      </c>
      <c r="J6" s="4893"/>
      <c r="K6" s="3105" t="s">
        <v>1585</v>
      </c>
      <c r="L6" s="2146"/>
      <c r="M6" s="2147"/>
      <c r="N6" s="2147"/>
      <c r="O6" s="2147"/>
      <c r="P6" s="4906"/>
      <c r="Q6" s="4907"/>
      <c r="R6" s="4886"/>
      <c r="S6" s="4887"/>
      <c r="T6" s="4908"/>
      <c r="U6" s="4909"/>
      <c r="V6" s="4910"/>
      <c r="W6" s="4910"/>
      <c r="X6" s="963"/>
      <c r="Y6" s="4917"/>
      <c r="Z6" s="4918"/>
      <c r="AA6" s="4881"/>
      <c r="AB6" s="4934"/>
      <c r="AC6" s="4881"/>
    </row>
    <row r="7" spans="1:29" s="49" customFormat="1" ht="15.75" thickBot="1">
      <c r="A7" s="248" t="s">
        <v>1586</v>
      </c>
      <c r="B7" s="249"/>
      <c r="C7" s="250">
        <f>'数据-取费表'!B2</f>
        <v>46077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11" t="s">
        <v>1587</v>
      </c>
      <c r="Q7" s="4919"/>
      <c r="R7" s="3923" t="s">
        <v>13</v>
      </c>
      <c r="S7" s="3405">
        <f t="shared" ref="S7:S15" si="0">F7</f>
        <v>0</v>
      </c>
      <c r="T7" s="3923" t="s">
        <v>13</v>
      </c>
      <c r="U7" s="3405">
        <f t="shared" ref="U7:U15" si="1">H7</f>
        <v>0</v>
      </c>
      <c r="V7" s="3923" t="s">
        <v>13</v>
      </c>
      <c r="W7" s="3405">
        <f t="shared" ref="W7:W15" si="2">J7</f>
        <v>0</v>
      </c>
      <c r="X7" s="504"/>
      <c r="Y7" s="4882" t="s">
        <v>1587</v>
      </c>
      <c r="Z7" s="4883"/>
      <c r="AA7" s="505" t="e">
        <f>D7/F7</f>
        <v>#DIV/0!</v>
      </c>
      <c r="AB7" s="505" t="e">
        <f>D7/H7</f>
        <v>#DIV/0!</v>
      </c>
      <c r="AC7" s="505" t="e">
        <f>D7/J7</f>
        <v>#DIV/0!</v>
      </c>
    </row>
    <row r="8" spans="1:29" s="49" customFormat="1" ht="15.75" thickBot="1">
      <c r="A8" s="248" t="s">
        <v>1588</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11" t="s">
        <v>1590</v>
      </c>
      <c r="Q8" s="4912"/>
      <c r="R8" s="3923" t="s">
        <v>13</v>
      </c>
      <c r="S8" s="3405">
        <f t="shared" si="0"/>
        <v>100</v>
      </c>
      <c r="T8" s="3923" t="s">
        <v>13</v>
      </c>
      <c r="U8" s="3405">
        <f t="shared" si="1"/>
        <v>100</v>
      </c>
      <c r="V8" s="3923" t="s">
        <v>13</v>
      </c>
      <c r="W8" s="3405">
        <f t="shared" si="2"/>
        <v>100</v>
      </c>
      <c r="X8" s="504"/>
      <c r="Y8" s="4882" t="s">
        <v>1590</v>
      </c>
      <c r="Z8" s="4883"/>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896" t="s">
        <v>1593</v>
      </c>
      <c r="Q9" s="3026" t="str">
        <f t="shared" ref="Q9:Q15" si="6">B9</f>
        <v>用途</v>
      </c>
      <c r="R9" s="3923" t="s">
        <v>13</v>
      </c>
      <c r="S9" s="3405">
        <f t="shared" si="0"/>
        <v>100</v>
      </c>
      <c r="T9" s="3923" t="s">
        <v>13</v>
      </c>
      <c r="U9" s="3405">
        <f t="shared" si="1"/>
        <v>100</v>
      </c>
      <c r="V9" s="3923" t="s">
        <v>13</v>
      </c>
      <c r="W9" s="3405">
        <f t="shared" si="2"/>
        <v>100</v>
      </c>
      <c r="X9" s="504"/>
      <c r="Y9" s="4897"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896"/>
      <c r="Q10" s="3026" t="str">
        <f t="shared" si="6"/>
        <v>土地使用年限（年）</v>
      </c>
      <c r="R10" s="3923" t="s">
        <v>13</v>
      </c>
      <c r="S10" s="3405">
        <f t="shared" si="0"/>
        <v>100</v>
      </c>
      <c r="T10" s="3923" t="s">
        <v>13</v>
      </c>
      <c r="U10" s="3405">
        <f t="shared" si="1"/>
        <v>100</v>
      </c>
      <c r="V10" s="3923" t="s">
        <v>13</v>
      </c>
      <c r="W10" s="3405">
        <f t="shared" si="2"/>
        <v>100</v>
      </c>
      <c r="X10" s="504"/>
      <c r="Y10" s="4897"/>
      <c r="Z10" s="28" t="str">
        <f t="shared" si="7"/>
        <v>土地使用年限（年）</v>
      </c>
      <c r="AA10" s="505">
        <f t="shared" si="3"/>
        <v>1</v>
      </c>
      <c r="AB10" s="505">
        <f t="shared" si="4"/>
        <v>1</v>
      </c>
      <c r="AC10" s="505">
        <f t="shared" si="5"/>
        <v>1</v>
      </c>
    </row>
    <row r="11" spans="1:29" ht="15">
      <c r="A11" s="260"/>
      <c r="B11" s="3028" t="s">
        <v>1596</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896"/>
      <c r="Q11" s="3026" t="str">
        <f t="shared" si="6"/>
        <v>容积率</v>
      </c>
      <c r="R11" s="3923" t="s">
        <v>13</v>
      </c>
      <c r="S11" s="3405">
        <f t="shared" si="0"/>
        <v>100</v>
      </c>
      <c r="T11" s="3923" t="s">
        <v>13</v>
      </c>
      <c r="U11" s="3405">
        <f t="shared" si="1"/>
        <v>100</v>
      </c>
      <c r="V11" s="3923" t="s">
        <v>13</v>
      </c>
      <c r="W11" s="3405">
        <f t="shared" si="2"/>
        <v>100</v>
      </c>
      <c r="X11" s="504"/>
      <c r="Y11" s="4897"/>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896"/>
      <c r="Q12" s="3026">
        <f t="shared" si="6"/>
        <v>111</v>
      </c>
      <c r="R12" s="3923" t="s">
        <v>13</v>
      </c>
      <c r="S12" s="3405">
        <f t="shared" si="0"/>
        <v>100</v>
      </c>
      <c r="T12" s="3923" t="s">
        <v>13</v>
      </c>
      <c r="U12" s="3405">
        <f t="shared" si="1"/>
        <v>100</v>
      </c>
      <c r="V12" s="3923" t="s">
        <v>13</v>
      </c>
      <c r="W12" s="3405">
        <f t="shared" si="2"/>
        <v>100</v>
      </c>
      <c r="X12" s="504"/>
      <c r="Y12" s="4897"/>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896"/>
      <c r="Q13" s="3026">
        <f t="shared" si="6"/>
        <v>111</v>
      </c>
      <c r="R13" s="3923" t="s">
        <v>13</v>
      </c>
      <c r="S13" s="3405">
        <f t="shared" si="0"/>
        <v>100</v>
      </c>
      <c r="T13" s="3923" t="s">
        <v>13</v>
      </c>
      <c r="U13" s="3405">
        <f t="shared" si="1"/>
        <v>100</v>
      </c>
      <c r="V13" s="3923" t="s">
        <v>13</v>
      </c>
      <c r="W13" s="3405">
        <f t="shared" si="2"/>
        <v>100</v>
      </c>
      <c r="X13" s="504"/>
      <c r="Y13" s="4897"/>
      <c r="Z13" s="28">
        <f t="shared" si="7"/>
        <v>111</v>
      </c>
      <c r="AA13" s="505">
        <f t="shared" si="3"/>
        <v>1</v>
      </c>
      <c r="AB13" s="505">
        <f t="shared" si="4"/>
        <v>1</v>
      </c>
      <c r="AC13" s="505">
        <f t="shared" si="5"/>
        <v>1</v>
      </c>
    </row>
    <row r="14" spans="1:29" ht="15.75"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896"/>
      <c r="Q14" s="3026">
        <f t="shared" si="6"/>
        <v>111</v>
      </c>
      <c r="R14" s="3923" t="s">
        <v>13</v>
      </c>
      <c r="S14" s="3405">
        <f t="shared" si="0"/>
        <v>100</v>
      </c>
      <c r="T14" s="3923" t="s">
        <v>13</v>
      </c>
      <c r="U14" s="3405">
        <f t="shared" si="1"/>
        <v>100</v>
      </c>
      <c r="V14" s="3923" t="s">
        <v>13</v>
      </c>
      <c r="W14" s="3405">
        <f t="shared" si="2"/>
        <v>100</v>
      </c>
      <c r="X14" s="504"/>
      <c r="Y14" s="4897"/>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32" t="s">
        <v>1598</v>
      </c>
      <c r="Q15" s="1618" t="str">
        <f t="shared" si="6"/>
        <v>商业繁华度</v>
      </c>
      <c r="R15" s="4044" t="s">
        <v>13</v>
      </c>
      <c r="S15" s="3406">
        <f t="shared" si="0"/>
        <v>100</v>
      </c>
      <c r="T15" s="4044" t="s">
        <v>13</v>
      </c>
      <c r="U15" s="3406">
        <f t="shared" si="1"/>
        <v>100</v>
      </c>
      <c r="V15" s="4044" t="s">
        <v>13</v>
      </c>
      <c r="W15" s="3406">
        <f t="shared" si="2"/>
        <v>100</v>
      </c>
      <c r="X15" s="963"/>
      <c r="Y15" s="4925" t="s">
        <v>1598</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33"/>
      <c r="Q16" s="1618"/>
      <c r="R16" s="4044"/>
      <c r="S16" s="3406"/>
      <c r="T16" s="4044"/>
      <c r="U16" s="3406"/>
      <c r="V16" s="4044"/>
      <c r="W16" s="3406"/>
      <c r="X16" s="963"/>
      <c r="Y16" s="4926"/>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33"/>
      <c r="Q17" s="1618" t="str">
        <f>B17</f>
        <v>交通便捷度</v>
      </c>
      <c r="R17" s="4044" t="s">
        <v>13</v>
      </c>
      <c r="S17" s="3406">
        <f>F17</f>
        <v>100</v>
      </c>
      <c r="T17" s="4044" t="s">
        <v>13</v>
      </c>
      <c r="U17" s="3406">
        <f>H17</f>
        <v>100</v>
      </c>
      <c r="V17" s="4044" t="s">
        <v>13</v>
      </c>
      <c r="W17" s="3406">
        <f>J17</f>
        <v>100</v>
      </c>
      <c r="X17" s="963"/>
      <c r="Y17" s="4926"/>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33"/>
      <c r="Q18" s="1618"/>
      <c r="R18" s="4044"/>
      <c r="S18" s="3406"/>
      <c r="T18" s="4044"/>
      <c r="U18" s="3406"/>
      <c r="V18" s="4044"/>
      <c r="W18" s="3406"/>
      <c r="X18" s="963"/>
      <c r="Y18" s="4926"/>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33"/>
      <c r="Q19" s="1618" t="str">
        <f>B19</f>
        <v>公共配套设施</v>
      </c>
      <c r="R19" s="4044" t="s">
        <v>13</v>
      </c>
      <c r="S19" s="3406">
        <f>F19</f>
        <v>100</v>
      </c>
      <c r="T19" s="4044" t="s">
        <v>13</v>
      </c>
      <c r="U19" s="3406">
        <f>H19</f>
        <v>100</v>
      </c>
      <c r="V19" s="4044" t="s">
        <v>13</v>
      </c>
      <c r="W19" s="3406">
        <f>J19</f>
        <v>100</v>
      </c>
      <c r="X19" s="963"/>
      <c r="Y19" s="4926"/>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33"/>
      <c r="Q20" s="1618"/>
      <c r="R20" s="4044"/>
      <c r="S20" s="3406"/>
      <c r="T20" s="4044"/>
      <c r="U20" s="3406"/>
      <c r="V20" s="4044"/>
      <c r="W20" s="3406"/>
      <c r="X20" s="963"/>
      <c r="Y20" s="4926"/>
      <c r="Z20" s="964"/>
      <c r="AA20" s="961">
        <v>1</v>
      </c>
      <c r="AB20" s="961">
        <v>1</v>
      </c>
      <c r="AC20" s="961">
        <v>1</v>
      </c>
    </row>
    <row r="21" spans="1:29" ht="28.5">
      <c r="A21" s="260"/>
      <c r="B21" s="3040" t="s">
        <v>1686</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33"/>
      <c r="Q21" s="1618" t="str">
        <f>B21</f>
        <v>基础设施水平</v>
      </c>
      <c r="R21" s="4044" t="s">
        <v>13</v>
      </c>
      <c r="S21" s="3406">
        <f>F21</f>
        <v>100</v>
      </c>
      <c r="T21" s="4044" t="s">
        <v>13</v>
      </c>
      <c r="U21" s="3406">
        <f>H21</f>
        <v>100</v>
      </c>
      <c r="V21" s="4044" t="s">
        <v>13</v>
      </c>
      <c r="W21" s="3406">
        <f>J21</f>
        <v>100</v>
      </c>
      <c r="X21" s="963"/>
      <c r="Y21" s="4926"/>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33"/>
      <c r="Q22" s="1618"/>
      <c r="R22" s="4044"/>
      <c r="S22" s="3406"/>
      <c r="T22" s="4044"/>
      <c r="U22" s="3406"/>
      <c r="V22" s="4044"/>
      <c r="W22" s="3406"/>
      <c r="X22" s="963"/>
      <c r="Y22" s="4926"/>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33"/>
      <c r="Q23" s="1618" t="str">
        <f>B23</f>
        <v>自然及人文环境</v>
      </c>
      <c r="R23" s="4044" t="s">
        <v>13</v>
      </c>
      <c r="S23" s="3406">
        <f>F23</f>
        <v>100</v>
      </c>
      <c r="T23" s="4044" t="s">
        <v>13</v>
      </c>
      <c r="U23" s="3406">
        <f>H23</f>
        <v>100</v>
      </c>
      <c r="V23" s="4044" t="s">
        <v>13</v>
      </c>
      <c r="W23" s="3406">
        <f>J23</f>
        <v>100</v>
      </c>
      <c r="X23" s="963"/>
      <c r="Y23" s="4926"/>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33"/>
      <c r="Q24" s="1618"/>
      <c r="R24" s="4044"/>
      <c r="S24" s="3406"/>
      <c r="T24" s="4044"/>
      <c r="U24" s="3406"/>
      <c r="V24" s="4044"/>
      <c r="W24" s="3406"/>
      <c r="X24" s="963"/>
      <c r="Y24" s="4926"/>
      <c r="Z24" s="964"/>
      <c r="AA24" s="961">
        <v>1</v>
      </c>
      <c r="AB24" s="961">
        <v>1</v>
      </c>
      <c r="AC24" s="961">
        <v>1</v>
      </c>
    </row>
    <row r="25" spans="1:29" ht="15">
      <c r="A25" s="260"/>
      <c r="B25" s="3028" t="s">
        <v>1687</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33"/>
      <c r="Q25" s="1618" t="str">
        <f t="shared" ref="Q25:Q46" si="11">B25</f>
        <v>临街状况</v>
      </c>
      <c r="R25" s="4044" t="s">
        <v>13</v>
      </c>
      <c r="S25" s="3406">
        <f>F25</f>
        <v>100</v>
      </c>
      <c r="T25" s="4044" t="s">
        <v>13</v>
      </c>
      <c r="U25" s="3406">
        <f>H25</f>
        <v>100</v>
      </c>
      <c r="V25" s="4044" t="s">
        <v>13</v>
      </c>
      <c r="W25" s="3406">
        <f>J25</f>
        <v>100</v>
      </c>
      <c r="X25" s="963"/>
      <c r="Y25" s="4926"/>
      <c r="Z25" s="964" t="str">
        <f>Q25</f>
        <v>临街状况</v>
      </c>
      <c r="AA25" s="961">
        <f t="shared" si="3"/>
        <v>1</v>
      </c>
      <c r="AB25" s="961">
        <f t="shared" si="4"/>
        <v>1</v>
      </c>
      <c r="AC25" s="961">
        <f t="shared" si="5"/>
        <v>1</v>
      </c>
    </row>
    <row r="26" spans="1:29" ht="15">
      <c r="A26" s="260"/>
      <c r="B26" s="3041" t="s">
        <v>1688</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33"/>
      <c r="Q26" s="1618" t="str">
        <f t="shared" si="11"/>
        <v>平面位置/可视性</v>
      </c>
      <c r="R26" s="4044" t="s">
        <v>13</v>
      </c>
      <c r="S26" s="3406">
        <f>F26</f>
        <v>100</v>
      </c>
      <c r="T26" s="4044" t="s">
        <v>13</v>
      </c>
      <c r="U26" s="3406">
        <f>H26</f>
        <v>100</v>
      </c>
      <c r="V26" s="4044" t="s">
        <v>13</v>
      </c>
      <c r="W26" s="3406">
        <f>J26</f>
        <v>100</v>
      </c>
      <c r="X26" s="963"/>
      <c r="Y26" s="4926"/>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33"/>
      <c r="Q27" s="3026" t="str">
        <f t="shared" si="11"/>
        <v>人流量</v>
      </c>
      <c r="R27" s="3923" t="s">
        <v>13</v>
      </c>
      <c r="S27" s="3405">
        <f>F27</f>
        <v>100</v>
      </c>
      <c r="T27" s="3923" t="s">
        <v>13</v>
      </c>
      <c r="U27" s="3405">
        <f>H27</f>
        <v>100</v>
      </c>
      <c r="V27" s="3923" t="s">
        <v>13</v>
      </c>
      <c r="W27" s="3405">
        <f>J27</f>
        <v>100</v>
      </c>
      <c r="X27" s="504"/>
      <c r="Y27" s="4926"/>
      <c r="Z27" s="28" t="str">
        <f>Q27</f>
        <v>人流量</v>
      </c>
      <c r="AA27" s="961">
        <f>D27/F27</f>
        <v>1</v>
      </c>
      <c r="AB27" s="961">
        <f>D27/H27</f>
        <v>1</v>
      </c>
      <c r="AC27" s="961">
        <f>D27/J27</f>
        <v>1</v>
      </c>
    </row>
    <row r="28" spans="1:29" ht="15">
      <c r="A28" s="260"/>
      <c r="B28" s="3028" t="s">
        <v>1690</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33"/>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26"/>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33"/>
      <c r="Q29" s="1618">
        <f t="shared" si="11"/>
        <v>111</v>
      </c>
      <c r="R29" s="4044" t="s">
        <v>13</v>
      </c>
      <c r="S29" s="3406">
        <f t="shared" si="12"/>
        <v>100</v>
      </c>
      <c r="T29" s="4044" t="s">
        <v>13</v>
      </c>
      <c r="U29" s="3406">
        <f t="shared" si="13"/>
        <v>100</v>
      </c>
      <c r="V29" s="4044" t="s">
        <v>13</v>
      </c>
      <c r="W29" s="3406">
        <f t="shared" si="14"/>
        <v>100</v>
      </c>
      <c r="X29" s="963"/>
      <c r="Y29" s="4926"/>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33"/>
      <c r="Q30" s="1618">
        <f t="shared" si="11"/>
        <v>111</v>
      </c>
      <c r="R30" s="4044" t="s">
        <v>13</v>
      </c>
      <c r="S30" s="3406">
        <f t="shared" si="12"/>
        <v>100</v>
      </c>
      <c r="T30" s="4044" t="s">
        <v>13</v>
      </c>
      <c r="U30" s="3406">
        <f t="shared" si="13"/>
        <v>100</v>
      </c>
      <c r="V30" s="4044" t="s">
        <v>13</v>
      </c>
      <c r="W30" s="3406">
        <f t="shared" si="14"/>
        <v>100</v>
      </c>
      <c r="X30" s="963"/>
      <c r="Y30" s="4926"/>
      <c r="Z30" s="964">
        <f t="shared" si="15"/>
        <v>111</v>
      </c>
      <c r="AA30" s="961">
        <f t="shared" si="3"/>
        <v>1</v>
      </c>
      <c r="AB30" s="961">
        <f t="shared" si="4"/>
        <v>1</v>
      </c>
      <c r="AC30" s="961">
        <f t="shared" si="5"/>
        <v>1</v>
      </c>
    </row>
    <row r="31" spans="1:29" ht="15.75"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33"/>
      <c r="Q31" s="1618">
        <f t="shared" si="11"/>
        <v>111</v>
      </c>
      <c r="R31" s="4044" t="s">
        <v>13</v>
      </c>
      <c r="S31" s="3406">
        <f t="shared" si="12"/>
        <v>100</v>
      </c>
      <c r="T31" s="4044" t="s">
        <v>13</v>
      </c>
      <c r="U31" s="3406">
        <f t="shared" si="13"/>
        <v>100</v>
      </c>
      <c r="V31" s="4044" t="s">
        <v>13</v>
      </c>
      <c r="W31" s="3406">
        <f t="shared" si="14"/>
        <v>100</v>
      </c>
      <c r="X31" s="963"/>
      <c r="Y31" s="4926"/>
      <c r="Z31" s="964">
        <f t="shared" si="15"/>
        <v>111</v>
      </c>
      <c r="AA31" s="961">
        <f t="shared" si="3"/>
        <v>1</v>
      </c>
      <c r="AB31" s="961">
        <f t="shared" si="4"/>
        <v>1</v>
      </c>
      <c r="AC31" s="961">
        <f t="shared" si="5"/>
        <v>1</v>
      </c>
    </row>
    <row r="32" spans="1:29" ht="15">
      <c r="A32" s="268" t="s">
        <v>1601</v>
      </c>
      <c r="B32" s="3033" t="s">
        <v>1691</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27" t="s">
        <v>1603</v>
      </c>
      <c r="Q32" s="1618" t="str">
        <f t="shared" si="11"/>
        <v>商业类型</v>
      </c>
      <c r="R32" s="4044" t="s">
        <v>13</v>
      </c>
      <c r="S32" s="3406">
        <f t="shared" si="12"/>
        <v>100</v>
      </c>
      <c r="T32" s="4044" t="s">
        <v>13</v>
      </c>
      <c r="U32" s="3406">
        <f t="shared" si="13"/>
        <v>100</v>
      </c>
      <c r="V32" s="4044" t="s">
        <v>13</v>
      </c>
      <c r="W32" s="3406">
        <f t="shared" si="14"/>
        <v>100</v>
      </c>
      <c r="X32" s="963"/>
      <c r="Y32" s="4930"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28"/>
      <c r="Q33" s="3106" t="str">
        <f t="shared" si="11"/>
        <v>项目建筑规模</v>
      </c>
      <c r="R33" s="4045" t="s">
        <v>13</v>
      </c>
      <c r="S33" s="3407" t="e">
        <f t="shared" si="12"/>
        <v>#N/A</v>
      </c>
      <c r="T33" s="4045" t="s">
        <v>13</v>
      </c>
      <c r="U33" s="3407" t="e">
        <f t="shared" si="13"/>
        <v>#N/A</v>
      </c>
      <c r="V33" s="4045" t="s">
        <v>13</v>
      </c>
      <c r="W33" s="3407" t="e">
        <f t="shared" si="14"/>
        <v>#N/A</v>
      </c>
      <c r="X33" s="507"/>
      <c r="Y33" s="4930"/>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28"/>
      <c r="Q34" s="1618" t="str">
        <f t="shared" si="11"/>
        <v>建筑结构</v>
      </c>
      <c r="R34" s="4044" t="s">
        <v>13</v>
      </c>
      <c r="S34" s="3406">
        <f t="shared" si="12"/>
        <v>100</v>
      </c>
      <c r="T34" s="4044" t="s">
        <v>13</v>
      </c>
      <c r="U34" s="3406">
        <f t="shared" si="13"/>
        <v>100</v>
      </c>
      <c r="V34" s="4044" t="s">
        <v>13</v>
      </c>
      <c r="W34" s="3406">
        <f t="shared" si="14"/>
        <v>100</v>
      </c>
      <c r="X34" s="963"/>
      <c r="Y34" s="4930"/>
      <c r="Z34" s="964" t="str">
        <f t="shared" si="15"/>
        <v>建筑结构</v>
      </c>
      <c r="AA34" s="961">
        <f t="shared" si="3"/>
        <v>1</v>
      </c>
      <c r="AB34" s="961">
        <f t="shared" si="4"/>
        <v>1</v>
      </c>
      <c r="AC34" s="961">
        <f t="shared" si="5"/>
        <v>1</v>
      </c>
    </row>
    <row r="35" spans="1:29" ht="15">
      <c r="A35" s="286"/>
      <c r="B35" s="3028" t="s">
        <v>1692</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28"/>
      <c r="Q35" s="1618" t="str">
        <f t="shared" si="11"/>
        <v>公共部分装修</v>
      </c>
      <c r="R35" s="4044" t="s">
        <v>13</v>
      </c>
      <c r="S35" s="3406">
        <f t="shared" si="12"/>
        <v>100</v>
      </c>
      <c r="T35" s="4044" t="s">
        <v>13</v>
      </c>
      <c r="U35" s="3406">
        <f t="shared" si="13"/>
        <v>100</v>
      </c>
      <c r="V35" s="4044" t="s">
        <v>13</v>
      </c>
      <c r="W35" s="3406">
        <f t="shared" si="14"/>
        <v>100</v>
      </c>
      <c r="X35" s="963"/>
      <c r="Y35" s="4930"/>
      <c r="Z35" s="964" t="str">
        <f t="shared" si="15"/>
        <v>公共部分装修</v>
      </c>
      <c r="AA35" s="961">
        <f t="shared" si="3"/>
        <v>1</v>
      </c>
      <c r="AB35" s="961">
        <f t="shared" si="4"/>
        <v>1</v>
      </c>
      <c r="AC35" s="961">
        <f t="shared" si="5"/>
        <v>1</v>
      </c>
    </row>
    <row r="36" spans="1:29" ht="15">
      <c r="A36" s="286"/>
      <c r="B36" s="3028" t="s">
        <v>1693</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28"/>
      <c r="Q36" s="1618" t="str">
        <f t="shared" si="11"/>
        <v>成新度</v>
      </c>
      <c r="R36" s="4044" t="s">
        <v>13</v>
      </c>
      <c r="S36" s="3406" t="e">
        <f t="shared" si="12"/>
        <v>#N/A</v>
      </c>
      <c r="T36" s="4044" t="s">
        <v>13</v>
      </c>
      <c r="U36" s="3406" t="e">
        <f t="shared" si="13"/>
        <v>#N/A</v>
      </c>
      <c r="V36" s="4044" t="s">
        <v>13</v>
      </c>
      <c r="W36" s="3406" t="e">
        <f t="shared" si="14"/>
        <v>#N/A</v>
      </c>
      <c r="X36" s="963"/>
      <c r="Y36" s="4930"/>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28"/>
      <c r="Q37" s="3026" t="str">
        <f t="shared" si="11"/>
        <v>市政基础设施</v>
      </c>
      <c r="R37" s="3923" t="s">
        <v>13</v>
      </c>
      <c r="S37" s="3405">
        <f t="shared" si="12"/>
        <v>100</v>
      </c>
      <c r="T37" s="3923" t="s">
        <v>13</v>
      </c>
      <c r="U37" s="3405">
        <f t="shared" si="13"/>
        <v>100</v>
      </c>
      <c r="V37" s="3923" t="s">
        <v>13</v>
      </c>
      <c r="W37" s="3405">
        <f t="shared" si="14"/>
        <v>100</v>
      </c>
      <c r="X37" s="504"/>
      <c r="Y37" s="4930"/>
      <c r="Z37" s="28" t="str">
        <f t="shared" si="15"/>
        <v>市政基础设施</v>
      </c>
      <c r="AA37" s="505">
        <f t="shared" si="3"/>
        <v>1</v>
      </c>
      <c r="AB37" s="505">
        <f t="shared" si="4"/>
        <v>1</v>
      </c>
      <c r="AC37" s="505">
        <f t="shared" si="5"/>
        <v>1</v>
      </c>
    </row>
    <row r="38" spans="1:29" ht="15">
      <c r="A38" s="286"/>
      <c r="B38" s="3028" t="s">
        <v>1695</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28" t="s">
        <v>1603</v>
      </c>
      <c r="Q38" s="1618" t="str">
        <f t="shared" si="11"/>
        <v>业态</v>
      </c>
      <c r="R38" s="4044" t="s">
        <v>13</v>
      </c>
      <c r="S38" s="3406">
        <f t="shared" si="12"/>
        <v>100</v>
      </c>
      <c r="T38" s="4044" t="s">
        <v>13</v>
      </c>
      <c r="U38" s="3406">
        <f t="shared" si="13"/>
        <v>100</v>
      </c>
      <c r="V38" s="4044" t="s">
        <v>13</v>
      </c>
      <c r="W38" s="3406">
        <f t="shared" si="14"/>
        <v>100</v>
      </c>
      <c r="X38" s="963"/>
      <c r="Y38" s="4930" t="s">
        <v>1603</v>
      </c>
      <c r="Z38" s="964" t="str">
        <f t="shared" si="15"/>
        <v>业态</v>
      </c>
      <c r="AA38" s="961">
        <f t="shared" si="3"/>
        <v>1</v>
      </c>
      <c r="AB38" s="961">
        <f t="shared" si="4"/>
        <v>1</v>
      </c>
      <c r="AC38" s="961">
        <f t="shared" si="5"/>
        <v>1</v>
      </c>
    </row>
    <row r="39" spans="1:29" ht="15">
      <c r="A39" s="286"/>
      <c r="B39" s="3028" t="s">
        <v>1696</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28"/>
      <c r="Q39" s="1618" t="str">
        <f t="shared" si="11"/>
        <v>层高</v>
      </c>
      <c r="R39" s="4044" t="s">
        <v>13</v>
      </c>
      <c r="S39" s="3406">
        <f t="shared" si="12"/>
        <v>100</v>
      </c>
      <c r="T39" s="4044" t="s">
        <v>13</v>
      </c>
      <c r="U39" s="3406">
        <f t="shared" si="13"/>
        <v>100</v>
      </c>
      <c r="V39" s="4044" t="s">
        <v>13</v>
      </c>
      <c r="W39" s="3406">
        <f t="shared" si="14"/>
        <v>100</v>
      </c>
      <c r="X39" s="963"/>
      <c r="Y39" s="4930"/>
      <c r="Z39" s="964" t="str">
        <f t="shared" si="15"/>
        <v>层高</v>
      </c>
      <c r="AA39" s="961">
        <f t="shared" si="3"/>
        <v>1</v>
      </c>
      <c r="AB39" s="961">
        <f t="shared" si="4"/>
        <v>1</v>
      </c>
      <c r="AC39" s="961">
        <f t="shared" si="5"/>
        <v>1</v>
      </c>
    </row>
    <row r="40" spans="1:29" ht="15">
      <c r="A40" s="286"/>
      <c r="B40" s="3028" t="s">
        <v>1697</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28"/>
      <c r="Q40" s="1618" t="str">
        <f t="shared" si="11"/>
        <v>单套建筑面积</v>
      </c>
      <c r="R40" s="4044" t="s">
        <v>13</v>
      </c>
      <c r="S40" s="3406">
        <f t="shared" si="12"/>
        <v>100</v>
      </c>
      <c r="T40" s="4044" t="s">
        <v>13</v>
      </c>
      <c r="U40" s="3406">
        <f t="shared" si="13"/>
        <v>100</v>
      </c>
      <c r="V40" s="4044" t="s">
        <v>13</v>
      </c>
      <c r="W40" s="3406">
        <f t="shared" si="14"/>
        <v>100</v>
      </c>
      <c r="X40" s="963"/>
      <c r="Y40" s="4930"/>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28"/>
      <c r="Q41" s="3106" t="str">
        <f t="shared" si="11"/>
        <v>进深比</v>
      </c>
      <c r="R41" s="4045" t="s">
        <v>13</v>
      </c>
      <c r="S41" s="3407">
        <f t="shared" si="12"/>
        <v>100</v>
      </c>
      <c r="T41" s="4045" t="s">
        <v>13</v>
      </c>
      <c r="U41" s="3407">
        <f t="shared" si="13"/>
        <v>100</v>
      </c>
      <c r="V41" s="4045" t="s">
        <v>13</v>
      </c>
      <c r="W41" s="3407">
        <f t="shared" si="14"/>
        <v>100</v>
      </c>
      <c r="X41" s="507"/>
      <c r="Y41" s="4930"/>
      <c r="Z41" s="508" t="str">
        <f t="shared" si="15"/>
        <v>进深比</v>
      </c>
      <c r="AA41" s="961">
        <f t="shared" si="3"/>
        <v>1</v>
      </c>
      <c r="AB41" s="961">
        <f t="shared" si="4"/>
        <v>1</v>
      </c>
      <c r="AC41" s="961">
        <f t="shared" si="5"/>
        <v>1</v>
      </c>
    </row>
    <row r="42" spans="1:29" ht="15">
      <c r="A42" s="286"/>
      <c r="B42" s="3028" t="s">
        <v>1699</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28"/>
      <c r="Q42" s="1618" t="str">
        <f t="shared" si="11"/>
        <v>内部装修</v>
      </c>
      <c r="R42" s="4044" t="s">
        <v>13</v>
      </c>
      <c r="S42" s="3406">
        <f t="shared" si="12"/>
        <v>100</v>
      </c>
      <c r="T42" s="4044" t="s">
        <v>13</v>
      </c>
      <c r="U42" s="3406">
        <f t="shared" si="13"/>
        <v>100</v>
      </c>
      <c r="V42" s="4044" t="s">
        <v>13</v>
      </c>
      <c r="W42" s="3406">
        <f t="shared" si="14"/>
        <v>100</v>
      </c>
      <c r="X42" s="963"/>
      <c r="Y42" s="4930"/>
      <c r="Z42" s="964" t="str">
        <f t="shared" si="15"/>
        <v>内部装修</v>
      </c>
      <c r="AA42" s="961">
        <f t="shared" si="3"/>
        <v>1</v>
      </c>
      <c r="AB42" s="961">
        <f t="shared" si="4"/>
        <v>1</v>
      </c>
      <c r="AC42" s="961">
        <f t="shared" si="5"/>
        <v>1</v>
      </c>
    </row>
    <row r="43" spans="1:29" ht="15">
      <c r="A43" s="286"/>
      <c r="B43" s="3028" t="s">
        <v>1614</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28"/>
      <c r="Q43" s="1618" t="str">
        <f t="shared" si="11"/>
        <v>内部装修维护情况</v>
      </c>
      <c r="R43" s="4044" t="s">
        <v>13</v>
      </c>
      <c r="S43" s="3406">
        <f t="shared" si="12"/>
        <v>100</v>
      </c>
      <c r="T43" s="4044" t="s">
        <v>13</v>
      </c>
      <c r="U43" s="3406">
        <f t="shared" si="13"/>
        <v>100</v>
      </c>
      <c r="V43" s="4044" t="s">
        <v>13</v>
      </c>
      <c r="W43" s="3406">
        <f t="shared" si="14"/>
        <v>100</v>
      </c>
      <c r="X43" s="963"/>
      <c r="Y43" s="4930"/>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28"/>
      <c r="Q44" s="3026">
        <f t="shared" si="11"/>
        <v>111</v>
      </c>
      <c r="R44" s="3923" t="s">
        <v>13</v>
      </c>
      <c r="S44" s="3405">
        <f t="shared" si="12"/>
        <v>100</v>
      </c>
      <c r="T44" s="3923" t="s">
        <v>13</v>
      </c>
      <c r="U44" s="3405">
        <f t="shared" si="13"/>
        <v>100</v>
      </c>
      <c r="V44" s="3923" t="s">
        <v>13</v>
      </c>
      <c r="W44" s="3405">
        <f t="shared" si="14"/>
        <v>100</v>
      </c>
      <c r="X44" s="504"/>
      <c r="Y44" s="4930"/>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28"/>
      <c r="Q45" s="1618">
        <f t="shared" si="11"/>
        <v>111</v>
      </c>
      <c r="R45" s="4044" t="s">
        <v>13</v>
      </c>
      <c r="S45" s="3406">
        <f t="shared" si="12"/>
        <v>100</v>
      </c>
      <c r="T45" s="4044" t="s">
        <v>13</v>
      </c>
      <c r="U45" s="3406">
        <f t="shared" si="13"/>
        <v>100</v>
      </c>
      <c r="V45" s="4044" t="s">
        <v>13</v>
      </c>
      <c r="W45" s="3406">
        <f t="shared" si="14"/>
        <v>100</v>
      </c>
      <c r="X45" s="963"/>
      <c r="Y45" s="4930"/>
      <c r="Z45" s="964">
        <f t="shared" si="15"/>
        <v>111</v>
      </c>
      <c r="AA45" s="961">
        <f t="shared" si="3"/>
        <v>1</v>
      </c>
      <c r="AB45" s="961">
        <f t="shared" si="4"/>
        <v>1</v>
      </c>
      <c r="AC45" s="961">
        <f t="shared" si="5"/>
        <v>1</v>
      </c>
    </row>
    <row r="46" spans="1:29" ht="15.75"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29"/>
      <c r="Q46" s="1618">
        <f t="shared" si="11"/>
        <v>111</v>
      </c>
      <c r="R46" s="4044" t="s">
        <v>13</v>
      </c>
      <c r="S46" s="3406">
        <f t="shared" si="12"/>
        <v>100</v>
      </c>
      <c r="T46" s="4044" t="s">
        <v>13</v>
      </c>
      <c r="U46" s="3406">
        <f t="shared" si="13"/>
        <v>100</v>
      </c>
      <c r="V46" s="4044" t="s">
        <v>13</v>
      </c>
      <c r="W46" s="3406">
        <f t="shared" si="14"/>
        <v>100</v>
      </c>
      <c r="X46" s="963"/>
      <c r="Y46" s="4931"/>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23" t="str">
        <f>A47</f>
        <v>成交单价（元/平方米）</v>
      </c>
      <c r="Q47" s="4923"/>
      <c r="R47" s="4924">
        <f>E47</f>
        <v>0</v>
      </c>
      <c r="S47" s="4924"/>
      <c r="T47" s="4924">
        <f>G47</f>
        <v>0</v>
      </c>
      <c r="U47" s="4924"/>
      <c r="V47" s="4924">
        <f>I47</f>
        <v>0</v>
      </c>
      <c r="W47" s="4924"/>
      <c r="X47" s="493"/>
      <c r="Y47" s="509"/>
      <c r="Z47" s="493"/>
      <c r="AA47" s="493"/>
      <c r="AB47" s="493"/>
      <c r="AC47" s="493"/>
    </row>
    <row r="48" spans="1:29" ht="15.75" thickBot="1">
      <c r="A48" s="295" t="s">
        <v>1700</v>
      </c>
      <c r="B48" s="296"/>
      <c r="C48" s="4042" t="e">
        <f>R49</f>
        <v>#DIV/0!</v>
      </c>
      <c r="D48" s="4199" t="s">
        <v>2042</v>
      </c>
      <c r="E48" s="4053" t="e">
        <f>R48</f>
        <v>#DIV/0!</v>
      </c>
      <c r="F48" s="3042"/>
      <c r="G48" s="4042" t="e">
        <f>T48</f>
        <v>#DIV/0!</v>
      </c>
      <c r="H48" s="3042"/>
      <c r="I48" s="4053" t="e">
        <f>V48</f>
        <v>#DIV/0!</v>
      </c>
      <c r="J48" s="3042"/>
      <c r="K48" s="3097">
        <f>F48+H48+J48</f>
        <v>0</v>
      </c>
      <c r="L48" s="2155"/>
      <c r="M48" s="2156"/>
      <c r="N48" s="2147"/>
      <c r="O48" s="2156"/>
      <c r="P48" s="4923" t="str">
        <f>A48</f>
        <v>比较价值（元/平方米）</v>
      </c>
      <c r="Q48" s="4923"/>
      <c r="R48" s="4924" t="e">
        <f>IF(F1="售价",ROUND(PRODUCT(R47,AA7:AA46),0),ROUND(PRODUCT(R47,AA7:AA46),1))</f>
        <v>#DIV/0!</v>
      </c>
      <c r="S48" s="4924"/>
      <c r="T48" s="4924" t="e">
        <f>IF(F1="售价",ROUND(PRODUCT(T47,AB7:AB46),0),ROUND(PRODUCT(T47,AB7:AB46),1))</f>
        <v>#DIV/0!</v>
      </c>
      <c r="U48" s="4924"/>
      <c r="V48" s="4924" t="e">
        <f>IF(F1="售价",ROUND(PRODUCT(V47,AC7:AC46),0),ROUND(PRODUCT(V47,AC7:AC46),1))</f>
        <v>#DIV/0!</v>
      </c>
      <c r="W48" s="4924"/>
      <c r="X48" s="493"/>
      <c r="Y48" s="493"/>
      <c r="Z48" s="493"/>
      <c r="AA48" s="493"/>
      <c r="AB48" s="493"/>
      <c r="AC48" s="493"/>
    </row>
    <row r="49" spans="1:29" ht="15.75" thickBot="1">
      <c r="A49" s="297" t="s">
        <v>1701</v>
      </c>
      <c r="B49" s="298"/>
      <c r="C49" s="4054" t="e">
        <f>R49</f>
        <v>#DIV/0!</v>
      </c>
      <c r="D49" s="812"/>
      <c r="E49" s="812"/>
      <c r="F49" s="812"/>
      <c r="G49" s="812"/>
      <c r="H49" s="812"/>
      <c r="I49" s="812"/>
      <c r="J49" s="812"/>
      <c r="K49" s="511"/>
      <c r="L49" s="2155"/>
      <c r="M49" s="2156"/>
      <c r="N49" s="2147"/>
      <c r="O49" s="2156"/>
      <c r="P49" s="4920" t="str">
        <f>A49</f>
        <v>估价对象XX用房的比较价值（楼面单价，元/平方米）</v>
      </c>
      <c r="Q49" s="4921"/>
      <c r="R49" s="4922" t="e">
        <f>IF(F1="售价",ROUND(IF(D48="简单平均",AVERAGE(R48:V48),R48*F48+T48*H48+V48*J48),0),ROUND(IF(D48="简单平均",AVERAGE(R48:V48),R48*F48+T48*H48+V48*J48),1))</f>
        <v>#DIV/0!</v>
      </c>
      <c r="S49" s="4922"/>
      <c r="T49" s="4922"/>
      <c r="U49" s="4922"/>
      <c r="V49" s="4922"/>
      <c r="W49" s="492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18">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估价对象为北京市房地产，为所有。根据《国有土地使用证》[]，估价对象（分摊）出让国有建设用地使用权面积为4735.72平方米，建筑面积为1052.8平方米。</v>
      </c>
    </row>
    <row r="8" spans="1:1" ht="57.75">
      <c r="A8" s="1089" t="s">
        <v>885</v>
      </c>
    </row>
    <row r="9" spans="1:1" ht="18.75">
      <c r="A9" s="1088" t="s">
        <v>886</v>
      </c>
    </row>
    <row r="10" spans="1:1" ht="18">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估价对象为北京市房地产,属开发建设的，该项目尚在开发建设中。根据《国有土地使用证》[]，估价对象（分摊）出让国有建设用地使用权面积为4735.72平方米，规划建筑面积为1052.8平方米。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2026年2月24日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24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1052.8</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53" t="s">
        <v>1682</v>
      </c>
      <c r="Q4" s="4954"/>
      <c r="R4" s="4936" t="s">
        <v>1678</v>
      </c>
      <c r="S4" s="4937"/>
      <c r="T4" s="4936" t="s">
        <v>1679</v>
      </c>
      <c r="U4" s="4937"/>
      <c r="V4" s="4957" t="s">
        <v>1680</v>
      </c>
      <c r="W4" s="4957"/>
      <c r="X4" s="1517"/>
      <c r="Y4" s="4959" t="s">
        <v>1682</v>
      </c>
      <c r="Z4" s="4960"/>
      <c r="AA4" s="4935" t="s">
        <v>1678</v>
      </c>
      <c r="AB4" s="4935" t="s">
        <v>1679</v>
      </c>
      <c r="AC4" s="4946" t="s">
        <v>1680</v>
      </c>
    </row>
    <row r="5" spans="1:29" ht="15">
      <c r="A5" s="244"/>
      <c r="B5" s="245"/>
      <c r="C5" s="4940" t="s">
        <v>1580</v>
      </c>
      <c r="D5" s="4941"/>
      <c r="E5" s="4938" t="s">
        <v>1581</v>
      </c>
      <c r="F5" s="4939"/>
      <c r="G5" s="4940" t="s">
        <v>1582</v>
      </c>
      <c r="H5" s="4941"/>
      <c r="I5" s="4940" t="s">
        <v>1583</v>
      </c>
      <c r="J5" s="4941"/>
      <c r="K5" s="406"/>
      <c r="L5" s="2146"/>
      <c r="M5" s="2147"/>
      <c r="N5" s="2147"/>
      <c r="O5" s="2147"/>
      <c r="P5" s="4955"/>
      <c r="Q5" s="4905"/>
      <c r="R5" s="4886"/>
      <c r="S5" s="4887"/>
      <c r="T5" s="4886"/>
      <c r="U5" s="4887"/>
      <c r="V5" s="4910"/>
      <c r="W5" s="4910"/>
      <c r="X5" s="963"/>
      <c r="Y5" s="4915"/>
      <c r="Z5" s="4916"/>
      <c r="AA5" s="4880"/>
      <c r="AB5" s="4880"/>
      <c r="AC5" s="4947"/>
    </row>
    <row r="6" spans="1:29" ht="15.75" thickBot="1">
      <c r="A6" s="246"/>
      <c r="B6" s="247"/>
      <c r="C6" s="4942" t="s">
        <v>1584</v>
      </c>
      <c r="D6" s="4943"/>
      <c r="E6" s="4944" t="s">
        <v>1584</v>
      </c>
      <c r="F6" s="4945"/>
      <c r="G6" s="4942" t="s">
        <v>1584</v>
      </c>
      <c r="H6" s="4943"/>
      <c r="I6" s="4942" t="s">
        <v>1584</v>
      </c>
      <c r="J6" s="4943"/>
      <c r="K6" s="406" t="s">
        <v>1585</v>
      </c>
      <c r="L6" s="2146"/>
      <c r="M6" s="2147"/>
      <c r="N6" s="2147"/>
      <c r="O6" s="2147"/>
      <c r="P6" s="4956"/>
      <c r="Q6" s="4907"/>
      <c r="R6" s="4886"/>
      <c r="S6" s="4887"/>
      <c r="T6" s="4908"/>
      <c r="U6" s="4909"/>
      <c r="V6" s="4910"/>
      <c r="W6" s="4910"/>
      <c r="X6" s="963"/>
      <c r="Y6" s="4917"/>
      <c r="Z6" s="4918"/>
      <c r="AA6" s="4881"/>
      <c r="AB6" s="4881"/>
      <c r="AC6" s="4948"/>
    </row>
    <row r="7" spans="1:29" s="49" customFormat="1" ht="15.75" thickBot="1">
      <c r="A7" s="248" t="s">
        <v>1586</v>
      </c>
      <c r="B7" s="249"/>
      <c r="C7" s="250">
        <f>'数据-取费表'!B2</f>
        <v>46077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4958" t="s">
        <v>1587</v>
      </c>
      <c r="Q7" s="4919"/>
      <c r="R7" s="3923" t="s">
        <v>13</v>
      </c>
      <c r="S7" s="3405">
        <f t="shared" ref="S7:S15" si="0">F7</f>
        <v>0</v>
      </c>
      <c r="T7" s="3923" t="s">
        <v>13</v>
      </c>
      <c r="U7" s="3405">
        <f t="shared" ref="U7:U15" si="1">H7</f>
        <v>0</v>
      </c>
      <c r="V7" s="3923" t="s">
        <v>13</v>
      </c>
      <c r="W7" s="3405">
        <f t="shared" ref="W7:W15" si="2">J7</f>
        <v>0</v>
      </c>
      <c r="X7" s="504"/>
      <c r="Y7" s="4882" t="s">
        <v>1587</v>
      </c>
      <c r="Z7" s="4883"/>
      <c r="AA7" s="505" t="e">
        <f>D7/F7</f>
        <v>#DIV/0!</v>
      </c>
      <c r="AB7" s="505" t="e">
        <f>D7/H7</f>
        <v>#DIV/0!</v>
      </c>
      <c r="AC7" s="1518" t="e">
        <f>D7/J7</f>
        <v>#DIV/0!</v>
      </c>
    </row>
    <row r="8" spans="1:29" s="49" customFormat="1" ht="15.75" thickBot="1">
      <c r="A8" s="248" t="s">
        <v>1588</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4958" t="s">
        <v>1590</v>
      </c>
      <c r="Q8" s="4912"/>
      <c r="R8" s="3923" t="s">
        <v>13</v>
      </c>
      <c r="S8" s="3405">
        <f t="shared" si="0"/>
        <v>100</v>
      </c>
      <c r="T8" s="3923" t="s">
        <v>13</v>
      </c>
      <c r="U8" s="3405">
        <f t="shared" si="1"/>
        <v>100</v>
      </c>
      <c r="V8" s="3923" t="s">
        <v>13</v>
      </c>
      <c r="W8" s="3405">
        <f t="shared" si="2"/>
        <v>100</v>
      </c>
      <c r="X8" s="504"/>
      <c r="Y8" s="4882" t="s">
        <v>1590</v>
      </c>
      <c r="Z8" s="4883"/>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896" t="s">
        <v>1593</v>
      </c>
      <c r="Q9" s="3274" t="str">
        <f t="shared" ref="Q9:Q15" si="6">B9</f>
        <v>用途</v>
      </c>
      <c r="R9" s="3923" t="s">
        <v>13</v>
      </c>
      <c r="S9" s="3405">
        <f t="shared" si="0"/>
        <v>100</v>
      </c>
      <c r="T9" s="3923" t="s">
        <v>13</v>
      </c>
      <c r="U9" s="3405">
        <f t="shared" si="1"/>
        <v>100</v>
      </c>
      <c r="V9" s="3923" t="s">
        <v>13</v>
      </c>
      <c r="W9" s="3405">
        <f t="shared" si="2"/>
        <v>100</v>
      </c>
      <c r="X9" s="504"/>
      <c r="Y9" s="4897"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896"/>
      <c r="Q10" s="3274" t="str">
        <f t="shared" si="6"/>
        <v>土地使用年限（年）</v>
      </c>
      <c r="R10" s="3923" t="s">
        <v>13</v>
      </c>
      <c r="S10" s="3405">
        <f t="shared" si="0"/>
        <v>100</v>
      </c>
      <c r="T10" s="3923" t="s">
        <v>13</v>
      </c>
      <c r="U10" s="3405">
        <f t="shared" si="1"/>
        <v>100</v>
      </c>
      <c r="V10" s="3923" t="s">
        <v>13</v>
      </c>
      <c r="W10" s="3405">
        <f t="shared" si="2"/>
        <v>100</v>
      </c>
      <c r="X10" s="504"/>
      <c r="Y10" s="4897"/>
      <c r="Z10" s="28" t="str">
        <f t="shared" si="7"/>
        <v>土地使用年限（年）</v>
      </c>
      <c r="AA10" s="505">
        <f t="shared" si="3"/>
        <v>1</v>
      </c>
      <c r="AB10" s="505">
        <f t="shared" si="4"/>
        <v>1</v>
      </c>
      <c r="AC10" s="1518">
        <f t="shared" si="5"/>
        <v>1</v>
      </c>
    </row>
    <row r="11" spans="1:29" ht="15">
      <c r="A11" s="260"/>
      <c r="B11" s="258" t="s">
        <v>1596</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896"/>
      <c r="Q11" s="3274" t="str">
        <f t="shared" si="6"/>
        <v>容积率</v>
      </c>
      <c r="R11" s="3923" t="s">
        <v>13</v>
      </c>
      <c r="S11" s="3405">
        <f t="shared" si="0"/>
        <v>100</v>
      </c>
      <c r="T11" s="3923" t="s">
        <v>13</v>
      </c>
      <c r="U11" s="3405">
        <f t="shared" si="1"/>
        <v>100</v>
      </c>
      <c r="V11" s="3923" t="s">
        <v>13</v>
      </c>
      <c r="W11" s="3405">
        <f t="shared" si="2"/>
        <v>100</v>
      </c>
      <c r="X11" s="504"/>
      <c r="Y11" s="4897"/>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896"/>
      <c r="Q12" s="3274">
        <f t="shared" si="6"/>
        <v>111</v>
      </c>
      <c r="R12" s="3923" t="s">
        <v>13</v>
      </c>
      <c r="S12" s="3405">
        <f t="shared" si="0"/>
        <v>100</v>
      </c>
      <c r="T12" s="3923" t="s">
        <v>13</v>
      </c>
      <c r="U12" s="3405">
        <f t="shared" si="1"/>
        <v>100</v>
      </c>
      <c r="V12" s="3923" t="s">
        <v>13</v>
      </c>
      <c r="W12" s="3405">
        <f t="shared" si="2"/>
        <v>100</v>
      </c>
      <c r="X12" s="504"/>
      <c r="Y12" s="4897"/>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896"/>
      <c r="Q13" s="3274">
        <f t="shared" si="6"/>
        <v>111</v>
      </c>
      <c r="R13" s="3923" t="s">
        <v>13</v>
      </c>
      <c r="S13" s="3405">
        <f t="shared" si="0"/>
        <v>100</v>
      </c>
      <c r="T13" s="3923" t="s">
        <v>13</v>
      </c>
      <c r="U13" s="3405">
        <f t="shared" si="1"/>
        <v>100</v>
      </c>
      <c r="V13" s="3923" t="s">
        <v>13</v>
      </c>
      <c r="W13" s="3405">
        <f t="shared" si="2"/>
        <v>100</v>
      </c>
      <c r="X13" s="504"/>
      <c r="Y13" s="4897"/>
      <c r="Z13" s="28">
        <f t="shared" si="7"/>
        <v>111</v>
      </c>
      <c r="AA13" s="505">
        <f t="shared" si="3"/>
        <v>1</v>
      </c>
      <c r="AB13" s="505">
        <f t="shared" si="4"/>
        <v>1</v>
      </c>
      <c r="AC13" s="1518">
        <f t="shared" si="5"/>
        <v>1</v>
      </c>
    </row>
    <row r="14" spans="1:29" ht="15.75"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896"/>
      <c r="Q14" s="3274">
        <f t="shared" si="6"/>
        <v>111</v>
      </c>
      <c r="R14" s="3923" t="s">
        <v>13</v>
      </c>
      <c r="S14" s="3405">
        <f t="shared" si="0"/>
        <v>100</v>
      </c>
      <c r="T14" s="3923" t="s">
        <v>13</v>
      </c>
      <c r="U14" s="3405">
        <f t="shared" si="1"/>
        <v>100</v>
      </c>
      <c r="V14" s="3923" t="s">
        <v>13</v>
      </c>
      <c r="W14" s="3405">
        <f t="shared" si="2"/>
        <v>100</v>
      </c>
      <c r="X14" s="504"/>
      <c r="Y14" s="4897"/>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32" t="s">
        <v>1598</v>
      </c>
      <c r="Q15" s="3277" t="str">
        <f t="shared" si="6"/>
        <v>办公集聚程度</v>
      </c>
      <c r="R15" s="4044" t="s">
        <v>13</v>
      </c>
      <c r="S15" s="3406">
        <f t="shared" si="0"/>
        <v>100</v>
      </c>
      <c r="T15" s="4044" t="s">
        <v>13</v>
      </c>
      <c r="U15" s="3406">
        <f t="shared" si="1"/>
        <v>100</v>
      </c>
      <c r="V15" s="4044" t="s">
        <v>13</v>
      </c>
      <c r="W15" s="3406">
        <f t="shared" si="2"/>
        <v>100</v>
      </c>
      <c r="X15" s="963"/>
      <c r="Y15" s="4925"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33"/>
      <c r="Q16" s="3277"/>
      <c r="R16" s="4044"/>
      <c r="S16" s="3406"/>
      <c r="T16" s="4044"/>
      <c r="U16" s="3406"/>
      <c r="V16" s="4044"/>
      <c r="W16" s="3406"/>
      <c r="X16" s="963"/>
      <c r="Y16" s="4926"/>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33"/>
      <c r="Q17" s="3277" t="str">
        <f>B17</f>
        <v>交通便捷度</v>
      </c>
      <c r="R17" s="4044" t="s">
        <v>13</v>
      </c>
      <c r="S17" s="3406">
        <f>F17</f>
        <v>100</v>
      </c>
      <c r="T17" s="4044" t="s">
        <v>13</v>
      </c>
      <c r="U17" s="3406">
        <f>H17</f>
        <v>100</v>
      </c>
      <c r="V17" s="4044" t="s">
        <v>13</v>
      </c>
      <c r="W17" s="3406">
        <f>J17</f>
        <v>100</v>
      </c>
      <c r="X17" s="963"/>
      <c r="Y17" s="4926"/>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33"/>
      <c r="Q18" s="3277"/>
      <c r="R18" s="4044"/>
      <c r="S18" s="3406"/>
      <c r="T18" s="4044"/>
      <c r="U18" s="3406"/>
      <c r="V18" s="4044"/>
      <c r="W18" s="3406"/>
      <c r="X18" s="963"/>
      <c r="Y18" s="4926"/>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33"/>
      <c r="Q19" s="3277" t="str">
        <f>B19</f>
        <v>公共配套设施</v>
      </c>
      <c r="R19" s="4044" t="s">
        <v>13</v>
      </c>
      <c r="S19" s="3406">
        <f>F19</f>
        <v>100</v>
      </c>
      <c r="T19" s="4044" t="s">
        <v>13</v>
      </c>
      <c r="U19" s="3406">
        <f>H19</f>
        <v>100</v>
      </c>
      <c r="V19" s="4044" t="s">
        <v>13</v>
      </c>
      <c r="W19" s="3406">
        <f>J19</f>
        <v>100</v>
      </c>
      <c r="X19" s="963"/>
      <c r="Y19" s="4926"/>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33"/>
      <c r="Q20" s="3277"/>
      <c r="R20" s="4044"/>
      <c r="S20" s="3406"/>
      <c r="T20" s="4044"/>
      <c r="U20" s="3406"/>
      <c r="V20" s="4044"/>
      <c r="W20" s="3406"/>
      <c r="X20" s="963"/>
      <c r="Y20" s="4926"/>
      <c r="Z20" s="964"/>
      <c r="AA20" s="961">
        <v>1</v>
      </c>
      <c r="AB20" s="961">
        <v>1</v>
      </c>
      <c r="AC20" s="1521">
        <v>1</v>
      </c>
    </row>
    <row r="21" spans="1:29" ht="28.5">
      <c r="A21" s="260"/>
      <c r="B21" s="421" t="s">
        <v>1720</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33"/>
      <c r="Q21" s="3277" t="str">
        <f>B21</f>
        <v>基础设施水平</v>
      </c>
      <c r="R21" s="4044" t="s">
        <v>13</v>
      </c>
      <c r="S21" s="3406">
        <f>F21</f>
        <v>100</v>
      </c>
      <c r="T21" s="4044" t="s">
        <v>13</v>
      </c>
      <c r="U21" s="3406">
        <f>H21</f>
        <v>100</v>
      </c>
      <c r="V21" s="4044" t="s">
        <v>13</v>
      </c>
      <c r="W21" s="3406">
        <f>J21</f>
        <v>100</v>
      </c>
      <c r="X21" s="963"/>
      <c r="Y21" s="4926"/>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33"/>
      <c r="Q22" s="3277"/>
      <c r="R22" s="4044"/>
      <c r="S22" s="3406"/>
      <c r="T22" s="4044"/>
      <c r="U22" s="3406"/>
      <c r="V22" s="4044"/>
      <c r="W22" s="3406"/>
      <c r="X22" s="963"/>
      <c r="Y22" s="4926"/>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33"/>
      <c r="Q23" s="3277" t="str">
        <f>B23</f>
        <v>环境质量</v>
      </c>
      <c r="R23" s="4044" t="s">
        <v>13</v>
      </c>
      <c r="S23" s="3406">
        <f>F23</f>
        <v>100</v>
      </c>
      <c r="T23" s="4044" t="s">
        <v>13</v>
      </c>
      <c r="U23" s="3406">
        <f>H23</f>
        <v>100</v>
      </c>
      <c r="V23" s="4044" t="s">
        <v>13</v>
      </c>
      <c r="W23" s="3406">
        <f>J23</f>
        <v>100</v>
      </c>
      <c r="X23" s="963"/>
      <c r="Y23" s="4926"/>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33"/>
      <c r="Q24" s="3277"/>
      <c r="R24" s="4044"/>
      <c r="S24" s="3406"/>
      <c r="T24" s="4044"/>
      <c r="U24" s="3406"/>
      <c r="V24" s="4044"/>
      <c r="W24" s="3406"/>
      <c r="X24" s="963"/>
      <c r="Y24" s="4926"/>
      <c r="Z24" s="964"/>
      <c r="AA24" s="961">
        <v>1</v>
      </c>
      <c r="AB24" s="961">
        <v>1</v>
      </c>
      <c r="AC24" s="1521">
        <v>1</v>
      </c>
    </row>
    <row r="25" spans="1:29" ht="27">
      <c r="A25" s="244"/>
      <c r="B25" s="419" t="s">
        <v>1722</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33"/>
      <c r="Q25" s="3277" t="str">
        <f>B25</f>
        <v>毗邻道路的类型与等级</v>
      </c>
      <c r="R25" s="4044" t="s">
        <v>13</v>
      </c>
      <c r="S25" s="3406">
        <f>F25</f>
        <v>100</v>
      </c>
      <c r="T25" s="4044" t="s">
        <v>13</v>
      </c>
      <c r="U25" s="3406">
        <f>H25</f>
        <v>100</v>
      </c>
      <c r="V25" s="4044" t="s">
        <v>13</v>
      </c>
      <c r="W25" s="3406">
        <f>J25</f>
        <v>100</v>
      </c>
      <c r="X25" s="963"/>
      <c r="Y25" s="4926"/>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33"/>
      <c r="Q26" s="3277"/>
      <c r="R26" s="4044"/>
      <c r="S26" s="3406"/>
      <c r="T26" s="4044"/>
      <c r="U26" s="3406"/>
      <c r="V26" s="4044"/>
      <c r="W26" s="3406"/>
      <c r="X26" s="963"/>
      <c r="Y26" s="4926"/>
      <c r="Z26" s="964"/>
      <c r="AA26" s="961">
        <v>1</v>
      </c>
      <c r="AB26" s="961">
        <v>1</v>
      </c>
      <c r="AC26" s="1521">
        <v>1</v>
      </c>
    </row>
    <row r="27" spans="1:29" ht="15">
      <c r="A27" s="260"/>
      <c r="B27" s="420" t="s">
        <v>1690</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33"/>
      <c r="Q27" s="3277" t="str">
        <f t="shared" ref="Q27:Q47" si="11">B27</f>
        <v>楼层</v>
      </c>
      <c r="R27" s="4044" t="s">
        <v>13</v>
      </c>
      <c r="S27" s="3406">
        <f>F27</f>
        <v>100</v>
      </c>
      <c r="T27" s="4044" t="s">
        <v>13</v>
      </c>
      <c r="U27" s="3406">
        <f>H27</f>
        <v>100</v>
      </c>
      <c r="V27" s="4044" t="s">
        <v>13</v>
      </c>
      <c r="W27" s="3406">
        <f>J27</f>
        <v>100</v>
      </c>
      <c r="X27" s="963"/>
      <c r="Y27" s="4926"/>
      <c r="Z27" s="964" t="str">
        <f>Q27</f>
        <v>楼层</v>
      </c>
      <c r="AA27" s="961">
        <f t="shared" si="3"/>
        <v>1</v>
      </c>
      <c r="AB27" s="961">
        <f t="shared" si="4"/>
        <v>1</v>
      </c>
      <c r="AC27" s="1521">
        <f t="shared" si="5"/>
        <v>1</v>
      </c>
    </row>
    <row r="28" spans="1:29" s="49" customFormat="1" ht="15">
      <c r="A28" s="263"/>
      <c r="B28" s="419" t="s">
        <v>1723</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33"/>
      <c r="Q28" s="3274" t="str">
        <f t="shared" si="11"/>
        <v>朝向</v>
      </c>
      <c r="R28" s="3923" t="s">
        <v>13</v>
      </c>
      <c r="S28" s="3405">
        <f>F28</f>
        <v>100</v>
      </c>
      <c r="T28" s="3923" t="s">
        <v>13</v>
      </c>
      <c r="U28" s="3405">
        <f>H28</f>
        <v>100</v>
      </c>
      <c r="V28" s="3923" t="s">
        <v>13</v>
      </c>
      <c r="W28" s="3405">
        <f>J28</f>
        <v>100</v>
      </c>
      <c r="X28" s="504"/>
      <c r="Y28" s="4926"/>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33"/>
      <c r="Q29" s="3277">
        <f t="shared" si="11"/>
        <v>111</v>
      </c>
      <c r="R29" s="4044" t="s">
        <v>13</v>
      </c>
      <c r="S29" s="3406">
        <f t="shared" ref="S29:S47" si="12">F29</f>
        <v>100</v>
      </c>
      <c r="T29" s="4044" t="s">
        <v>13</v>
      </c>
      <c r="U29" s="3406">
        <f t="shared" ref="U29:U47" si="13">H29</f>
        <v>100</v>
      </c>
      <c r="V29" s="4044" t="s">
        <v>13</v>
      </c>
      <c r="W29" s="3406">
        <f t="shared" ref="W29:W47" si="14">J29</f>
        <v>100</v>
      </c>
      <c r="X29" s="963"/>
      <c r="Y29" s="4926"/>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33"/>
      <c r="Q30" s="3277">
        <f t="shared" si="11"/>
        <v>111</v>
      </c>
      <c r="R30" s="4044" t="s">
        <v>13</v>
      </c>
      <c r="S30" s="3406">
        <f t="shared" si="12"/>
        <v>100</v>
      </c>
      <c r="T30" s="4044" t="s">
        <v>13</v>
      </c>
      <c r="U30" s="3406">
        <f t="shared" si="13"/>
        <v>100</v>
      </c>
      <c r="V30" s="4044" t="s">
        <v>13</v>
      </c>
      <c r="W30" s="3406">
        <f t="shared" si="14"/>
        <v>100</v>
      </c>
      <c r="X30" s="963"/>
      <c r="Y30" s="4926"/>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33"/>
      <c r="Q31" s="3277">
        <f t="shared" si="11"/>
        <v>111</v>
      </c>
      <c r="R31" s="4044" t="s">
        <v>13</v>
      </c>
      <c r="S31" s="3406">
        <f t="shared" si="12"/>
        <v>100</v>
      </c>
      <c r="T31" s="4044" t="s">
        <v>13</v>
      </c>
      <c r="U31" s="3406">
        <f t="shared" si="13"/>
        <v>100</v>
      </c>
      <c r="V31" s="4044" t="s">
        <v>13</v>
      </c>
      <c r="W31" s="3406">
        <f t="shared" si="14"/>
        <v>100</v>
      </c>
      <c r="X31" s="963"/>
      <c r="Y31" s="4926"/>
      <c r="Z31" s="964">
        <f t="shared" si="15"/>
        <v>111</v>
      </c>
      <c r="AA31" s="961">
        <f t="shared" si="3"/>
        <v>1</v>
      </c>
      <c r="AB31" s="961">
        <f t="shared" si="4"/>
        <v>1</v>
      </c>
      <c r="AC31" s="1521">
        <f t="shared" si="5"/>
        <v>1</v>
      </c>
    </row>
    <row r="32" spans="1:29" ht="15.75"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33"/>
      <c r="Q32" s="3277">
        <f t="shared" si="11"/>
        <v>111</v>
      </c>
      <c r="R32" s="4044" t="s">
        <v>13</v>
      </c>
      <c r="S32" s="3406">
        <f t="shared" si="12"/>
        <v>100</v>
      </c>
      <c r="T32" s="4044" t="s">
        <v>13</v>
      </c>
      <c r="U32" s="3406">
        <f t="shared" si="13"/>
        <v>100</v>
      </c>
      <c r="V32" s="4044" t="s">
        <v>13</v>
      </c>
      <c r="W32" s="3406">
        <f t="shared" si="14"/>
        <v>100</v>
      </c>
      <c r="X32" s="963"/>
      <c r="Y32" s="4926"/>
      <c r="Z32" s="964">
        <f t="shared" si="15"/>
        <v>111</v>
      </c>
      <c r="AA32" s="961">
        <f t="shared" si="3"/>
        <v>1</v>
      </c>
      <c r="AB32" s="961">
        <f t="shared" si="4"/>
        <v>1</v>
      </c>
      <c r="AC32" s="1521">
        <f t="shared" si="5"/>
        <v>1</v>
      </c>
    </row>
    <row r="33" spans="1:29" ht="15">
      <c r="A33" s="268" t="s">
        <v>1601</v>
      </c>
      <c r="B33" s="34" t="s">
        <v>1724</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27" t="s">
        <v>1603</v>
      </c>
      <c r="Q33" s="3277" t="str">
        <f t="shared" si="11"/>
        <v>建筑类型</v>
      </c>
      <c r="R33" s="4044" t="s">
        <v>13</v>
      </c>
      <c r="S33" s="3406">
        <f t="shared" si="12"/>
        <v>100</v>
      </c>
      <c r="T33" s="4044" t="s">
        <v>13</v>
      </c>
      <c r="U33" s="3406">
        <f t="shared" si="13"/>
        <v>100</v>
      </c>
      <c r="V33" s="4044" t="s">
        <v>13</v>
      </c>
      <c r="W33" s="3406">
        <f t="shared" si="14"/>
        <v>100</v>
      </c>
      <c r="X33" s="963"/>
      <c r="Y33" s="4930"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28"/>
      <c r="Q34" s="3106" t="str">
        <f t="shared" si="11"/>
        <v>项目建筑规模</v>
      </c>
      <c r="R34" s="4045" t="s">
        <v>13</v>
      </c>
      <c r="S34" s="3407" t="e">
        <f t="shared" si="12"/>
        <v>#N/A</v>
      </c>
      <c r="T34" s="4045" t="s">
        <v>13</v>
      </c>
      <c r="U34" s="3407" t="e">
        <f t="shared" si="13"/>
        <v>#N/A</v>
      </c>
      <c r="V34" s="4045" t="s">
        <v>13</v>
      </c>
      <c r="W34" s="3407" t="e">
        <f t="shared" si="14"/>
        <v>#N/A</v>
      </c>
      <c r="X34" s="507"/>
      <c r="Y34" s="4930"/>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28"/>
      <c r="Q35" s="3277" t="str">
        <f t="shared" si="11"/>
        <v>建筑结构</v>
      </c>
      <c r="R35" s="4044" t="s">
        <v>13</v>
      </c>
      <c r="S35" s="3406">
        <f t="shared" si="12"/>
        <v>100</v>
      </c>
      <c r="T35" s="4044" t="s">
        <v>13</v>
      </c>
      <c r="U35" s="3406">
        <f t="shared" si="13"/>
        <v>100</v>
      </c>
      <c r="V35" s="4044" t="s">
        <v>13</v>
      </c>
      <c r="W35" s="3406">
        <f t="shared" si="14"/>
        <v>100</v>
      </c>
      <c r="X35" s="963"/>
      <c r="Y35" s="4930"/>
      <c r="Z35" s="964" t="str">
        <f t="shared" si="15"/>
        <v>建筑结构</v>
      </c>
      <c r="AA35" s="961">
        <f t="shared" si="3"/>
        <v>1</v>
      </c>
      <c r="AB35" s="961">
        <f t="shared" si="4"/>
        <v>1</v>
      </c>
      <c r="AC35" s="1521">
        <f t="shared" si="5"/>
        <v>1</v>
      </c>
    </row>
    <row r="36" spans="1:29" ht="15">
      <c r="A36" s="286"/>
      <c r="B36" s="258" t="s">
        <v>1692</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28"/>
      <c r="Q36" s="3277" t="str">
        <f t="shared" si="11"/>
        <v>公共部分装修</v>
      </c>
      <c r="R36" s="4044" t="s">
        <v>13</v>
      </c>
      <c r="S36" s="3406">
        <f t="shared" si="12"/>
        <v>100</v>
      </c>
      <c r="T36" s="4044" t="s">
        <v>13</v>
      </c>
      <c r="U36" s="3406">
        <f t="shared" si="13"/>
        <v>100</v>
      </c>
      <c r="V36" s="4044" t="s">
        <v>13</v>
      </c>
      <c r="W36" s="3406">
        <f t="shared" si="14"/>
        <v>100</v>
      </c>
      <c r="X36" s="963"/>
      <c r="Y36" s="4930"/>
      <c r="Z36" s="964" t="str">
        <f t="shared" si="15"/>
        <v>公共部分装修</v>
      </c>
      <c r="AA36" s="961">
        <f t="shared" si="3"/>
        <v>1</v>
      </c>
      <c r="AB36" s="961">
        <f t="shared" si="4"/>
        <v>1</v>
      </c>
      <c r="AC36" s="1521">
        <f t="shared" si="5"/>
        <v>1</v>
      </c>
    </row>
    <row r="37" spans="1:29" ht="15">
      <c r="A37" s="286"/>
      <c r="B37" s="258" t="s">
        <v>1693</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28"/>
      <c r="Q37" s="3277" t="str">
        <f t="shared" si="11"/>
        <v>成新度</v>
      </c>
      <c r="R37" s="4044" t="s">
        <v>13</v>
      </c>
      <c r="S37" s="3406" t="e">
        <f t="shared" si="12"/>
        <v>#N/A</v>
      </c>
      <c r="T37" s="4044" t="s">
        <v>13</v>
      </c>
      <c r="U37" s="3406" t="e">
        <f t="shared" si="13"/>
        <v>#N/A</v>
      </c>
      <c r="V37" s="4044" t="s">
        <v>13</v>
      </c>
      <c r="W37" s="3406" t="e">
        <f t="shared" si="14"/>
        <v>#N/A</v>
      </c>
      <c r="X37" s="963"/>
      <c r="Y37" s="4930"/>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28"/>
      <c r="Q38" s="3274" t="str">
        <f t="shared" si="11"/>
        <v>写字楼等级</v>
      </c>
      <c r="R38" s="3923" t="s">
        <v>13</v>
      </c>
      <c r="S38" s="3405">
        <f t="shared" si="12"/>
        <v>100</v>
      </c>
      <c r="T38" s="3923" t="s">
        <v>13</v>
      </c>
      <c r="U38" s="3405">
        <f t="shared" si="13"/>
        <v>100</v>
      </c>
      <c r="V38" s="3923" t="s">
        <v>13</v>
      </c>
      <c r="W38" s="3405">
        <f t="shared" si="14"/>
        <v>100</v>
      </c>
      <c r="X38" s="504"/>
      <c r="Y38" s="4930"/>
      <c r="Z38" s="28" t="str">
        <f t="shared" si="15"/>
        <v>写字楼等级</v>
      </c>
      <c r="AA38" s="505">
        <f t="shared" si="3"/>
        <v>1</v>
      </c>
      <c r="AB38" s="505">
        <f t="shared" si="4"/>
        <v>1</v>
      </c>
      <c r="AC38" s="1518">
        <f t="shared" si="5"/>
        <v>1</v>
      </c>
    </row>
    <row r="39" spans="1:29" ht="15">
      <c r="A39" s="286"/>
      <c r="B39" s="258" t="s">
        <v>1726</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28" t="s">
        <v>1603</v>
      </c>
      <c r="Q39" s="3277" t="str">
        <f t="shared" si="11"/>
        <v>物业管理</v>
      </c>
      <c r="R39" s="4044" t="s">
        <v>13</v>
      </c>
      <c r="S39" s="3406">
        <f t="shared" si="12"/>
        <v>100</v>
      </c>
      <c r="T39" s="4044" t="s">
        <v>13</v>
      </c>
      <c r="U39" s="3406">
        <f t="shared" si="13"/>
        <v>100</v>
      </c>
      <c r="V39" s="4044" t="s">
        <v>13</v>
      </c>
      <c r="W39" s="3406">
        <f t="shared" si="14"/>
        <v>100</v>
      </c>
      <c r="X39" s="963"/>
      <c r="Y39" s="4930"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28"/>
      <c r="Q40" s="3277" t="str">
        <f t="shared" si="11"/>
        <v>市政基础设施</v>
      </c>
      <c r="R40" s="4044" t="s">
        <v>13</v>
      </c>
      <c r="S40" s="3406">
        <f t="shared" si="12"/>
        <v>100</v>
      </c>
      <c r="T40" s="4044" t="s">
        <v>13</v>
      </c>
      <c r="U40" s="3406">
        <f t="shared" si="13"/>
        <v>100</v>
      </c>
      <c r="V40" s="4044" t="s">
        <v>13</v>
      </c>
      <c r="W40" s="3406">
        <f t="shared" si="14"/>
        <v>100</v>
      </c>
      <c r="X40" s="963"/>
      <c r="Y40" s="4930"/>
      <c r="Z40" s="964" t="str">
        <f t="shared" si="15"/>
        <v>市政基础设施</v>
      </c>
      <c r="AA40" s="961">
        <f t="shared" si="3"/>
        <v>1</v>
      </c>
      <c r="AB40" s="961">
        <f t="shared" si="4"/>
        <v>1</v>
      </c>
      <c r="AC40" s="1521">
        <f t="shared" si="5"/>
        <v>1</v>
      </c>
    </row>
    <row r="41" spans="1:29" ht="15">
      <c r="A41" s="286"/>
      <c r="B41" s="258" t="s">
        <v>1696</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28"/>
      <c r="Q41" s="3277" t="str">
        <f t="shared" si="11"/>
        <v>层高</v>
      </c>
      <c r="R41" s="4044" t="s">
        <v>13</v>
      </c>
      <c r="S41" s="3406">
        <f t="shared" si="12"/>
        <v>100</v>
      </c>
      <c r="T41" s="4044" t="s">
        <v>13</v>
      </c>
      <c r="U41" s="3406">
        <f t="shared" si="13"/>
        <v>100</v>
      </c>
      <c r="V41" s="4044" t="s">
        <v>13</v>
      </c>
      <c r="W41" s="3406">
        <f t="shared" si="14"/>
        <v>100</v>
      </c>
      <c r="X41" s="963"/>
      <c r="Y41" s="4930"/>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28"/>
      <c r="Q42" s="3106" t="str">
        <f t="shared" si="11"/>
        <v>单套建筑面积</v>
      </c>
      <c r="R42" s="4045" t="s">
        <v>13</v>
      </c>
      <c r="S42" s="3407">
        <f t="shared" si="12"/>
        <v>100</v>
      </c>
      <c r="T42" s="4045" t="s">
        <v>13</v>
      </c>
      <c r="U42" s="3407">
        <f t="shared" si="13"/>
        <v>100</v>
      </c>
      <c r="V42" s="4045" t="s">
        <v>13</v>
      </c>
      <c r="W42" s="3407">
        <f t="shared" si="14"/>
        <v>100</v>
      </c>
      <c r="X42" s="507"/>
      <c r="Y42" s="4930"/>
      <c r="Z42" s="508" t="str">
        <f t="shared" si="15"/>
        <v>单套建筑面积</v>
      </c>
      <c r="AA42" s="961">
        <f t="shared" si="3"/>
        <v>1</v>
      </c>
      <c r="AB42" s="961">
        <f t="shared" si="4"/>
        <v>1</v>
      </c>
      <c r="AC42" s="1521">
        <f t="shared" si="5"/>
        <v>1</v>
      </c>
    </row>
    <row r="43" spans="1:29" ht="15">
      <c r="A43" s="286"/>
      <c r="B43" s="258" t="s">
        <v>1699</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28"/>
      <c r="Q43" s="3277" t="str">
        <f t="shared" si="11"/>
        <v>内部装修</v>
      </c>
      <c r="R43" s="4044" t="s">
        <v>13</v>
      </c>
      <c r="S43" s="3406">
        <f t="shared" si="12"/>
        <v>100</v>
      </c>
      <c r="T43" s="4044" t="s">
        <v>13</v>
      </c>
      <c r="U43" s="3406">
        <f t="shared" si="13"/>
        <v>100</v>
      </c>
      <c r="V43" s="4044" t="s">
        <v>13</v>
      </c>
      <c r="W43" s="3406">
        <f t="shared" si="14"/>
        <v>100</v>
      </c>
      <c r="X43" s="963"/>
      <c r="Y43" s="4930"/>
      <c r="Z43" s="964" t="str">
        <f t="shared" si="15"/>
        <v>内部装修</v>
      </c>
      <c r="AA43" s="961">
        <f t="shared" si="3"/>
        <v>1</v>
      </c>
      <c r="AB43" s="961">
        <f t="shared" si="4"/>
        <v>1</v>
      </c>
      <c r="AC43" s="1521">
        <f t="shared" si="5"/>
        <v>1</v>
      </c>
    </row>
    <row r="44" spans="1:29" ht="15">
      <c r="A44" s="286"/>
      <c r="B44" s="258" t="s">
        <v>1614</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28"/>
      <c r="Q44" s="3277" t="str">
        <f t="shared" si="11"/>
        <v>内部装修维护情况</v>
      </c>
      <c r="R44" s="4044" t="s">
        <v>13</v>
      </c>
      <c r="S44" s="3406">
        <f t="shared" si="12"/>
        <v>100</v>
      </c>
      <c r="T44" s="4044" t="s">
        <v>13</v>
      </c>
      <c r="U44" s="3406">
        <f t="shared" si="13"/>
        <v>100</v>
      </c>
      <c r="V44" s="4044" t="s">
        <v>13</v>
      </c>
      <c r="W44" s="3406">
        <f t="shared" si="14"/>
        <v>100</v>
      </c>
      <c r="X44" s="963"/>
      <c r="Y44" s="4930"/>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28"/>
      <c r="Q45" s="3274">
        <f t="shared" si="11"/>
        <v>111</v>
      </c>
      <c r="R45" s="3923" t="s">
        <v>13</v>
      </c>
      <c r="S45" s="3405">
        <f t="shared" si="12"/>
        <v>100</v>
      </c>
      <c r="T45" s="3923" t="s">
        <v>13</v>
      </c>
      <c r="U45" s="3405">
        <f t="shared" si="13"/>
        <v>100</v>
      </c>
      <c r="V45" s="3923" t="s">
        <v>13</v>
      </c>
      <c r="W45" s="3405">
        <f t="shared" si="14"/>
        <v>100</v>
      </c>
      <c r="X45" s="504"/>
      <c r="Y45" s="4930"/>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28"/>
      <c r="Q46" s="3277">
        <f t="shared" si="11"/>
        <v>111</v>
      </c>
      <c r="R46" s="4044" t="s">
        <v>13</v>
      </c>
      <c r="S46" s="3406">
        <f t="shared" si="12"/>
        <v>100</v>
      </c>
      <c r="T46" s="4044" t="s">
        <v>13</v>
      </c>
      <c r="U46" s="3406">
        <f t="shared" si="13"/>
        <v>100</v>
      </c>
      <c r="V46" s="4044" t="s">
        <v>13</v>
      </c>
      <c r="W46" s="3406">
        <f t="shared" si="14"/>
        <v>100</v>
      </c>
      <c r="X46" s="963"/>
      <c r="Y46" s="4930"/>
      <c r="Z46" s="964">
        <f t="shared" si="15"/>
        <v>111</v>
      </c>
      <c r="AA46" s="961">
        <f t="shared" si="3"/>
        <v>1</v>
      </c>
      <c r="AB46" s="961">
        <f t="shared" si="4"/>
        <v>1</v>
      </c>
      <c r="AC46" s="1521">
        <f t="shared" si="5"/>
        <v>1</v>
      </c>
    </row>
    <row r="47" spans="1:29" ht="15.75"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29"/>
      <c r="Q47" s="3277">
        <f t="shared" si="11"/>
        <v>111</v>
      </c>
      <c r="R47" s="4044" t="s">
        <v>13</v>
      </c>
      <c r="S47" s="3406">
        <f t="shared" si="12"/>
        <v>100</v>
      </c>
      <c r="T47" s="4044" t="s">
        <v>13</v>
      </c>
      <c r="U47" s="3406">
        <f t="shared" si="13"/>
        <v>100</v>
      </c>
      <c r="V47" s="4044" t="s">
        <v>13</v>
      </c>
      <c r="W47" s="3406">
        <f t="shared" si="14"/>
        <v>100</v>
      </c>
      <c r="X47" s="963"/>
      <c r="Y47" s="4931"/>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896" t="str">
        <f>A48</f>
        <v>成交单价（元/平方米）</v>
      </c>
      <c r="Q48" s="4923"/>
      <c r="R48" s="4924">
        <f>E48</f>
        <v>0</v>
      </c>
      <c r="S48" s="4924"/>
      <c r="T48" s="4924">
        <f>G48</f>
        <v>0</v>
      </c>
      <c r="U48" s="4924"/>
      <c r="V48" s="4924">
        <f>I48</f>
        <v>0</v>
      </c>
      <c r="W48" s="4924"/>
      <c r="X48" s="271"/>
      <c r="Y48" s="509"/>
      <c r="Z48" s="271"/>
      <c r="AA48" s="271"/>
      <c r="AB48" s="271"/>
      <c r="AC48" s="418"/>
    </row>
    <row r="49" spans="1:29" ht="15.75" thickBot="1">
      <c r="A49" s="295" t="s">
        <v>1700</v>
      </c>
      <c r="B49" s="296"/>
      <c r="C49" s="4042" t="e">
        <f>R50</f>
        <v>#DIV/0!</v>
      </c>
      <c r="D49" s="4199" t="s">
        <v>2042</v>
      </c>
      <c r="E49" s="4053" t="e">
        <f>R49</f>
        <v>#DIV/0!</v>
      </c>
      <c r="F49" s="3042"/>
      <c r="G49" s="4042" t="e">
        <f>T49</f>
        <v>#DIV/0!</v>
      </c>
      <c r="H49" s="3042"/>
      <c r="I49" s="4053" t="e">
        <f>V49</f>
        <v>#DIV/0!</v>
      </c>
      <c r="J49" s="3042"/>
      <c r="K49" s="3097">
        <f>F49+H49+J49</f>
        <v>0</v>
      </c>
      <c r="L49" s="2155"/>
      <c r="M49" s="2147"/>
      <c r="N49" s="2147"/>
      <c r="O49" s="2147"/>
      <c r="P49" s="4896" t="str">
        <f>A49</f>
        <v>比较价值（元/平方米）</v>
      </c>
      <c r="Q49" s="4923"/>
      <c r="R49" s="4924" t="e">
        <f>IF(F1="售价",ROUND(PRODUCT(R48,AA7:AA47),0),ROUND(PRODUCT(R48,AA7:AA47),1))</f>
        <v>#DIV/0!</v>
      </c>
      <c r="S49" s="4924"/>
      <c r="T49" s="4924" t="e">
        <f>IF(F1="售价",ROUND(PRODUCT(T48,AB7:AB47),0),ROUND(PRODUCT(T48,AB7:AB47),1))</f>
        <v>#DIV/0!</v>
      </c>
      <c r="U49" s="4924"/>
      <c r="V49" s="4924" t="e">
        <f>IF(F1="售价",ROUND(PRODUCT(V48,AC7:AC47),0),ROUND(PRODUCT(V48,AC7:AC47),1))</f>
        <v>#DIV/0!</v>
      </c>
      <c r="W49" s="4924"/>
      <c r="X49" s="271"/>
      <c r="Y49" s="271"/>
      <c r="Z49" s="271"/>
      <c r="AA49" s="271"/>
      <c r="AB49" s="271"/>
      <c r="AC49" s="418"/>
    </row>
    <row r="50" spans="1:29" ht="15.75" thickBot="1">
      <c r="A50" s="297" t="s">
        <v>1701</v>
      </c>
      <c r="B50" s="298"/>
      <c r="C50" s="4054" t="e">
        <f>R50</f>
        <v>#DIV/0!</v>
      </c>
      <c r="D50" s="812"/>
      <c r="E50" s="812"/>
      <c r="F50" s="812"/>
      <c r="G50" s="812"/>
      <c r="H50" s="812"/>
      <c r="I50" s="812"/>
      <c r="J50" s="299"/>
      <c r="K50" s="511"/>
      <c r="L50" s="2155"/>
      <c r="M50" s="2147"/>
      <c r="N50" s="2147"/>
      <c r="O50" s="2147"/>
      <c r="P50" s="4961" t="str">
        <f>A50</f>
        <v>估价对象XX用房的比较价值（楼面单价，元/平方米）</v>
      </c>
      <c r="Q50" s="4962"/>
      <c r="R50" s="4963" t="e">
        <f>IF(F1="售价",ROUND(IF(D49="简单平均",AVERAGE(R49:V49),R49*F49+T49*H49+V49*J49),0),ROUND(IF(D49="简单平均",AVERAGE(R49:V49),R49*F49+T49*H49+V49*J49),1))</f>
        <v>#DIV/0!</v>
      </c>
      <c r="S50" s="4963"/>
      <c r="T50" s="4963"/>
      <c r="U50" s="4963"/>
      <c r="V50" s="4963"/>
      <c r="W50" s="496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1052.8</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625"/>
      <c r="M4" s="626"/>
      <c r="N4" s="626"/>
      <c r="O4" s="626"/>
      <c r="P4" s="4902" t="s">
        <v>1682</v>
      </c>
      <c r="Q4" s="4903"/>
      <c r="R4" s="4884" t="s">
        <v>1678</v>
      </c>
      <c r="S4" s="4885"/>
      <c r="T4" s="4884" t="s">
        <v>1679</v>
      </c>
      <c r="U4" s="4885"/>
      <c r="V4" s="4910" t="s">
        <v>1680</v>
      </c>
      <c r="W4" s="4910"/>
      <c r="X4" s="963"/>
      <c r="Y4" s="4913" t="s">
        <v>1682</v>
      </c>
      <c r="Z4" s="4914"/>
      <c r="AA4" s="4879" t="s">
        <v>1678</v>
      </c>
      <c r="AB4" s="4880" t="s">
        <v>1679</v>
      </c>
      <c r="AC4" s="4879" t="s">
        <v>1680</v>
      </c>
    </row>
    <row r="5" spans="1:29" ht="15">
      <c r="A5" s="244"/>
      <c r="B5" s="245"/>
      <c r="C5" s="4940" t="s">
        <v>1580</v>
      </c>
      <c r="D5" s="4941"/>
      <c r="E5" s="4938" t="s">
        <v>1581</v>
      </c>
      <c r="F5" s="4939"/>
      <c r="G5" s="4940" t="s">
        <v>1582</v>
      </c>
      <c r="H5" s="4941"/>
      <c r="I5" s="4940" t="s">
        <v>1583</v>
      </c>
      <c r="J5" s="4941"/>
      <c r="K5" s="406"/>
      <c r="L5" s="625"/>
      <c r="M5" s="626"/>
      <c r="N5" s="626"/>
      <c r="O5" s="626"/>
      <c r="P5" s="4904"/>
      <c r="Q5" s="4905"/>
      <c r="R5" s="4886"/>
      <c r="S5" s="4887"/>
      <c r="T5" s="4886"/>
      <c r="U5" s="4887"/>
      <c r="V5" s="4910"/>
      <c r="W5" s="4910"/>
      <c r="X5" s="963"/>
      <c r="Y5" s="4915"/>
      <c r="Z5" s="4916"/>
      <c r="AA5" s="4880"/>
      <c r="AB5" s="4880"/>
      <c r="AC5" s="4880"/>
    </row>
    <row r="6" spans="1:29" ht="15.75" thickBot="1">
      <c r="A6" s="246"/>
      <c r="B6" s="247"/>
      <c r="C6" s="4942" t="s">
        <v>1584</v>
      </c>
      <c r="D6" s="4943"/>
      <c r="E6" s="4944" t="s">
        <v>1584</v>
      </c>
      <c r="F6" s="4945"/>
      <c r="G6" s="4942" t="s">
        <v>1584</v>
      </c>
      <c r="H6" s="4943"/>
      <c r="I6" s="4942" t="s">
        <v>1584</v>
      </c>
      <c r="J6" s="4943"/>
      <c r="K6" s="406" t="s">
        <v>1585</v>
      </c>
      <c r="L6" s="625"/>
      <c r="M6" s="626"/>
      <c r="N6" s="626"/>
      <c r="O6" s="626"/>
      <c r="P6" s="4906"/>
      <c r="Q6" s="4907"/>
      <c r="R6" s="4886"/>
      <c r="S6" s="4887"/>
      <c r="T6" s="4908"/>
      <c r="U6" s="4909"/>
      <c r="V6" s="4910"/>
      <c r="W6" s="4910"/>
      <c r="X6" s="963"/>
      <c r="Y6" s="4917"/>
      <c r="Z6" s="4918"/>
      <c r="AA6" s="4881"/>
      <c r="AB6" s="4881"/>
      <c r="AC6" s="4881"/>
    </row>
    <row r="7" spans="1:29" s="49" customFormat="1" ht="15.75" thickBot="1">
      <c r="A7" s="248" t="s">
        <v>1586</v>
      </c>
      <c r="B7" s="249"/>
      <c r="C7" s="250">
        <f>'数据-取费表'!B2</f>
        <v>46077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11" t="s">
        <v>1587</v>
      </c>
      <c r="Q7" s="4919"/>
      <c r="R7" s="4076" t="s">
        <v>13</v>
      </c>
      <c r="S7" s="4079">
        <f t="shared" ref="S7:S15" si="0">F7</f>
        <v>0</v>
      </c>
      <c r="T7" s="4076" t="s">
        <v>13</v>
      </c>
      <c r="U7" s="4079">
        <f t="shared" ref="U7:U15" si="1">H7</f>
        <v>0</v>
      </c>
      <c r="V7" s="4076" t="s">
        <v>13</v>
      </c>
      <c r="W7" s="4079">
        <f t="shared" ref="W7:W15" si="2">J7</f>
        <v>0</v>
      </c>
      <c r="X7" s="504"/>
      <c r="Y7" s="4882" t="s">
        <v>1587</v>
      </c>
      <c r="Z7" s="4883"/>
      <c r="AA7" s="505" t="e">
        <f>D7/F7</f>
        <v>#DIV/0!</v>
      </c>
      <c r="AB7" s="505" t="e">
        <f>D7/H7</f>
        <v>#DIV/0!</v>
      </c>
      <c r="AC7" s="505" t="e">
        <f>D7/J7</f>
        <v>#DIV/0!</v>
      </c>
    </row>
    <row r="8" spans="1:29" s="49" customFormat="1" ht="15.75" thickBot="1">
      <c r="A8" s="248" t="s">
        <v>1588</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11" t="s">
        <v>1590</v>
      </c>
      <c r="Q8" s="4912"/>
      <c r="R8" s="4076" t="s">
        <v>13</v>
      </c>
      <c r="S8" s="4079">
        <f t="shared" si="0"/>
        <v>100</v>
      </c>
      <c r="T8" s="4076" t="s">
        <v>13</v>
      </c>
      <c r="U8" s="4079">
        <f t="shared" si="1"/>
        <v>100</v>
      </c>
      <c r="V8" s="4076" t="s">
        <v>13</v>
      </c>
      <c r="W8" s="4079">
        <f t="shared" si="2"/>
        <v>100</v>
      </c>
      <c r="X8" s="504"/>
      <c r="Y8" s="4882" t="s">
        <v>1590</v>
      </c>
      <c r="Z8" s="4883"/>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23" t="s">
        <v>1593</v>
      </c>
      <c r="Q9" s="3274" t="str">
        <f t="shared" ref="Q9:Q15" si="6">B9</f>
        <v>用途</v>
      </c>
      <c r="R9" s="4076" t="s">
        <v>13</v>
      </c>
      <c r="S9" s="4079">
        <f t="shared" si="0"/>
        <v>100</v>
      </c>
      <c r="T9" s="4076" t="s">
        <v>13</v>
      </c>
      <c r="U9" s="4079">
        <f t="shared" si="1"/>
        <v>100</v>
      </c>
      <c r="V9" s="4076" t="s">
        <v>13</v>
      </c>
      <c r="W9" s="4079">
        <f t="shared" si="2"/>
        <v>100</v>
      </c>
      <c r="X9" s="504"/>
      <c r="Y9" s="4897"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23"/>
      <c r="Q10" s="3274" t="str">
        <f t="shared" si="6"/>
        <v>土地使用年限（年）</v>
      </c>
      <c r="R10" s="4076" t="s">
        <v>13</v>
      </c>
      <c r="S10" s="4079">
        <f t="shared" si="0"/>
        <v>100</v>
      </c>
      <c r="T10" s="4076" t="s">
        <v>13</v>
      </c>
      <c r="U10" s="4079">
        <f t="shared" si="1"/>
        <v>100</v>
      </c>
      <c r="V10" s="4076" t="s">
        <v>13</v>
      </c>
      <c r="W10" s="4079">
        <f t="shared" si="2"/>
        <v>100</v>
      </c>
      <c r="X10" s="504"/>
      <c r="Y10" s="4897"/>
      <c r="Z10" s="28" t="str">
        <f t="shared" si="7"/>
        <v>土地使用年限（年）</v>
      </c>
      <c r="AA10" s="505">
        <f t="shared" si="3"/>
        <v>1</v>
      </c>
      <c r="AB10" s="505">
        <f t="shared" si="4"/>
        <v>1</v>
      </c>
      <c r="AC10" s="505">
        <f t="shared" si="5"/>
        <v>1</v>
      </c>
    </row>
    <row r="11" spans="1:29" ht="15">
      <c r="A11" s="260"/>
      <c r="B11" s="258" t="s">
        <v>1596</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23"/>
      <c r="Q11" s="3274" t="str">
        <f t="shared" si="6"/>
        <v>容积率</v>
      </c>
      <c r="R11" s="4076" t="s">
        <v>13</v>
      </c>
      <c r="S11" s="4079">
        <f t="shared" si="0"/>
        <v>100</v>
      </c>
      <c r="T11" s="4076" t="s">
        <v>13</v>
      </c>
      <c r="U11" s="4079">
        <f t="shared" si="1"/>
        <v>100</v>
      </c>
      <c r="V11" s="4076" t="s">
        <v>13</v>
      </c>
      <c r="W11" s="4079">
        <f t="shared" si="2"/>
        <v>100</v>
      </c>
      <c r="X11" s="504"/>
      <c r="Y11" s="4897"/>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23"/>
      <c r="Q12" s="3274">
        <f t="shared" si="6"/>
        <v>111</v>
      </c>
      <c r="R12" s="4076" t="s">
        <v>13</v>
      </c>
      <c r="S12" s="4079">
        <f t="shared" si="0"/>
        <v>100</v>
      </c>
      <c r="T12" s="4076" t="s">
        <v>13</v>
      </c>
      <c r="U12" s="4079">
        <f t="shared" si="1"/>
        <v>100</v>
      </c>
      <c r="V12" s="4076" t="s">
        <v>13</v>
      </c>
      <c r="W12" s="4079">
        <f t="shared" si="2"/>
        <v>100</v>
      </c>
      <c r="X12" s="504"/>
      <c r="Y12" s="4897"/>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23"/>
      <c r="Q13" s="3274">
        <f t="shared" si="6"/>
        <v>111</v>
      </c>
      <c r="R13" s="4076" t="s">
        <v>13</v>
      </c>
      <c r="S13" s="4079">
        <f t="shared" si="0"/>
        <v>100</v>
      </c>
      <c r="T13" s="4076" t="s">
        <v>13</v>
      </c>
      <c r="U13" s="4079">
        <f t="shared" si="1"/>
        <v>100</v>
      </c>
      <c r="V13" s="4076" t="s">
        <v>13</v>
      </c>
      <c r="W13" s="4079">
        <f t="shared" si="2"/>
        <v>100</v>
      </c>
      <c r="X13" s="504"/>
      <c r="Y13" s="4897"/>
      <c r="Z13" s="28">
        <f t="shared" si="7"/>
        <v>111</v>
      </c>
      <c r="AA13" s="505">
        <f t="shared" si="3"/>
        <v>1</v>
      </c>
      <c r="AB13" s="505">
        <f t="shared" si="4"/>
        <v>1</v>
      </c>
      <c r="AC13" s="505">
        <f t="shared" si="5"/>
        <v>1</v>
      </c>
    </row>
    <row r="14" spans="1:29" ht="15.75"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23"/>
      <c r="Q14" s="3274">
        <f t="shared" si="6"/>
        <v>111</v>
      </c>
      <c r="R14" s="4076" t="s">
        <v>13</v>
      </c>
      <c r="S14" s="4079">
        <f t="shared" si="0"/>
        <v>100</v>
      </c>
      <c r="T14" s="4076" t="s">
        <v>13</v>
      </c>
      <c r="U14" s="4079">
        <f t="shared" si="1"/>
        <v>100</v>
      </c>
      <c r="V14" s="4076" t="s">
        <v>13</v>
      </c>
      <c r="W14" s="4079">
        <f t="shared" si="2"/>
        <v>100</v>
      </c>
      <c r="X14" s="504"/>
      <c r="Y14" s="4897"/>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4964" t="s">
        <v>1598</v>
      </c>
      <c r="Q15" s="3277" t="str">
        <f t="shared" si="6"/>
        <v>产业集聚程度</v>
      </c>
      <c r="R15" s="4077" t="s">
        <v>13</v>
      </c>
      <c r="S15" s="4080">
        <f t="shared" si="0"/>
        <v>100</v>
      </c>
      <c r="T15" s="4077" t="s">
        <v>13</v>
      </c>
      <c r="U15" s="4080">
        <f t="shared" si="1"/>
        <v>100</v>
      </c>
      <c r="V15" s="4077" t="s">
        <v>13</v>
      </c>
      <c r="W15" s="4080">
        <f t="shared" si="2"/>
        <v>100</v>
      </c>
      <c r="X15" s="963"/>
      <c r="Y15" s="4925" t="s">
        <v>1598</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4965"/>
      <c r="Q16" s="3277"/>
      <c r="R16" s="4077"/>
      <c r="S16" s="4080"/>
      <c r="T16" s="4077"/>
      <c r="U16" s="4080"/>
      <c r="V16" s="4077"/>
      <c r="W16" s="4080"/>
      <c r="X16" s="963"/>
      <c r="Y16" s="4926"/>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4965"/>
      <c r="Q17" s="3277" t="str">
        <f>B17</f>
        <v>交通便捷度</v>
      </c>
      <c r="R17" s="4077" t="s">
        <v>13</v>
      </c>
      <c r="S17" s="4080">
        <f>F17</f>
        <v>100</v>
      </c>
      <c r="T17" s="4077" t="s">
        <v>13</v>
      </c>
      <c r="U17" s="4080">
        <f>H17</f>
        <v>100</v>
      </c>
      <c r="V17" s="4077" t="s">
        <v>13</v>
      </c>
      <c r="W17" s="4080">
        <f>J17</f>
        <v>100</v>
      </c>
      <c r="X17" s="963"/>
      <c r="Y17" s="4926"/>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4965"/>
      <c r="Q18" s="3277"/>
      <c r="R18" s="4077"/>
      <c r="S18" s="4080"/>
      <c r="T18" s="4077"/>
      <c r="U18" s="4080"/>
      <c r="V18" s="4077"/>
      <c r="W18" s="4080"/>
      <c r="X18" s="963"/>
      <c r="Y18" s="4926"/>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4965"/>
      <c r="Q19" s="3277" t="str">
        <f>B19</f>
        <v>公共配套设施</v>
      </c>
      <c r="R19" s="4077" t="s">
        <v>13</v>
      </c>
      <c r="S19" s="4080">
        <f>F19</f>
        <v>100</v>
      </c>
      <c r="T19" s="4077" t="s">
        <v>13</v>
      </c>
      <c r="U19" s="4080">
        <f>H19</f>
        <v>100</v>
      </c>
      <c r="V19" s="4077" t="s">
        <v>13</v>
      </c>
      <c r="W19" s="4080">
        <f>J19</f>
        <v>100</v>
      </c>
      <c r="X19" s="963"/>
      <c r="Y19" s="4926"/>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4965"/>
      <c r="Q20" s="3277"/>
      <c r="R20" s="4077"/>
      <c r="S20" s="4080"/>
      <c r="T20" s="4077"/>
      <c r="U20" s="4080"/>
      <c r="V20" s="4077"/>
      <c r="W20" s="4080"/>
      <c r="X20" s="963"/>
      <c r="Y20" s="4926"/>
      <c r="Z20" s="964"/>
      <c r="AA20" s="961">
        <v>1</v>
      </c>
      <c r="AB20" s="961">
        <v>1</v>
      </c>
      <c r="AC20" s="961">
        <v>1</v>
      </c>
    </row>
    <row r="21" spans="1:29" ht="28.5">
      <c r="A21" s="260"/>
      <c r="B21" s="800" t="s">
        <v>1720</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4965"/>
      <c r="Q21" s="3277" t="str">
        <f>B21</f>
        <v>基础设施水平</v>
      </c>
      <c r="R21" s="4077" t="s">
        <v>13</v>
      </c>
      <c r="S21" s="4080">
        <f>F21</f>
        <v>100</v>
      </c>
      <c r="T21" s="4077" t="s">
        <v>13</v>
      </c>
      <c r="U21" s="4080">
        <f>H21</f>
        <v>100</v>
      </c>
      <c r="V21" s="4077" t="s">
        <v>13</v>
      </c>
      <c r="W21" s="4080">
        <f>J21</f>
        <v>100</v>
      </c>
      <c r="X21" s="963"/>
      <c r="Y21" s="4926"/>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4965"/>
      <c r="Q22" s="3277"/>
      <c r="R22" s="4077"/>
      <c r="S22" s="4080"/>
      <c r="T22" s="4077"/>
      <c r="U22" s="4080"/>
      <c r="V22" s="4077"/>
      <c r="W22" s="4080"/>
      <c r="X22" s="963"/>
      <c r="Y22" s="4926"/>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4965"/>
      <c r="Q23" s="3277" t="str">
        <f>B23</f>
        <v>环境质量</v>
      </c>
      <c r="R23" s="4077" t="s">
        <v>13</v>
      </c>
      <c r="S23" s="4080">
        <f>F23</f>
        <v>100</v>
      </c>
      <c r="T23" s="4077" t="s">
        <v>13</v>
      </c>
      <c r="U23" s="4080">
        <f>H23</f>
        <v>100</v>
      </c>
      <c r="V23" s="4077" t="s">
        <v>13</v>
      </c>
      <c r="W23" s="4080">
        <f>J23</f>
        <v>100</v>
      </c>
      <c r="X23" s="963"/>
      <c r="Y23" s="4926"/>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4965"/>
      <c r="Q24" s="3277"/>
      <c r="R24" s="4077"/>
      <c r="S24" s="4080"/>
      <c r="T24" s="4077"/>
      <c r="U24" s="4080"/>
      <c r="V24" s="4077"/>
      <c r="W24" s="4080"/>
      <c r="X24" s="963"/>
      <c r="Y24" s="4926"/>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4965"/>
      <c r="Q25" s="3277">
        <f>B25</f>
        <v>111</v>
      </c>
      <c r="R25" s="4077" t="s">
        <v>13</v>
      </c>
      <c r="S25" s="4080">
        <f>F25</f>
        <v>100</v>
      </c>
      <c r="T25" s="4077" t="s">
        <v>13</v>
      </c>
      <c r="U25" s="4080">
        <f>H25</f>
        <v>100</v>
      </c>
      <c r="V25" s="4077" t="s">
        <v>13</v>
      </c>
      <c r="W25" s="4080">
        <f>J25</f>
        <v>100</v>
      </c>
      <c r="X25" s="963"/>
      <c r="Y25" s="4926"/>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4965"/>
      <c r="Q26" s="3277">
        <f t="shared" ref="Q26:Q40" si="11">B26</f>
        <v>111</v>
      </c>
      <c r="R26" s="4077" t="s">
        <v>13</v>
      </c>
      <c r="S26" s="4080">
        <f>F26</f>
        <v>100</v>
      </c>
      <c r="T26" s="4077" t="s">
        <v>13</v>
      </c>
      <c r="U26" s="4080">
        <f>H26</f>
        <v>100</v>
      </c>
      <c r="V26" s="4077" t="s">
        <v>13</v>
      </c>
      <c r="W26" s="4080">
        <f>J26</f>
        <v>100</v>
      </c>
      <c r="X26" s="963"/>
      <c r="Y26" s="4926"/>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4965"/>
      <c r="Q27" s="3274">
        <f t="shared" si="11"/>
        <v>111</v>
      </c>
      <c r="R27" s="4076" t="s">
        <v>13</v>
      </c>
      <c r="S27" s="4079">
        <f>F27</f>
        <v>100</v>
      </c>
      <c r="T27" s="4076" t="s">
        <v>13</v>
      </c>
      <c r="U27" s="4079">
        <f>H27</f>
        <v>100</v>
      </c>
      <c r="V27" s="4076" t="s">
        <v>13</v>
      </c>
      <c r="W27" s="4079">
        <f>J27</f>
        <v>100</v>
      </c>
      <c r="X27" s="504"/>
      <c r="Y27" s="4926"/>
      <c r="Z27" s="28">
        <f>Q27</f>
        <v>111</v>
      </c>
      <c r="AA27" s="961">
        <f>D27/F27</f>
        <v>1</v>
      </c>
      <c r="AB27" s="961">
        <f>D27/H27</f>
        <v>1</v>
      </c>
      <c r="AC27" s="961">
        <f>D27/J27</f>
        <v>1</v>
      </c>
    </row>
    <row r="28" spans="1:29" ht="15.75"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4965"/>
      <c r="Q28" s="3277">
        <f t="shared" si="11"/>
        <v>111</v>
      </c>
      <c r="R28" s="4077" t="s">
        <v>13</v>
      </c>
      <c r="S28" s="4080">
        <f t="shared" ref="S28:S40" si="12">F28</f>
        <v>100</v>
      </c>
      <c r="T28" s="4077" t="s">
        <v>13</v>
      </c>
      <c r="U28" s="4080">
        <f t="shared" ref="U28:U40" si="13">H28</f>
        <v>100</v>
      </c>
      <c r="V28" s="4077" t="s">
        <v>13</v>
      </c>
      <c r="W28" s="4080">
        <f t="shared" ref="W28:W40" si="14">J28</f>
        <v>100</v>
      </c>
      <c r="X28" s="963"/>
      <c r="Y28" s="4926"/>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4966" t="s">
        <v>1603</v>
      </c>
      <c r="Q29" s="3277" t="str">
        <f t="shared" si="11"/>
        <v>建筑类型</v>
      </c>
      <c r="R29" s="4077" t="s">
        <v>13</v>
      </c>
      <c r="S29" s="4080">
        <f t="shared" si="12"/>
        <v>100</v>
      </c>
      <c r="T29" s="4077" t="s">
        <v>13</v>
      </c>
      <c r="U29" s="4080">
        <f t="shared" si="13"/>
        <v>100</v>
      </c>
      <c r="V29" s="4077" t="s">
        <v>13</v>
      </c>
      <c r="W29" s="4080">
        <f t="shared" si="14"/>
        <v>100</v>
      </c>
      <c r="X29" s="963"/>
      <c r="Y29" s="4930"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4967"/>
      <c r="Q30" s="3106" t="str">
        <f t="shared" si="11"/>
        <v>项目建筑规模</v>
      </c>
      <c r="R30" s="4078" t="s">
        <v>13</v>
      </c>
      <c r="S30" s="4081" t="e">
        <f t="shared" si="12"/>
        <v>#N/A</v>
      </c>
      <c r="T30" s="4078" t="s">
        <v>13</v>
      </c>
      <c r="U30" s="4081" t="e">
        <f t="shared" si="13"/>
        <v>#N/A</v>
      </c>
      <c r="V30" s="4078" t="s">
        <v>13</v>
      </c>
      <c r="W30" s="4081" t="e">
        <f t="shared" si="14"/>
        <v>#N/A</v>
      </c>
      <c r="X30" s="507"/>
      <c r="Y30" s="4930"/>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4967"/>
      <c r="Q31" s="3277" t="str">
        <f t="shared" si="11"/>
        <v>建筑结构</v>
      </c>
      <c r="R31" s="4077" t="s">
        <v>13</v>
      </c>
      <c r="S31" s="4080">
        <f t="shared" si="12"/>
        <v>100</v>
      </c>
      <c r="T31" s="4077" t="s">
        <v>13</v>
      </c>
      <c r="U31" s="4080">
        <f t="shared" si="13"/>
        <v>100</v>
      </c>
      <c r="V31" s="4077" t="s">
        <v>13</v>
      </c>
      <c r="W31" s="4080">
        <f t="shared" si="14"/>
        <v>100</v>
      </c>
      <c r="X31" s="963"/>
      <c r="Y31" s="4930"/>
      <c r="Z31" s="964" t="str">
        <f t="shared" si="15"/>
        <v>建筑结构</v>
      </c>
      <c r="AA31" s="961">
        <f t="shared" si="3"/>
        <v>1</v>
      </c>
      <c r="AB31" s="961">
        <f t="shared" si="4"/>
        <v>1</v>
      </c>
      <c r="AC31" s="961">
        <f t="shared" si="5"/>
        <v>1</v>
      </c>
    </row>
    <row r="32" spans="1:29" ht="15">
      <c r="A32" s="286"/>
      <c r="B32" s="258" t="s">
        <v>1692</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4967"/>
      <c r="Q32" s="3277" t="str">
        <f t="shared" si="11"/>
        <v>公共部分装修</v>
      </c>
      <c r="R32" s="4077" t="s">
        <v>13</v>
      </c>
      <c r="S32" s="4080">
        <f t="shared" si="12"/>
        <v>100</v>
      </c>
      <c r="T32" s="4077" t="s">
        <v>13</v>
      </c>
      <c r="U32" s="4080">
        <f t="shared" si="13"/>
        <v>100</v>
      </c>
      <c r="V32" s="4077" t="s">
        <v>13</v>
      </c>
      <c r="W32" s="4080">
        <f t="shared" si="14"/>
        <v>100</v>
      </c>
      <c r="X32" s="963"/>
      <c r="Y32" s="4930"/>
      <c r="Z32" s="964" t="str">
        <f t="shared" si="15"/>
        <v>公共部分装修</v>
      </c>
      <c r="AA32" s="961">
        <f t="shared" si="3"/>
        <v>1</v>
      </c>
      <c r="AB32" s="961">
        <f t="shared" si="4"/>
        <v>1</v>
      </c>
      <c r="AC32" s="961">
        <f t="shared" si="5"/>
        <v>1</v>
      </c>
    </row>
    <row r="33" spans="1:29" ht="15">
      <c r="A33" s="286"/>
      <c r="B33" s="258" t="s">
        <v>1693</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4967"/>
      <c r="Q33" s="3277" t="str">
        <f t="shared" si="11"/>
        <v>成新度</v>
      </c>
      <c r="R33" s="4077" t="s">
        <v>13</v>
      </c>
      <c r="S33" s="4080" t="e">
        <f t="shared" si="12"/>
        <v>#N/A</v>
      </c>
      <c r="T33" s="4077" t="s">
        <v>13</v>
      </c>
      <c r="U33" s="4080" t="e">
        <f t="shared" si="13"/>
        <v>#N/A</v>
      </c>
      <c r="V33" s="4077" t="s">
        <v>13</v>
      </c>
      <c r="W33" s="4080" t="e">
        <f t="shared" si="14"/>
        <v>#N/A</v>
      </c>
      <c r="X33" s="963"/>
      <c r="Y33" s="4930"/>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4967"/>
      <c r="Q34" s="3274" t="str">
        <f t="shared" si="11"/>
        <v>物业管理</v>
      </c>
      <c r="R34" s="4076" t="s">
        <v>13</v>
      </c>
      <c r="S34" s="4079">
        <f t="shared" si="12"/>
        <v>100</v>
      </c>
      <c r="T34" s="4076" t="s">
        <v>13</v>
      </c>
      <c r="U34" s="4079">
        <f t="shared" si="13"/>
        <v>100</v>
      </c>
      <c r="V34" s="4076" t="s">
        <v>13</v>
      </c>
      <c r="W34" s="4079">
        <f t="shared" si="14"/>
        <v>100</v>
      </c>
      <c r="X34" s="504"/>
      <c r="Y34" s="4930"/>
      <c r="Z34" s="28" t="str">
        <f t="shared" si="15"/>
        <v>物业管理</v>
      </c>
      <c r="AA34" s="505">
        <f t="shared" si="3"/>
        <v>1</v>
      </c>
      <c r="AB34" s="505">
        <f t="shared" si="4"/>
        <v>1</v>
      </c>
      <c r="AC34" s="505">
        <f t="shared" si="5"/>
        <v>1</v>
      </c>
    </row>
    <row r="35" spans="1:29" ht="15">
      <c r="A35" s="286"/>
      <c r="B35" s="258" t="s">
        <v>1694</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4967" t="s">
        <v>1603</v>
      </c>
      <c r="Q35" s="3277" t="str">
        <f t="shared" si="11"/>
        <v>市政基础设施</v>
      </c>
      <c r="R35" s="4077" t="s">
        <v>13</v>
      </c>
      <c r="S35" s="4080">
        <f t="shared" si="12"/>
        <v>100</v>
      </c>
      <c r="T35" s="4077" t="s">
        <v>13</v>
      </c>
      <c r="U35" s="4080">
        <f t="shared" si="13"/>
        <v>100</v>
      </c>
      <c r="V35" s="4077" t="s">
        <v>13</v>
      </c>
      <c r="W35" s="4080">
        <f t="shared" si="14"/>
        <v>100</v>
      </c>
      <c r="X35" s="963"/>
      <c r="Y35" s="4930"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4967"/>
      <c r="Q36" s="3277" t="str">
        <f t="shared" si="11"/>
        <v>内部装修</v>
      </c>
      <c r="R36" s="4077" t="s">
        <v>13</v>
      </c>
      <c r="S36" s="4080">
        <f t="shared" si="12"/>
        <v>100</v>
      </c>
      <c r="T36" s="4077" t="s">
        <v>13</v>
      </c>
      <c r="U36" s="4080">
        <f t="shared" si="13"/>
        <v>100</v>
      </c>
      <c r="V36" s="4077" t="s">
        <v>13</v>
      </c>
      <c r="W36" s="4080">
        <f t="shared" si="14"/>
        <v>100</v>
      </c>
      <c r="X36" s="963"/>
      <c r="Y36" s="4930"/>
      <c r="Z36" s="964" t="str">
        <f t="shared" si="15"/>
        <v>内部装修</v>
      </c>
      <c r="AA36" s="961">
        <f t="shared" si="3"/>
        <v>1</v>
      </c>
      <c r="AB36" s="961">
        <f t="shared" si="4"/>
        <v>1</v>
      </c>
      <c r="AC36" s="961">
        <f t="shared" si="5"/>
        <v>1</v>
      </c>
    </row>
    <row r="37" spans="1:29" ht="15">
      <c r="A37" s="286"/>
      <c r="B37" s="258" t="s">
        <v>1735</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4967"/>
      <c r="Q37" s="3277" t="str">
        <f t="shared" si="11"/>
        <v>内部装修状况</v>
      </c>
      <c r="R37" s="4077" t="s">
        <v>13</v>
      </c>
      <c r="S37" s="4080">
        <f t="shared" si="12"/>
        <v>100</v>
      </c>
      <c r="T37" s="4077" t="s">
        <v>13</v>
      </c>
      <c r="U37" s="4080">
        <f t="shared" si="13"/>
        <v>100</v>
      </c>
      <c r="V37" s="4077" t="s">
        <v>13</v>
      </c>
      <c r="W37" s="4080">
        <f t="shared" si="14"/>
        <v>100</v>
      </c>
      <c r="X37" s="963"/>
      <c r="Y37" s="4930"/>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4967"/>
      <c r="Q38" s="3106">
        <f t="shared" si="11"/>
        <v>111</v>
      </c>
      <c r="R38" s="4078" t="s">
        <v>13</v>
      </c>
      <c r="S38" s="4081">
        <f t="shared" si="12"/>
        <v>100</v>
      </c>
      <c r="T38" s="4078" t="s">
        <v>13</v>
      </c>
      <c r="U38" s="4081">
        <f t="shared" si="13"/>
        <v>100</v>
      </c>
      <c r="V38" s="4078" t="s">
        <v>13</v>
      </c>
      <c r="W38" s="4081">
        <f t="shared" si="14"/>
        <v>100</v>
      </c>
      <c r="X38" s="507"/>
      <c r="Y38" s="4930"/>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4967"/>
      <c r="Q39" s="3277">
        <f t="shared" si="11"/>
        <v>111</v>
      </c>
      <c r="R39" s="4077" t="s">
        <v>13</v>
      </c>
      <c r="S39" s="4080">
        <f t="shared" si="12"/>
        <v>100</v>
      </c>
      <c r="T39" s="4077" t="s">
        <v>13</v>
      </c>
      <c r="U39" s="4080">
        <f t="shared" si="13"/>
        <v>100</v>
      </c>
      <c r="V39" s="4077" t="s">
        <v>13</v>
      </c>
      <c r="W39" s="4080">
        <f t="shared" si="14"/>
        <v>100</v>
      </c>
      <c r="X39" s="963"/>
      <c r="Y39" s="4930"/>
      <c r="Z39" s="964">
        <f t="shared" si="15"/>
        <v>111</v>
      </c>
      <c r="AA39" s="961">
        <f t="shared" si="3"/>
        <v>1</v>
      </c>
      <c r="AB39" s="961">
        <f t="shared" si="4"/>
        <v>1</v>
      </c>
      <c r="AC39" s="961">
        <f t="shared" si="5"/>
        <v>1</v>
      </c>
    </row>
    <row r="40" spans="1:29" ht="15.75"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4968"/>
      <c r="Q40" s="3277">
        <f t="shared" si="11"/>
        <v>111</v>
      </c>
      <c r="R40" s="4077" t="s">
        <v>13</v>
      </c>
      <c r="S40" s="4080">
        <f t="shared" si="12"/>
        <v>100</v>
      </c>
      <c r="T40" s="4077" t="s">
        <v>13</v>
      </c>
      <c r="U40" s="4080">
        <f t="shared" si="13"/>
        <v>100</v>
      </c>
      <c r="V40" s="4077" t="s">
        <v>13</v>
      </c>
      <c r="W40" s="4080">
        <f t="shared" si="14"/>
        <v>100</v>
      </c>
      <c r="X40" s="963"/>
      <c r="Y40" s="4931"/>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23" t="str">
        <f>A41</f>
        <v>成交单价（元/平方米）</v>
      </c>
      <c r="Q41" s="4923"/>
      <c r="R41" s="4924">
        <f>E41</f>
        <v>0</v>
      </c>
      <c r="S41" s="4924"/>
      <c r="T41" s="4924">
        <f>G41</f>
        <v>0</v>
      </c>
      <c r="U41" s="4924"/>
      <c r="V41" s="4924">
        <f>I41</f>
        <v>0</v>
      </c>
      <c r="W41" s="4924"/>
      <c r="X41" s="493"/>
      <c r="Y41" s="509"/>
      <c r="Z41" s="493"/>
      <c r="AA41" s="493"/>
      <c r="AB41" s="493"/>
      <c r="AC41" s="493"/>
    </row>
    <row r="42" spans="1:29" ht="15.75" thickBot="1">
      <c r="A42" s="295" t="s">
        <v>1700</v>
      </c>
      <c r="B42" s="296"/>
      <c r="C42" s="4042" t="e">
        <f>R43</f>
        <v>#DIV/0!</v>
      </c>
      <c r="D42" s="4199" t="s">
        <v>2042</v>
      </c>
      <c r="E42" s="3127" t="e">
        <f>R42</f>
        <v>#DIV/0!</v>
      </c>
      <c r="F42" s="3042"/>
      <c r="G42" s="3126" t="e">
        <f>T42</f>
        <v>#DIV/0!</v>
      </c>
      <c r="H42" s="3042"/>
      <c r="I42" s="3127" t="e">
        <f>V42</f>
        <v>#DIV/0!</v>
      </c>
      <c r="J42" s="3042"/>
      <c r="K42" s="3097">
        <f>F42+H42+J42</f>
        <v>0</v>
      </c>
      <c r="L42" s="638"/>
      <c r="M42" s="639"/>
      <c r="N42" s="626"/>
      <c r="O42" s="639"/>
      <c r="P42" s="4923" t="str">
        <f>A42</f>
        <v>比较价值（元/平方米）</v>
      </c>
      <c r="Q42" s="4923"/>
      <c r="R42" s="4924" t="e">
        <f>IF(F1="售价",ROUND(PRODUCT(R41,AA7:AA40),0),ROUND(PRODUCT(R41,AA7:AA40),1))</f>
        <v>#DIV/0!</v>
      </c>
      <c r="S42" s="4924"/>
      <c r="T42" s="4924" t="e">
        <f>IF(F1="售价",ROUND(PRODUCT(T41,AB7:AB40),0),ROUND(PRODUCT(T41,AB7:AB40),1))</f>
        <v>#DIV/0!</v>
      </c>
      <c r="U42" s="4924"/>
      <c r="V42" s="4924" t="e">
        <f>IF(F1="售价",ROUND(PRODUCT(V41,AC7:AC40),0),ROUND(PRODUCT(V41,AC7:AC40),1))</f>
        <v>#DIV/0!</v>
      </c>
      <c r="W42" s="4924"/>
      <c r="X42" s="493"/>
      <c r="Y42" s="493"/>
      <c r="Z42" s="493"/>
      <c r="AA42" s="493"/>
      <c r="AB42" s="493"/>
      <c r="AC42" s="493"/>
    </row>
    <row r="43" spans="1:29" ht="15.75" thickBot="1">
      <c r="A43" s="297" t="s">
        <v>1701</v>
      </c>
      <c r="B43" s="298"/>
      <c r="C43" s="4054" t="e">
        <f>R43</f>
        <v>#DIV/0!</v>
      </c>
      <c r="D43" s="812"/>
      <c r="E43" s="812"/>
      <c r="F43" s="812"/>
      <c r="G43" s="812"/>
      <c r="H43" s="812"/>
      <c r="I43" s="812"/>
      <c r="J43" s="812"/>
      <c r="K43" s="511"/>
      <c r="L43" s="638"/>
      <c r="M43" s="639"/>
      <c r="N43" s="639"/>
      <c r="O43" s="639"/>
      <c r="P43" s="4920" t="str">
        <f>A43</f>
        <v>估价对象XX用房的比较价值（楼面单价，元/平方米）</v>
      </c>
      <c r="Q43" s="4921"/>
      <c r="R43" s="4922" t="e">
        <f>IF(F1="售价",ROUND(IF(D42="简单平均",AVERAGE(R42:V42),R42*F42+T42*H42+V42*J42),0),ROUND(IF(D42="简单平均",AVERAGE(R42:V42),R42*F42+T42*H42+V42*J42),1))</f>
        <v>#DIV/0!</v>
      </c>
      <c r="S43" s="4922"/>
      <c r="T43" s="4922"/>
      <c r="U43" s="4922"/>
      <c r="V43" s="4922"/>
      <c r="W43" s="492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3876</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70" t="s">
        <v>1682</v>
      </c>
      <c r="Q4" s="4971"/>
      <c r="R4" s="4913" t="s">
        <v>1678</v>
      </c>
      <c r="S4" s="4914"/>
      <c r="T4" s="4913" t="s">
        <v>1679</v>
      </c>
      <c r="U4" s="4914"/>
      <c r="V4" s="4934" t="s">
        <v>1680</v>
      </c>
      <c r="W4" s="4934"/>
      <c r="X4" s="963"/>
      <c r="Y4" s="4913" t="s">
        <v>1682</v>
      </c>
      <c r="Z4" s="4914"/>
      <c r="AA4" s="4879" t="s">
        <v>1678</v>
      </c>
      <c r="AB4" s="4880" t="s">
        <v>1679</v>
      </c>
      <c r="AC4" s="4879" t="s">
        <v>1680</v>
      </c>
    </row>
    <row r="5" spans="1:29" ht="15">
      <c r="A5" s="244"/>
      <c r="B5" s="245"/>
      <c r="C5" s="4940" t="s">
        <v>1580</v>
      </c>
      <c r="D5" s="4941"/>
      <c r="E5" s="4938" t="s">
        <v>1581</v>
      </c>
      <c r="F5" s="4939"/>
      <c r="G5" s="4940" t="s">
        <v>1582</v>
      </c>
      <c r="H5" s="4941"/>
      <c r="I5" s="4940" t="s">
        <v>1583</v>
      </c>
      <c r="J5" s="4941"/>
      <c r="K5" s="406"/>
      <c r="L5" s="2146"/>
      <c r="M5" s="2147"/>
      <c r="N5" s="2147"/>
      <c r="O5" s="2147"/>
      <c r="P5" s="4972"/>
      <c r="Q5" s="4973"/>
      <c r="R5" s="4915"/>
      <c r="S5" s="4916"/>
      <c r="T5" s="4915"/>
      <c r="U5" s="4916"/>
      <c r="V5" s="4934"/>
      <c r="W5" s="4934"/>
      <c r="X5" s="963"/>
      <c r="Y5" s="4915"/>
      <c r="Z5" s="4916"/>
      <c r="AA5" s="4880"/>
      <c r="AB5" s="4880"/>
      <c r="AC5" s="4880"/>
    </row>
    <row r="6" spans="1:29" ht="15.75" thickBot="1">
      <c r="A6" s="246"/>
      <c r="B6" s="247"/>
      <c r="C6" s="4942" t="s">
        <v>1584</v>
      </c>
      <c r="D6" s="4943"/>
      <c r="E6" s="4944" t="s">
        <v>1584</v>
      </c>
      <c r="F6" s="4945"/>
      <c r="G6" s="4942" t="s">
        <v>1584</v>
      </c>
      <c r="H6" s="4943"/>
      <c r="I6" s="4942" t="s">
        <v>1584</v>
      </c>
      <c r="J6" s="4943"/>
      <c r="K6" s="406" t="s">
        <v>1585</v>
      </c>
      <c r="L6" s="2146"/>
      <c r="M6" s="2147"/>
      <c r="N6" s="2147"/>
      <c r="O6" s="2147"/>
      <c r="P6" s="4974"/>
      <c r="Q6" s="4975"/>
      <c r="R6" s="4915"/>
      <c r="S6" s="4916"/>
      <c r="T6" s="4917"/>
      <c r="U6" s="4918"/>
      <c r="V6" s="4934"/>
      <c r="W6" s="4934"/>
      <c r="X6" s="963"/>
      <c r="Y6" s="4917"/>
      <c r="Z6" s="4918"/>
      <c r="AA6" s="4881"/>
      <c r="AB6" s="4881"/>
      <c r="AC6" s="4881"/>
    </row>
    <row r="7" spans="1:29" s="49" customFormat="1" ht="15.75" thickBot="1">
      <c r="A7" s="248" t="s">
        <v>1586</v>
      </c>
      <c r="B7" s="249"/>
      <c r="C7" s="250">
        <f>'数据-取费表'!B2</f>
        <v>46077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882" t="s">
        <v>1587</v>
      </c>
      <c r="Q7" s="4976"/>
      <c r="R7" s="4084" t="s">
        <v>13</v>
      </c>
      <c r="S7" s="4087">
        <f t="shared" ref="S7:S14" si="0">F7</f>
        <v>0</v>
      </c>
      <c r="T7" s="4084" t="s">
        <v>13</v>
      </c>
      <c r="U7" s="4087">
        <f t="shared" ref="U7:U14" si="1">H7</f>
        <v>0</v>
      </c>
      <c r="V7" s="4084" t="s">
        <v>13</v>
      </c>
      <c r="W7" s="4087">
        <f t="shared" ref="W7:W14" si="2">J7</f>
        <v>0</v>
      </c>
      <c r="X7" s="504"/>
      <c r="Y7" s="4882" t="s">
        <v>1587</v>
      </c>
      <c r="Z7" s="4883"/>
      <c r="AA7" s="505" t="e">
        <f>D7/F7</f>
        <v>#DIV/0!</v>
      </c>
      <c r="AB7" s="505" t="e">
        <f>D7/H7</f>
        <v>#DIV/0!</v>
      </c>
      <c r="AC7" s="505" t="e">
        <f>D7/J7</f>
        <v>#DIV/0!</v>
      </c>
    </row>
    <row r="8" spans="1:29" s="49" customFormat="1" ht="15.75" thickBot="1">
      <c r="A8" s="248" t="s">
        <v>1588</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882" t="s">
        <v>1590</v>
      </c>
      <c r="Q8" s="4883"/>
      <c r="R8" s="4084" t="s">
        <v>13</v>
      </c>
      <c r="S8" s="4087">
        <f t="shared" si="0"/>
        <v>100</v>
      </c>
      <c r="T8" s="4084" t="s">
        <v>13</v>
      </c>
      <c r="U8" s="4087">
        <f t="shared" si="1"/>
        <v>100</v>
      </c>
      <c r="V8" s="4084" t="s">
        <v>13</v>
      </c>
      <c r="W8" s="4087">
        <f t="shared" si="2"/>
        <v>100</v>
      </c>
      <c r="X8" s="504"/>
      <c r="Y8" s="4882" t="s">
        <v>1590</v>
      </c>
      <c r="Z8" s="4883"/>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4969" t="s">
        <v>1593</v>
      </c>
      <c r="Q9" s="952" t="str">
        <f t="shared" ref="Q9:Q14" si="6">B9</f>
        <v>用途</v>
      </c>
      <c r="R9" s="4084" t="s">
        <v>13</v>
      </c>
      <c r="S9" s="4087">
        <f t="shared" si="0"/>
        <v>100</v>
      </c>
      <c r="T9" s="4084" t="s">
        <v>13</v>
      </c>
      <c r="U9" s="4087">
        <f t="shared" si="1"/>
        <v>100</v>
      </c>
      <c r="V9" s="4084" t="s">
        <v>13</v>
      </c>
      <c r="W9" s="4087">
        <f t="shared" si="2"/>
        <v>100</v>
      </c>
      <c r="X9" s="504"/>
      <c r="Y9" s="4897"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4969"/>
      <c r="Q10" s="952" t="str">
        <f t="shared" si="6"/>
        <v>土地使用年限（年）</v>
      </c>
      <c r="R10" s="4084" t="s">
        <v>13</v>
      </c>
      <c r="S10" s="4087">
        <f t="shared" si="0"/>
        <v>100</v>
      </c>
      <c r="T10" s="4084" t="s">
        <v>13</v>
      </c>
      <c r="U10" s="4087">
        <f t="shared" si="1"/>
        <v>100</v>
      </c>
      <c r="V10" s="4084" t="s">
        <v>13</v>
      </c>
      <c r="W10" s="4087">
        <f t="shared" si="2"/>
        <v>100</v>
      </c>
      <c r="X10" s="504"/>
      <c r="Y10" s="4897"/>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4969"/>
      <c r="Q11" s="952">
        <f t="shared" si="6"/>
        <v>111</v>
      </c>
      <c r="R11" s="4084" t="s">
        <v>13</v>
      </c>
      <c r="S11" s="4087">
        <f t="shared" si="0"/>
        <v>100</v>
      </c>
      <c r="T11" s="4084" t="s">
        <v>13</v>
      </c>
      <c r="U11" s="4087">
        <f t="shared" si="1"/>
        <v>100</v>
      </c>
      <c r="V11" s="4084" t="s">
        <v>13</v>
      </c>
      <c r="W11" s="4087">
        <f t="shared" si="2"/>
        <v>100</v>
      </c>
      <c r="X11" s="504"/>
      <c r="Y11" s="4897"/>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4969"/>
      <c r="Q12" s="952">
        <f t="shared" si="6"/>
        <v>111</v>
      </c>
      <c r="R12" s="4084" t="s">
        <v>13</v>
      </c>
      <c r="S12" s="4087">
        <f t="shared" si="0"/>
        <v>100</v>
      </c>
      <c r="T12" s="4084" t="s">
        <v>13</v>
      </c>
      <c r="U12" s="4087">
        <f t="shared" si="1"/>
        <v>100</v>
      </c>
      <c r="V12" s="4084" t="s">
        <v>13</v>
      </c>
      <c r="W12" s="4087">
        <f t="shared" si="2"/>
        <v>100</v>
      </c>
      <c r="X12" s="504"/>
      <c r="Y12" s="4897"/>
      <c r="Z12" s="28">
        <f t="shared" si="7"/>
        <v>111</v>
      </c>
      <c r="AA12" s="505">
        <f>D12/F12</f>
        <v>1</v>
      </c>
      <c r="AB12" s="505">
        <f>D12/H12</f>
        <v>1</v>
      </c>
      <c r="AC12" s="505">
        <f>D12/J12</f>
        <v>1</v>
      </c>
    </row>
    <row r="13" spans="1:29" ht="15.75"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4969"/>
      <c r="Q13" s="952">
        <f t="shared" si="6"/>
        <v>111</v>
      </c>
      <c r="R13" s="4084" t="s">
        <v>13</v>
      </c>
      <c r="S13" s="4087">
        <f t="shared" si="0"/>
        <v>100</v>
      </c>
      <c r="T13" s="4084" t="s">
        <v>13</v>
      </c>
      <c r="U13" s="4087">
        <f t="shared" si="1"/>
        <v>100</v>
      </c>
      <c r="V13" s="4084" t="s">
        <v>13</v>
      </c>
      <c r="W13" s="4087">
        <f t="shared" si="2"/>
        <v>100</v>
      </c>
      <c r="X13" s="504"/>
      <c r="Y13" s="4897"/>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25" t="s">
        <v>1598</v>
      </c>
      <c r="Q14" s="960" t="str">
        <f t="shared" si="6"/>
        <v>交通便捷度</v>
      </c>
      <c r="R14" s="4085" t="s">
        <v>13</v>
      </c>
      <c r="S14" s="4088">
        <f t="shared" si="0"/>
        <v>100</v>
      </c>
      <c r="T14" s="4085" t="s">
        <v>13</v>
      </c>
      <c r="U14" s="4088">
        <f t="shared" si="1"/>
        <v>100</v>
      </c>
      <c r="V14" s="4085" t="s">
        <v>13</v>
      </c>
      <c r="W14" s="4088">
        <f t="shared" si="2"/>
        <v>100</v>
      </c>
      <c r="X14" s="963"/>
      <c r="Y14" s="4925" t="s">
        <v>1598</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26"/>
      <c r="Q15" s="960"/>
      <c r="R15" s="4085"/>
      <c r="S15" s="4088"/>
      <c r="T15" s="4085"/>
      <c r="U15" s="4088"/>
      <c r="V15" s="4085"/>
      <c r="W15" s="4088"/>
      <c r="X15" s="963"/>
      <c r="Y15" s="4926"/>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26"/>
      <c r="Q16" s="960" t="str">
        <f>B16</f>
        <v>公共配套设施</v>
      </c>
      <c r="R16" s="4085" t="s">
        <v>13</v>
      </c>
      <c r="S16" s="4088">
        <f>F16</f>
        <v>100</v>
      </c>
      <c r="T16" s="4085" t="s">
        <v>13</v>
      </c>
      <c r="U16" s="4088">
        <f>H16</f>
        <v>100</v>
      </c>
      <c r="V16" s="4085" t="s">
        <v>13</v>
      </c>
      <c r="W16" s="4088">
        <f>J16</f>
        <v>100</v>
      </c>
      <c r="X16" s="963"/>
      <c r="Y16" s="4926"/>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26"/>
      <c r="Q17" s="960"/>
      <c r="R17" s="4085"/>
      <c r="S17" s="4088"/>
      <c r="T17" s="4085"/>
      <c r="U17" s="4088"/>
      <c r="V17" s="4085"/>
      <c r="W17" s="4088"/>
      <c r="X17" s="963"/>
      <c r="Y17" s="4926"/>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26"/>
      <c r="Q18" s="960" t="str">
        <f>B18</f>
        <v>基础设施水平</v>
      </c>
      <c r="R18" s="4085" t="s">
        <v>13</v>
      </c>
      <c r="S18" s="4088">
        <f>F18</f>
        <v>100</v>
      </c>
      <c r="T18" s="4085" t="s">
        <v>13</v>
      </c>
      <c r="U18" s="4088">
        <f>H18</f>
        <v>100</v>
      </c>
      <c r="V18" s="4085" t="s">
        <v>13</v>
      </c>
      <c r="W18" s="4088">
        <f>J18</f>
        <v>100</v>
      </c>
      <c r="X18" s="963"/>
      <c r="Y18" s="4926"/>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26"/>
      <c r="Q19" s="960"/>
      <c r="R19" s="4085"/>
      <c r="S19" s="4088"/>
      <c r="T19" s="4085"/>
      <c r="U19" s="4088"/>
      <c r="V19" s="4085"/>
      <c r="W19" s="4088"/>
      <c r="X19" s="963"/>
      <c r="Y19" s="4926"/>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26"/>
      <c r="Q20" s="960" t="str">
        <f>B20</f>
        <v>自然及人文环境</v>
      </c>
      <c r="R20" s="4085" t="s">
        <v>13</v>
      </c>
      <c r="S20" s="4088">
        <f>F20</f>
        <v>100</v>
      </c>
      <c r="T20" s="4085" t="s">
        <v>13</v>
      </c>
      <c r="U20" s="4088">
        <f>H20</f>
        <v>100</v>
      </c>
      <c r="V20" s="4085" t="s">
        <v>13</v>
      </c>
      <c r="W20" s="4088">
        <f>J20</f>
        <v>100</v>
      </c>
      <c r="X20" s="963"/>
      <c r="Y20" s="4926"/>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26"/>
      <c r="Q21" s="960"/>
      <c r="R21" s="4085"/>
      <c r="S21" s="4088"/>
      <c r="T21" s="4085"/>
      <c r="U21" s="4088"/>
      <c r="V21" s="4085"/>
      <c r="W21" s="4088"/>
      <c r="X21" s="963"/>
      <c r="Y21" s="4926"/>
      <c r="Z21" s="964"/>
      <c r="AA21" s="961">
        <v>1</v>
      </c>
      <c r="AB21" s="961">
        <v>1</v>
      </c>
      <c r="AC21" s="961">
        <v>1</v>
      </c>
    </row>
    <row r="22" spans="1:29" ht="15">
      <c r="A22" s="244"/>
      <c r="B22" s="419" t="s">
        <v>1742</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26"/>
      <c r="Q22" s="960" t="str">
        <f>B22</f>
        <v>楼层</v>
      </c>
      <c r="R22" s="4085" t="s">
        <v>13</v>
      </c>
      <c r="S22" s="4088">
        <f>F22</f>
        <v>100</v>
      </c>
      <c r="T22" s="4085" t="s">
        <v>13</v>
      </c>
      <c r="U22" s="4088">
        <f>H22</f>
        <v>100</v>
      </c>
      <c r="V22" s="4085" t="s">
        <v>13</v>
      </c>
      <c r="W22" s="4088">
        <f>J22</f>
        <v>100</v>
      </c>
      <c r="X22" s="963"/>
      <c r="Y22" s="4926"/>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26"/>
      <c r="Q23" s="960">
        <f>B23</f>
        <v>111</v>
      </c>
      <c r="R23" s="4085" t="s">
        <v>13</v>
      </c>
      <c r="S23" s="4088">
        <f>F23</f>
        <v>100</v>
      </c>
      <c r="T23" s="4085" t="s">
        <v>13</v>
      </c>
      <c r="U23" s="4088">
        <f>H23</f>
        <v>100</v>
      </c>
      <c r="V23" s="4085" t="s">
        <v>13</v>
      </c>
      <c r="W23" s="4088">
        <f>J23</f>
        <v>100</v>
      </c>
      <c r="X23" s="963"/>
      <c r="Y23" s="4926"/>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26"/>
      <c r="Q24" s="960">
        <f t="shared" ref="Q24:Q36" si="11">B24</f>
        <v>111</v>
      </c>
      <c r="R24" s="4085" t="s">
        <v>13</v>
      </c>
      <c r="S24" s="4088">
        <f>F24</f>
        <v>100</v>
      </c>
      <c r="T24" s="4085" t="s">
        <v>13</v>
      </c>
      <c r="U24" s="4088">
        <f>H24</f>
        <v>100</v>
      </c>
      <c r="V24" s="4085" t="s">
        <v>13</v>
      </c>
      <c r="W24" s="4088">
        <f>J24</f>
        <v>100</v>
      </c>
      <c r="X24" s="963"/>
      <c r="Y24" s="4926"/>
      <c r="Z24" s="964">
        <f>Q24</f>
        <v>111</v>
      </c>
      <c r="AA24" s="961">
        <f t="shared" si="3"/>
        <v>1</v>
      </c>
      <c r="AB24" s="961">
        <f t="shared" si="4"/>
        <v>1</v>
      </c>
      <c r="AC24" s="961">
        <f t="shared" si="5"/>
        <v>1</v>
      </c>
    </row>
    <row r="25" spans="1:29" s="49" customFormat="1" ht="15.75"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26"/>
      <c r="Q25" s="952">
        <f t="shared" si="11"/>
        <v>111</v>
      </c>
      <c r="R25" s="4084" t="s">
        <v>13</v>
      </c>
      <c r="S25" s="4087">
        <f>F25</f>
        <v>100</v>
      </c>
      <c r="T25" s="4084" t="s">
        <v>13</v>
      </c>
      <c r="U25" s="4087">
        <f>H25</f>
        <v>100</v>
      </c>
      <c r="V25" s="4084" t="s">
        <v>13</v>
      </c>
      <c r="W25" s="4087">
        <f>J25</f>
        <v>100</v>
      </c>
      <c r="X25" s="504"/>
      <c r="Y25" s="4926"/>
      <c r="Z25" s="28">
        <f>Q25</f>
        <v>111</v>
      </c>
      <c r="AA25" s="961">
        <f>D25/F25</f>
        <v>1</v>
      </c>
      <c r="AB25" s="961">
        <f>D25/H25</f>
        <v>1</v>
      </c>
      <c r="AC25" s="961">
        <f>D25/J25</f>
        <v>1</v>
      </c>
    </row>
    <row r="26" spans="1:29" ht="28.5">
      <c r="A26" s="436" t="s">
        <v>1601</v>
      </c>
      <c r="B26" s="33" t="s">
        <v>1743</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4977" t="s">
        <v>1603</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30"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30"/>
      <c r="Q27" s="506" t="str">
        <f t="shared" si="11"/>
        <v>项目停车位配比</v>
      </c>
      <c r="R27" s="4086" t="s">
        <v>13</v>
      </c>
      <c r="S27" s="4089">
        <f t="shared" si="12"/>
        <v>100</v>
      </c>
      <c r="T27" s="4086" t="s">
        <v>13</v>
      </c>
      <c r="U27" s="4089">
        <f t="shared" si="13"/>
        <v>100</v>
      </c>
      <c r="V27" s="4086" t="s">
        <v>13</v>
      </c>
      <c r="W27" s="4089">
        <f t="shared" si="14"/>
        <v>100</v>
      </c>
      <c r="X27" s="507"/>
      <c r="Y27" s="4930"/>
      <c r="Z27" s="508" t="str">
        <f t="shared" si="15"/>
        <v>项目停车位配比</v>
      </c>
      <c r="AA27" s="961">
        <f t="shared" si="3"/>
        <v>1</v>
      </c>
      <c r="AB27" s="961">
        <f t="shared" si="4"/>
        <v>1</v>
      </c>
      <c r="AC27" s="961">
        <f t="shared" si="5"/>
        <v>1</v>
      </c>
    </row>
    <row r="28" spans="1:29" ht="15">
      <c r="A28" s="440"/>
      <c r="B28" s="438" t="s">
        <v>1745</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30"/>
      <c r="Q28" s="960" t="str">
        <f t="shared" si="11"/>
        <v>公共部分装修</v>
      </c>
      <c r="R28" s="4085" t="s">
        <v>13</v>
      </c>
      <c r="S28" s="4088">
        <f t="shared" si="12"/>
        <v>100</v>
      </c>
      <c r="T28" s="4085" t="s">
        <v>13</v>
      </c>
      <c r="U28" s="4088">
        <f t="shared" si="13"/>
        <v>100</v>
      </c>
      <c r="V28" s="4085" t="s">
        <v>13</v>
      </c>
      <c r="W28" s="4088">
        <f t="shared" si="14"/>
        <v>100</v>
      </c>
      <c r="X28" s="963"/>
      <c r="Y28" s="4930"/>
      <c r="Z28" s="964" t="str">
        <f t="shared" si="15"/>
        <v>公共部分装修</v>
      </c>
      <c r="AA28" s="961">
        <f t="shared" si="3"/>
        <v>1</v>
      </c>
      <c r="AB28" s="961">
        <f t="shared" si="4"/>
        <v>1</v>
      </c>
      <c r="AC28" s="961">
        <f t="shared" si="5"/>
        <v>1</v>
      </c>
    </row>
    <row r="29" spans="1:29" ht="15">
      <c r="A29" s="440"/>
      <c r="B29" s="438" t="s">
        <v>1746</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30"/>
      <c r="Q29" s="960" t="str">
        <f t="shared" si="11"/>
        <v>成新率</v>
      </c>
      <c r="R29" s="4085" t="s">
        <v>13</v>
      </c>
      <c r="S29" s="4088" t="e">
        <f t="shared" si="12"/>
        <v>#N/A</v>
      </c>
      <c r="T29" s="4085" t="s">
        <v>13</v>
      </c>
      <c r="U29" s="4088" t="e">
        <f t="shared" si="13"/>
        <v>#N/A</v>
      </c>
      <c r="V29" s="4085" t="s">
        <v>13</v>
      </c>
      <c r="W29" s="4088" t="e">
        <f t="shared" si="14"/>
        <v>#N/A</v>
      </c>
      <c r="X29" s="963"/>
      <c r="Y29" s="4930"/>
      <c r="Z29" s="964" t="str">
        <f t="shared" si="15"/>
        <v>成新率</v>
      </c>
      <c r="AA29" s="961" t="e">
        <f t="shared" si="3"/>
        <v>#N/A</v>
      </c>
      <c r="AB29" s="961" t="e">
        <f t="shared" si="4"/>
        <v>#N/A</v>
      </c>
      <c r="AC29" s="961" t="e">
        <f t="shared" si="5"/>
        <v>#N/A</v>
      </c>
    </row>
    <row r="30" spans="1:29" ht="15">
      <c r="A30" s="440"/>
      <c r="B30" s="438" t="s">
        <v>1747</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30"/>
      <c r="Q30" s="960" t="str">
        <f t="shared" si="11"/>
        <v>物业等级</v>
      </c>
      <c r="R30" s="4085" t="s">
        <v>13</v>
      </c>
      <c r="S30" s="4088">
        <f t="shared" si="12"/>
        <v>100</v>
      </c>
      <c r="T30" s="4085" t="s">
        <v>13</v>
      </c>
      <c r="U30" s="4088">
        <f t="shared" si="13"/>
        <v>100</v>
      </c>
      <c r="V30" s="4085" t="s">
        <v>13</v>
      </c>
      <c r="W30" s="4088">
        <f t="shared" si="14"/>
        <v>100</v>
      </c>
      <c r="X30" s="963"/>
      <c r="Y30" s="4930"/>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30"/>
      <c r="Q31" s="952" t="str">
        <f t="shared" si="11"/>
        <v>停车位面积</v>
      </c>
      <c r="R31" s="4084" t="s">
        <v>13</v>
      </c>
      <c r="S31" s="4087" t="e">
        <f t="shared" si="12"/>
        <v>#N/A</v>
      </c>
      <c r="T31" s="4084" t="s">
        <v>13</v>
      </c>
      <c r="U31" s="4087" t="e">
        <f t="shared" si="13"/>
        <v>#N/A</v>
      </c>
      <c r="V31" s="4084" t="s">
        <v>13</v>
      </c>
      <c r="W31" s="4087" t="e">
        <f t="shared" si="14"/>
        <v>#N/A</v>
      </c>
      <c r="X31" s="504"/>
      <c r="Y31" s="4930"/>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30" t="s">
        <v>1603</v>
      </c>
      <c r="Q32" s="960" t="str">
        <f t="shared" si="11"/>
        <v>车位类型</v>
      </c>
      <c r="R32" s="4085" t="s">
        <v>13</v>
      </c>
      <c r="S32" s="4088">
        <f t="shared" si="12"/>
        <v>100</v>
      </c>
      <c r="T32" s="4085" t="s">
        <v>13</v>
      </c>
      <c r="U32" s="4088">
        <f t="shared" si="13"/>
        <v>100</v>
      </c>
      <c r="V32" s="4085" t="s">
        <v>13</v>
      </c>
      <c r="W32" s="4088">
        <f t="shared" si="14"/>
        <v>100</v>
      </c>
      <c r="X32" s="963"/>
      <c r="Y32" s="4930" t="s">
        <v>1603</v>
      </c>
      <c r="Z32" s="964" t="str">
        <f t="shared" si="15"/>
        <v>车位类型</v>
      </c>
      <c r="AA32" s="961">
        <f t="shared" si="3"/>
        <v>1</v>
      </c>
      <c r="AB32" s="961">
        <f t="shared" si="4"/>
        <v>1</v>
      </c>
      <c r="AC32" s="961">
        <f t="shared" si="5"/>
        <v>1</v>
      </c>
    </row>
    <row r="33" spans="1:29" ht="15">
      <c r="A33" s="440"/>
      <c r="B33" s="438" t="s">
        <v>1750</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30"/>
      <c r="Q33" s="960" t="str">
        <f t="shared" si="11"/>
        <v>是否直接入户</v>
      </c>
      <c r="R33" s="4085" t="s">
        <v>13</v>
      </c>
      <c r="S33" s="4088">
        <f t="shared" si="12"/>
        <v>100</v>
      </c>
      <c r="T33" s="4085" t="s">
        <v>13</v>
      </c>
      <c r="U33" s="4088">
        <f t="shared" si="13"/>
        <v>100</v>
      </c>
      <c r="V33" s="4085" t="s">
        <v>13</v>
      </c>
      <c r="W33" s="4088">
        <f t="shared" si="14"/>
        <v>100</v>
      </c>
      <c r="X33" s="963"/>
      <c r="Y33" s="4930"/>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30"/>
      <c r="Q34" s="960">
        <f t="shared" si="11"/>
        <v>111</v>
      </c>
      <c r="R34" s="4085" t="s">
        <v>13</v>
      </c>
      <c r="S34" s="4088">
        <f t="shared" si="12"/>
        <v>100</v>
      </c>
      <c r="T34" s="4085" t="s">
        <v>13</v>
      </c>
      <c r="U34" s="4088">
        <f t="shared" si="13"/>
        <v>100</v>
      </c>
      <c r="V34" s="4085" t="s">
        <v>13</v>
      </c>
      <c r="W34" s="4088">
        <f t="shared" si="14"/>
        <v>100</v>
      </c>
      <c r="X34" s="963"/>
      <c r="Y34" s="4930"/>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30"/>
      <c r="Q35" s="506">
        <f t="shared" si="11"/>
        <v>111</v>
      </c>
      <c r="R35" s="4086" t="s">
        <v>13</v>
      </c>
      <c r="S35" s="4089">
        <f t="shared" si="12"/>
        <v>100</v>
      </c>
      <c r="T35" s="4086" t="s">
        <v>13</v>
      </c>
      <c r="U35" s="4089">
        <f t="shared" si="13"/>
        <v>100</v>
      </c>
      <c r="V35" s="4086" t="s">
        <v>13</v>
      </c>
      <c r="W35" s="4089">
        <f t="shared" si="14"/>
        <v>100</v>
      </c>
      <c r="X35" s="507"/>
      <c r="Y35" s="4930"/>
      <c r="Z35" s="508">
        <f t="shared" si="15"/>
        <v>111</v>
      </c>
      <c r="AA35" s="961">
        <f t="shared" si="3"/>
        <v>1</v>
      </c>
      <c r="AB35" s="961">
        <f t="shared" si="4"/>
        <v>1</v>
      </c>
      <c r="AC35" s="961">
        <f t="shared" si="5"/>
        <v>1</v>
      </c>
    </row>
    <row r="36" spans="1:29" ht="15.75"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30"/>
      <c r="Q36" s="960">
        <f t="shared" si="11"/>
        <v>111</v>
      </c>
      <c r="R36" s="4085" t="s">
        <v>13</v>
      </c>
      <c r="S36" s="4088">
        <f t="shared" si="12"/>
        <v>100</v>
      </c>
      <c r="T36" s="4085" t="s">
        <v>13</v>
      </c>
      <c r="U36" s="4088">
        <f t="shared" si="13"/>
        <v>100</v>
      </c>
      <c r="V36" s="4085" t="s">
        <v>13</v>
      </c>
      <c r="W36" s="4088">
        <f t="shared" si="14"/>
        <v>100</v>
      </c>
      <c r="X36" s="963"/>
      <c r="Y36" s="4930"/>
      <c r="Z36" s="964">
        <f t="shared" si="15"/>
        <v>111</v>
      </c>
      <c r="AA36" s="961">
        <f t="shared" si="3"/>
        <v>1</v>
      </c>
      <c r="AB36" s="961">
        <f t="shared" si="4"/>
        <v>1</v>
      </c>
      <c r="AC36" s="961">
        <f t="shared" si="5"/>
        <v>1</v>
      </c>
    </row>
    <row r="37" spans="1:29" ht="15">
      <c r="A37" s="292" t="s">
        <v>1751</v>
      </c>
      <c r="B37" s="1532" t="s">
        <v>3239</v>
      </c>
      <c r="C37" s="808" t="s">
        <v>0</v>
      </c>
      <c r="D37" s="809"/>
      <c r="E37" s="3458"/>
      <c r="F37" s="3460"/>
      <c r="G37" s="3459"/>
      <c r="H37" s="3461"/>
      <c r="I37" s="3458"/>
      <c r="J37" s="3461"/>
      <c r="K37" s="3462"/>
      <c r="L37" s="2155"/>
      <c r="M37" s="2156"/>
      <c r="N37" s="2147"/>
      <c r="O37" s="2156"/>
      <c r="P37" s="4969" t="str">
        <f>A37</f>
        <v>成交单价</v>
      </c>
      <c r="Q37" s="4969"/>
      <c r="R37" s="4934">
        <f>E37</f>
        <v>0</v>
      </c>
      <c r="S37" s="4934"/>
      <c r="T37" s="4934">
        <f>G37</f>
        <v>0</v>
      </c>
      <c r="U37" s="4934"/>
      <c r="V37" s="4934">
        <f>I37</f>
        <v>0</v>
      </c>
      <c r="W37" s="4934"/>
      <c r="X37" s="493"/>
      <c r="Y37" s="509"/>
      <c r="Z37" s="493"/>
      <c r="AA37" s="493"/>
      <c r="AB37" s="493"/>
      <c r="AC37" s="493"/>
    </row>
    <row r="38" spans="1:29" ht="15.75" thickBot="1">
      <c r="A38" s="295" t="s">
        <v>1752</v>
      </c>
      <c r="B38" s="296" t="str">
        <f>B37</f>
        <v>元/平方米</v>
      </c>
      <c r="C38" s="4042" t="e">
        <f>R39</f>
        <v>#DIV/0!</v>
      </c>
      <c r="D38" s="4199" t="s">
        <v>2042</v>
      </c>
      <c r="E38" s="4053" t="e">
        <f>R38</f>
        <v>#DIV/0!</v>
      </c>
      <c r="F38" s="3042"/>
      <c r="G38" s="4042" t="e">
        <f>T38</f>
        <v>#DIV/0!</v>
      </c>
      <c r="H38" s="3042"/>
      <c r="I38" s="4053" t="e">
        <f>V38</f>
        <v>#DIV/0!</v>
      </c>
      <c r="J38" s="3042"/>
      <c r="K38" s="3097">
        <f>F38+H38+J38</f>
        <v>0</v>
      </c>
      <c r="L38" s="2155"/>
      <c r="M38" s="2156"/>
      <c r="N38" s="2156"/>
      <c r="O38" s="2156"/>
      <c r="P38" s="4969" t="str">
        <f>A38</f>
        <v>比较价值（元/平方米）</v>
      </c>
      <c r="Q38" s="4969"/>
      <c r="R38" s="4934" t="e">
        <f>IF(F1="售价",ROUND(PRODUCT(R37,AA7:AA36),0),ROUND(PRODUCT(R37,AA7:AA36),1))</f>
        <v>#DIV/0!</v>
      </c>
      <c r="S38" s="4934"/>
      <c r="T38" s="4934" t="e">
        <f>IF(F1="售价",ROUND(PRODUCT(T37,AB7:AB36),0),ROUND(PRODUCT(T37,AB7:AB36),1))</f>
        <v>#DIV/0!</v>
      </c>
      <c r="U38" s="4934"/>
      <c r="V38" s="4934" t="e">
        <f>IF(F1="售价",ROUND(PRODUCT(V37,AC7:AC36),0),ROUND(PRODUCT(V37,AC7:AC36),1))</f>
        <v>#DIV/0!</v>
      </c>
      <c r="W38" s="4934"/>
      <c r="X38" s="493"/>
      <c r="Y38" s="493"/>
      <c r="Z38" s="493"/>
      <c r="AA38" s="493"/>
      <c r="AB38" s="493"/>
      <c r="AC38" s="493"/>
    </row>
    <row r="39" spans="1:29" ht="15.75" thickBot="1">
      <c r="A39" s="297" t="s">
        <v>1753</v>
      </c>
      <c r="B39" s="298"/>
      <c r="C39" s="4054" t="e">
        <f>R39</f>
        <v>#DIV/0!</v>
      </c>
      <c r="D39" s="812"/>
      <c r="E39" s="812"/>
      <c r="F39" s="812"/>
      <c r="G39" s="812"/>
      <c r="H39" s="812"/>
      <c r="I39" s="812"/>
      <c r="J39" s="812"/>
      <c r="K39" s="413"/>
      <c r="L39" s="2155"/>
      <c r="M39" s="2156"/>
      <c r="N39" s="2156"/>
      <c r="O39" s="2156"/>
      <c r="P39" s="4978" t="str">
        <f>A39</f>
        <v>估价对象XX用房的比较价值（楼面单价，元/平方米）</v>
      </c>
      <c r="Q39" s="4979"/>
      <c r="R39" s="4980" t="e">
        <f>IF(F1="售价",ROUND(IF(D38="简单平均",AVERAGE(R38:W38),R38*F38+T38*H38+V38*J38),0),ROUND(IF(D38="简单平均",AVERAGE(R38:V38),R38*F38+T38*H38+V38*J38),1))</f>
        <v>#DIV/0!</v>
      </c>
      <c r="S39" s="4980"/>
      <c r="T39" s="4980"/>
      <c r="U39" s="4980"/>
      <c r="V39" s="4980"/>
      <c r="W39" s="498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70" t="s">
        <v>1682</v>
      </c>
      <c r="Q4" s="4971"/>
      <c r="R4" s="4913" t="s">
        <v>1678</v>
      </c>
      <c r="S4" s="4914"/>
      <c r="T4" s="4913" t="s">
        <v>1679</v>
      </c>
      <c r="U4" s="4914"/>
      <c r="V4" s="4934" t="s">
        <v>1680</v>
      </c>
      <c r="W4" s="4934"/>
      <c r="X4" s="963"/>
      <c r="Y4" s="4913" t="s">
        <v>1682</v>
      </c>
      <c r="Z4" s="4914"/>
      <c r="AA4" s="4879" t="s">
        <v>1678</v>
      </c>
      <c r="AB4" s="4880" t="s">
        <v>1679</v>
      </c>
      <c r="AC4" s="4879" t="s">
        <v>1680</v>
      </c>
    </row>
    <row r="5" spans="1:29" ht="15">
      <c r="A5" s="244"/>
      <c r="B5" s="245"/>
      <c r="C5" s="4940" t="s">
        <v>1580</v>
      </c>
      <c r="D5" s="4941"/>
      <c r="E5" s="4938" t="s">
        <v>1581</v>
      </c>
      <c r="F5" s="4939"/>
      <c r="G5" s="4940" t="s">
        <v>1582</v>
      </c>
      <c r="H5" s="4941"/>
      <c r="I5" s="4940" t="s">
        <v>1583</v>
      </c>
      <c r="J5" s="4941"/>
      <c r="K5" s="406"/>
      <c r="L5" s="2146"/>
      <c r="M5" s="2147"/>
      <c r="N5" s="2147"/>
      <c r="O5" s="2147"/>
      <c r="P5" s="4972"/>
      <c r="Q5" s="4973"/>
      <c r="R5" s="4915"/>
      <c r="S5" s="4916"/>
      <c r="T5" s="4915"/>
      <c r="U5" s="4916"/>
      <c r="V5" s="4934"/>
      <c r="W5" s="4934"/>
      <c r="X5" s="963"/>
      <c r="Y5" s="4915"/>
      <c r="Z5" s="4916"/>
      <c r="AA5" s="4880"/>
      <c r="AB5" s="4880"/>
      <c r="AC5" s="4880"/>
    </row>
    <row r="6" spans="1:29" ht="15.75" thickBot="1">
      <c r="A6" s="246"/>
      <c r="B6" s="247"/>
      <c r="C6" s="4942" t="s">
        <v>1584</v>
      </c>
      <c r="D6" s="4943"/>
      <c r="E6" s="4944" t="s">
        <v>1584</v>
      </c>
      <c r="F6" s="4945"/>
      <c r="G6" s="4942" t="s">
        <v>1584</v>
      </c>
      <c r="H6" s="4943"/>
      <c r="I6" s="4942" t="s">
        <v>1584</v>
      </c>
      <c r="J6" s="4943"/>
      <c r="K6" s="406" t="s">
        <v>1585</v>
      </c>
      <c r="L6" s="2146"/>
      <c r="M6" s="2147"/>
      <c r="N6" s="2147"/>
      <c r="O6" s="2147"/>
      <c r="P6" s="4974"/>
      <c r="Q6" s="4975"/>
      <c r="R6" s="4915"/>
      <c r="S6" s="4916"/>
      <c r="T6" s="4917"/>
      <c r="U6" s="4918"/>
      <c r="V6" s="4934"/>
      <c r="W6" s="4934"/>
      <c r="X6" s="963"/>
      <c r="Y6" s="4917"/>
      <c r="Z6" s="4918"/>
      <c r="AA6" s="4881"/>
      <c r="AB6" s="4881"/>
      <c r="AC6" s="4881"/>
    </row>
    <row r="7" spans="1:29" s="49" customFormat="1" ht="15.75" thickBot="1">
      <c r="A7" s="248" t="s">
        <v>1586</v>
      </c>
      <c r="B7" s="249"/>
      <c r="C7" s="250">
        <f>'数据-取费表'!B2</f>
        <v>46077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882" t="s">
        <v>1587</v>
      </c>
      <c r="Q7" s="4976"/>
      <c r="R7" s="4084" t="s">
        <v>13</v>
      </c>
      <c r="S7" s="4087">
        <f t="shared" ref="S7:S14" si="0">F7</f>
        <v>0</v>
      </c>
      <c r="T7" s="4084" t="s">
        <v>13</v>
      </c>
      <c r="U7" s="4087">
        <f t="shared" ref="U7:U14" si="1">H7</f>
        <v>0</v>
      </c>
      <c r="V7" s="4084" t="s">
        <v>13</v>
      </c>
      <c r="W7" s="4087">
        <f t="shared" ref="W7:W14" si="2">J7</f>
        <v>0</v>
      </c>
      <c r="X7" s="504"/>
      <c r="Y7" s="4882" t="s">
        <v>1587</v>
      </c>
      <c r="Z7" s="4883"/>
      <c r="AA7" s="505" t="e">
        <f>D7/F7</f>
        <v>#DIV/0!</v>
      </c>
      <c r="AB7" s="505" t="e">
        <f>D7/H7</f>
        <v>#DIV/0!</v>
      </c>
      <c r="AC7" s="505" t="e">
        <f>D7/J7</f>
        <v>#DIV/0!</v>
      </c>
    </row>
    <row r="8" spans="1:29" s="49" customFormat="1" ht="15.75" thickBot="1">
      <c r="A8" s="248" t="s">
        <v>1588</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882" t="s">
        <v>1590</v>
      </c>
      <c r="Q8" s="4883"/>
      <c r="R8" s="4084" t="s">
        <v>13</v>
      </c>
      <c r="S8" s="4087">
        <f t="shared" si="0"/>
        <v>100</v>
      </c>
      <c r="T8" s="4084" t="s">
        <v>13</v>
      </c>
      <c r="U8" s="4087">
        <f t="shared" si="1"/>
        <v>100</v>
      </c>
      <c r="V8" s="4084" t="s">
        <v>13</v>
      </c>
      <c r="W8" s="4087">
        <f t="shared" si="2"/>
        <v>100</v>
      </c>
      <c r="X8" s="504"/>
      <c r="Y8" s="4882" t="s">
        <v>1590</v>
      </c>
      <c r="Z8" s="4883"/>
      <c r="AA8" s="505">
        <f t="shared" ref="AA8:AA34" si="3">D8/F8</f>
        <v>1</v>
      </c>
      <c r="AB8" s="505">
        <f t="shared" ref="AB8:AB34" si="4">D8/H8</f>
        <v>1</v>
      </c>
      <c r="AC8" s="505">
        <f t="shared" ref="AC8:AC34" si="5">D8/J8</f>
        <v>1</v>
      </c>
    </row>
    <row r="9" spans="1:29" s="49" customFormat="1">
      <c r="A9" s="253" t="s">
        <v>1591</v>
      </c>
      <c r="B9" s="34" t="s">
        <v>1592</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4969" t="s">
        <v>1593</v>
      </c>
      <c r="Q9" s="952" t="str">
        <f t="shared" ref="Q9:Q14" si="6">B9</f>
        <v>用途</v>
      </c>
      <c r="R9" s="4084" t="s">
        <v>13</v>
      </c>
      <c r="S9" s="4087">
        <f t="shared" si="0"/>
        <v>100</v>
      </c>
      <c r="T9" s="4084" t="s">
        <v>13</v>
      </c>
      <c r="U9" s="4087">
        <f t="shared" si="1"/>
        <v>100</v>
      </c>
      <c r="V9" s="4084" t="s">
        <v>13</v>
      </c>
      <c r="W9" s="4087">
        <f t="shared" si="2"/>
        <v>100</v>
      </c>
      <c r="X9" s="504"/>
      <c r="Y9" s="4897"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4969"/>
      <c r="Q10" s="952" t="str">
        <f t="shared" si="6"/>
        <v>土地使用年限（年）</v>
      </c>
      <c r="R10" s="4084" t="s">
        <v>13</v>
      </c>
      <c r="S10" s="4087">
        <f t="shared" si="0"/>
        <v>100</v>
      </c>
      <c r="T10" s="4084" t="s">
        <v>13</v>
      </c>
      <c r="U10" s="4087">
        <f t="shared" si="1"/>
        <v>100</v>
      </c>
      <c r="V10" s="4084" t="s">
        <v>13</v>
      </c>
      <c r="W10" s="4087">
        <f t="shared" si="2"/>
        <v>100</v>
      </c>
      <c r="X10" s="504"/>
      <c r="Y10" s="4897"/>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4969"/>
      <c r="Q11" s="952">
        <f t="shared" si="6"/>
        <v>111</v>
      </c>
      <c r="R11" s="4084" t="s">
        <v>13</v>
      </c>
      <c r="S11" s="4087">
        <f t="shared" si="0"/>
        <v>100</v>
      </c>
      <c r="T11" s="4084" t="s">
        <v>13</v>
      </c>
      <c r="U11" s="4087">
        <f t="shared" si="1"/>
        <v>100</v>
      </c>
      <c r="V11" s="4084" t="s">
        <v>13</v>
      </c>
      <c r="W11" s="4087">
        <f t="shared" si="2"/>
        <v>100</v>
      </c>
      <c r="X11" s="504"/>
      <c r="Y11" s="4897"/>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4969"/>
      <c r="Q12" s="952">
        <f t="shared" si="6"/>
        <v>111</v>
      </c>
      <c r="R12" s="4084" t="s">
        <v>13</v>
      </c>
      <c r="S12" s="4087">
        <f t="shared" si="0"/>
        <v>100</v>
      </c>
      <c r="T12" s="4084" t="s">
        <v>13</v>
      </c>
      <c r="U12" s="4087">
        <f t="shared" si="1"/>
        <v>100</v>
      </c>
      <c r="V12" s="4084" t="s">
        <v>13</v>
      </c>
      <c r="W12" s="4087">
        <f t="shared" si="2"/>
        <v>100</v>
      </c>
      <c r="X12" s="504"/>
      <c r="Y12" s="4897"/>
      <c r="Z12" s="28">
        <f t="shared" si="7"/>
        <v>111</v>
      </c>
      <c r="AA12" s="505">
        <f>D12/F12</f>
        <v>1</v>
      </c>
      <c r="AB12" s="505">
        <f>D12/H12</f>
        <v>1</v>
      </c>
      <c r="AC12" s="505">
        <f>D12/J12</f>
        <v>1</v>
      </c>
    </row>
    <row r="13" spans="1:29" ht="15.75"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4969"/>
      <c r="Q13" s="952">
        <f t="shared" si="6"/>
        <v>111</v>
      </c>
      <c r="R13" s="4084" t="s">
        <v>13</v>
      </c>
      <c r="S13" s="4087">
        <f t="shared" si="0"/>
        <v>100</v>
      </c>
      <c r="T13" s="4084" t="s">
        <v>13</v>
      </c>
      <c r="U13" s="4087">
        <f t="shared" si="1"/>
        <v>100</v>
      </c>
      <c r="V13" s="4084" t="s">
        <v>13</v>
      </c>
      <c r="W13" s="4087">
        <f t="shared" si="2"/>
        <v>100</v>
      </c>
      <c r="X13" s="504"/>
      <c r="Y13" s="4897"/>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25" t="s">
        <v>1598</v>
      </c>
      <c r="Q14" s="960" t="str">
        <f t="shared" si="6"/>
        <v>交通便捷度</v>
      </c>
      <c r="R14" s="4085" t="s">
        <v>13</v>
      </c>
      <c r="S14" s="4088">
        <f t="shared" si="0"/>
        <v>100</v>
      </c>
      <c r="T14" s="4085" t="s">
        <v>13</v>
      </c>
      <c r="U14" s="4088">
        <f t="shared" si="1"/>
        <v>100</v>
      </c>
      <c r="V14" s="4085" t="s">
        <v>13</v>
      </c>
      <c r="W14" s="4088">
        <f t="shared" si="2"/>
        <v>100</v>
      </c>
      <c r="X14" s="963"/>
      <c r="Y14" s="4925" t="s">
        <v>1598</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26"/>
      <c r="Q15" s="960"/>
      <c r="R15" s="4085"/>
      <c r="S15" s="4088"/>
      <c r="T15" s="4085"/>
      <c r="U15" s="4088"/>
      <c r="V15" s="4085"/>
      <c r="W15" s="4088"/>
      <c r="X15" s="963"/>
      <c r="Y15" s="4926"/>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26"/>
      <c r="Q16" s="960" t="str">
        <f>B16</f>
        <v>公共配套设施</v>
      </c>
      <c r="R16" s="4085" t="s">
        <v>13</v>
      </c>
      <c r="S16" s="4088">
        <f>F16</f>
        <v>100</v>
      </c>
      <c r="T16" s="4085" t="s">
        <v>13</v>
      </c>
      <c r="U16" s="4088">
        <f>H16</f>
        <v>100</v>
      </c>
      <c r="V16" s="4085" t="s">
        <v>13</v>
      </c>
      <c r="W16" s="4088">
        <f>J16</f>
        <v>100</v>
      </c>
      <c r="X16" s="963"/>
      <c r="Y16" s="4926"/>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26"/>
      <c r="Q17" s="960"/>
      <c r="R17" s="4085"/>
      <c r="S17" s="4088"/>
      <c r="T17" s="4085"/>
      <c r="U17" s="4088"/>
      <c r="V17" s="4085"/>
      <c r="W17" s="4088"/>
      <c r="X17" s="963"/>
      <c r="Y17" s="4926"/>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26"/>
      <c r="Q18" s="960" t="str">
        <f>B18</f>
        <v>基础设施水平</v>
      </c>
      <c r="R18" s="4085" t="s">
        <v>13</v>
      </c>
      <c r="S18" s="4088">
        <f>F18</f>
        <v>100</v>
      </c>
      <c r="T18" s="4085" t="s">
        <v>13</v>
      </c>
      <c r="U18" s="4088">
        <f>H18</f>
        <v>100</v>
      </c>
      <c r="V18" s="4085" t="s">
        <v>13</v>
      </c>
      <c r="W18" s="4088">
        <f>J18</f>
        <v>100</v>
      </c>
      <c r="X18" s="963"/>
      <c r="Y18" s="4926"/>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26"/>
      <c r="Q19" s="960"/>
      <c r="R19" s="4085"/>
      <c r="S19" s="4088"/>
      <c r="T19" s="4085"/>
      <c r="U19" s="4088"/>
      <c r="V19" s="4085"/>
      <c r="W19" s="4088"/>
      <c r="X19" s="963"/>
      <c r="Y19" s="4926"/>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26"/>
      <c r="Q20" s="960" t="str">
        <f>B20</f>
        <v>自然及人文环境</v>
      </c>
      <c r="R20" s="4085" t="s">
        <v>13</v>
      </c>
      <c r="S20" s="4088">
        <f>F20</f>
        <v>100</v>
      </c>
      <c r="T20" s="4085" t="s">
        <v>13</v>
      </c>
      <c r="U20" s="4088">
        <f>H20</f>
        <v>100</v>
      </c>
      <c r="V20" s="4085" t="s">
        <v>13</v>
      </c>
      <c r="W20" s="4088">
        <f>J20</f>
        <v>100</v>
      </c>
      <c r="X20" s="963"/>
      <c r="Y20" s="4926"/>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26"/>
      <c r="Q21" s="960"/>
      <c r="R21" s="4085"/>
      <c r="S21" s="4088"/>
      <c r="T21" s="4085"/>
      <c r="U21" s="4088"/>
      <c r="V21" s="4085"/>
      <c r="W21" s="4088"/>
      <c r="X21" s="963"/>
      <c r="Y21" s="4926"/>
      <c r="Z21" s="964"/>
      <c r="AA21" s="961">
        <v>1</v>
      </c>
      <c r="AB21" s="961">
        <v>1</v>
      </c>
      <c r="AC21" s="961">
        <v>1</v>
      </c>
    </row>
    <row r="22" spans="1:29" ht="15">
      <c r="A22" s="260"/>
      <c r="B22" s="275" t="s">
        <v>1742</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26"/>
      <c r="Q22" s="960" t="str">
        <f>B22</f>
        <v>楼层</v>
      </c>
      <c r="R22" s="4085" t="s">
        <v>13</v>
      </c>
      <c r="S22" s="4088">
        <f>F22</f>
        <v>100</v>
      </c>
      <c r="T22" s="4085" t="s">
        <v>13</v>
      </c>
      <c r="U22" s="4088">
        <f>H22</f>
        <v>100</v>
      </c>
      <c r="V22" s="4085" t="s">
        <v>13</v>
      </c>
      <c r="W22" s="4088">
        <f>J22</f>
        <v>100</v>
      </c>
      <c r="X22" s="963"/>
      <c r="Y22" s="4926"/>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26"/>
      <c r="Q23" s="960">
        <f>B23</f>
        <v>111</v>
      </c>
      <c r="R23" s="4085" t="s">
        <v>13</v>
      </c>
      <c r="S23" s="4088">
        <f>F23</f>
        <v>100</v>
      </c>
      <c r="T23" s="4085" t="s">
        <v>13</v>
      </c>
      <c r="U23" s="4088">
        <f>H23</f>
        <v>100</v>
      </c>
      <c r="V23" s="4085" t="s">
        <v>13</v>
      </c>
      <c r="W23" s="4088">
        <f>J23</f>
        <v>100</v>
      </c>
      <c r="X23" s="963"/>
      <c r="Y23" s="4926"/>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26"/>
      <c r="Q24" s="960">
        <f t="shared" ref="Q24:Q34" si="11">B24</f>
        <v>111</v>
      </c>
      <c r="R24" s="4085" t="s">
        <v>13</v>
      </c>
      <c r="S24" s="4088">
        <f>F24</f>
        <v>100</v>
      </c>
      <c r="T24" s="4085" t="s">
        <v>13</v>
      </c>
      <c r="U24" s="4088">
        <f>H24</f>
        <v>100</v>
      </c>
      <c r="V24" s="4085" t="s">
        <v>13</v>
      </c>
      <c r="W24" s="4088">
        <f>J24</f>
        <v>100</v>
      </c>
      <c r="X24" s="963"/>
      <c r="Y24" s="4926"/>
      <c r="Z24" s="964">
        <f>Q24</f>
        <v>111</v>
      </c>
      <c r="AA24" s="961">
        <f t="shared" si="3"/>
        <v>1</v>
      </c>
      <c r="AB24" s="961">
        <f t="shared" si="4"/>
        <v>1</v>
      </c>
      <c r="AC24" s="961">
        <f t="shared" si="5"/>
        <v>1</v>
      </c>
    </row>
    <row r="25" spans="1:29" s="49" customFormat="1" ht="15.75"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26"/>
      <c r="Q25" s="952">
        <f t="shared" si="11"/>
        <v>111</v>
      </c>
      <c r="R25" s="4084" t="s">
        <v>13</v>
      </c>
      <c r="S25" s="4087">
        <f>F25</f>
        <v>100</v>
      </c>
      <c r="T25" s="4084" t="s">
        <v>13</v>
      </c>
      <c r="U25" s="4087">
        <f>H25</f>
        <v>100</v>
      </c>
      <c r="V25" s="4084" t="s">
        <v>13</v>
      </c>
      <c r="W25" s="4087">
        <f>J25</f>
        <v>100</v>
      </c>
      <c r="X25" s="504"/>
      <c r="Y25" s="4926"/>
      <c r="Z25" s="28">
        <f>Q25</f>
        <v>111</v>
      </c>
      <c r="AA25" s="961">
        <f>D25/F25</f>
        <v>1</v>
      </c>
      <c r="AB25" s="961">
        <f>D25/H25</f>
        <v>1</v>
      </c>
      <c r="AC25" s="961">
        <f>D25/J25</f>
        <v>1</v>
      </c>
    </row>
    <row r="26" spans="1:29" ht="28.5">
      <c r="A26" s="282" t="s">
        <v>1601</v>
      </c>
      <c r="B26" s="34" t="s">
        <v>1745</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4977" t="s">
        <v>1603</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30"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30"/>
      <c r="Q27" s="506" t="str">
        <f t="shared" si="11"/>
        <v>成新率</v>
      </c>
      <c r="R27" s="4086" t="s">
        <v>13</v>
      </c>
      <c r="S27" s="4089" t="e">
        <f t="shared" si="12"/>
        <v>#N/A</v>
      </c>
      <c r="T27" s="4086" t="s">
        <v>13</v>
      </c>
      <c r="U27" s="4089" t="e">
        <f t="shared" si="13"/>
        <v>#N/A</v>
      </c>
      <c r="V27" s="4086" t="s">
        <v>13</v>
      </c>
      <c r="W27" s="4089" t="e">
        <f t="shared" si="14"/>
        <v>#N/A</v>
      </c>
      <c r="X27" s="507"/>
      <c r="Y27" s="4930"/>
      <c r="Z27" s="508" t="str">
        <f t="shared" si="15"/>
        <v>成新率</v>
      </c>
      <c r="AA27" s="961" t="e">
        <f t="shared" si="3"/>
        <v>#N/A</v>
      </c>
      <c r="AB27" s="961" t="e">
        <f t="shared" si="4"/>
        <v>#N/A</v>
      </c>
      <c r="AC27" s="961" t="e">
        <f t="shared" si="5"/>
        <v>#N/A</v>
      </c>
    </row>
    <row r="28" spans="1:29" ht="15">
      <c r="A28" s="286"/>
      <c r="B28" s="258" t="s">
        <v>1747</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30"/>
      <c r="Q28" s="960" t="str">
        <f t="shared" si="11"/>
        <v>物业等级</v>
      </c>
      <c r="R28" s="4085" t="s">
        <v>13</v>
      </c>
      <c r="S28" s="4088">
        <f t="shared" si="12"/>
        <v>100</v>
      </c>
      <c r="T28" s="4085" t="s">
        <v>13</v>
      </c>
      <c r="U28" s="4088">
        <f t="shared" si="13"/>
        <v>100</v>
      </c>
      <c r="V28" s="4085" t="s">
        <v>13</v>
      </c>
      <c r="W28" s="4088">
        <f t="shared" si="14"/>
        <v>100</v>
      </c>
      <c r="X28" s="963"/>
      <c r="Y28" s="4930"/>
      <c r="Z28" s="964" t="str">
        <f t="shared" si="15"/>
        <v>物业等级</v>
      </c>
      <c r="AA28" s="961">
        <f t="shared" si="3"/>
        <v>1</v>
      </c>
      <c r="AB28" s="961">
        <f t="shared" si="4"/>
        <v>1</v>
      </c>
      <c r="AC28" s="961">
        <f t="shared" si="5"/>
        <v>1</v>
      </c>
    </row>
    <row r="29" spans="1:29" ht="15">
      <c r="A29" s="286"/>
      <c r="B29" s="258" t="s">
        <v>1767</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30"/>
      <c r="Q29" s="960" t="str">
        <f t="shared" si="11"/>
        <v>有无电梯</v>
      </c>
      <c r="R29" s="4085" t="s">
        <v>13</v>
      </c>
      <c r="S29" s="4088">
        <f t="shared" si="12"/>
        <v>100</v>
      </c>
      <c r="T29" s="4085" t="s">
        <v>13</v>
      </c>
      <c r="U29" s="4088">
        <f t="shared" si="13"/>
        <v>100</v>
      </c>
      <c r="V29" s="4085" t="s">
        <v>13</v>
      </c>
      <c r="W29" s="4088">
        <f t="shared" si="14"/>
        <v>100</v>
      </c>
      <c r="X29" s="963"/>
      <c r="Y29" s="4930"/>
      <c r="Z29" s="964" t="str">
        <f t="shared" si="15"/>
        <v>有无电梯</v>
      </c>
      <c r="AA29" s="961">
        <f t="shared" si="3"/>
        <v>1</v>
      </c>
      <c r="AB29" s="961">
        <f t="shared" si="4"/>
        <v>1</v>
      </c>
      <c r="AC29" s="961">
        <f t="shared" si="5"/>
        <v>1</v>
      </c>
    </row>
    <row r="30" spans="1:29" ht="15">
      <c r="A30" s="286"/>
      <c r="B30" s="258" t="s">
        <v>1768</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30"/>
      <c r="Q30" s="960" t="str">
        <f t="shared" si="11"/>
        <v>建筑面积</v>
      </c>
      <c r="R30" s="4085" t="s">
        <v>13</v>
      </c>
      <c r="S30" s="4088" t="e">
        <f t="shared" si="12"/>
        <v>#N/A</v>
      </c>
      <c r="T30" s="4085" t="s">
        <v>13</v>
      </c>
      <c r="U30" s="4088" t="e">
        <f t="shared" si="13"/>
        <v>#N/A</v>
      </c>
      <c r="V30" s="4085" t="s">
        <v>13</v>
      </c>
      <c r="W30" s="4088" t="e">
        <f t="shared" si="14"/>
        <v>#N/A</v>
      </c>
      <c r="X30" s="963"/>
      <c r="Y30" s="4930"/>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30"/>
      <c r="Q31" s="952" t="str">
        <f t="shared" si="11"/>
        <v>是否封闭</v>
      </c>
      <c r="R31" s="4084" t="s">
        <v>13</v>
      </c>
      <c r="S31" s="4087">
        <f t="shared" si="12"/>
        <v>100</v>
      </c>
      <c r="T31" s="4084" t="s">
        <v>13</v>
      </c>
      <c r="U31" s="4087">
        <f t="shared" si="13"/>
        <v>100</v>
      </c>
      <c r="V31" s="4084" t="s">
        <v>13</v>
      </c>
      <c r="W31" s="4087">
        <f t="shared" si="14"/>
        <v>100</v>
      </c>
      <c r="X31" s="504"/>
      <c r="Y31" s="4930"/>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30" t="s">
        <v>1603</v>
      </c>
      <c r="Q32" s="960">
        <f t="shared" si="11"/>
        <v>111</v>
      </c>
      <c r="R32" s="4085" t="s">
        <v>13</v>
      </c>
      <c r="S32" s="4088">
        <f t="shared" si="12"/>
        <v>100</v>
      </c>
      <c r="T32" s="4085" t="s">
        <v>13</v>
      </c>
      <c r="U32" s="4088">
        <f t="shared" si="13"/>
        <v>100</v>
      </c>
      <c r="V32" s="4085" t="s">
        <v>13</v>
      </c>
      <c r="W32" s="4088">
        <f t="shared" si="14"/>
        <v>100</v>
      </c>
      <c r="X32" s="963"/>
      <c r="Y32" s="4930" t="s">
        <v>1603</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30"/>
      <c r="Q33" s="960">
        <f t="shared" si="11"/>
        <v>111</v>
      </c>
      <c r="R33" s="4085" t="s">
        <v>13</v>
      </c>
      <c r="S33" s="4088">
        <f t="shared" si="12"/>
        <v>100</v>
      </c>
      <c r="T33" s="4085" t="s">
        <v>13</v>
      </c>
      <c r="U33" s="4088">
        <f t="shared" si="13"/>
        <v>100</v>
      </c>
      <c r="V33" s="4085" t="s">
        <v>13</v>
      </c>
      <c r="W33" s="4088">
        <f t="shared" si="14"/>
        <v>100</v>
      </c>
      <c r="X33" s="963"/>
      <c r="Y33" s="4930"/>
      <c r="Z33" s="964">
        <f t="shared" si="15"/>
        <v>111</v>
      </c>
      <c r="AA33" s="961">
        <f t="shared" si="3"/>
        <v>1</v>
      </c>
      <c r="AB33" s="961">
        <f t="shared" si="4"/>
        <v>1</v>
      </c>
      <c r="AC33" s="961">
        <f t="shared" si="5"/>
        <v>1</v>
      </c>
    </row>
    <row r="34" spans="1:30" ht="15.75"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30"/>
      <c r="Q34" s="960">
        <f t="shared" si="11"/>
        <v>111</v>
      </c>
      <c r="R34" s="4085" t="s">
        <v>13</v>
      </c>
      <c r="S34" s="4088">
        <f t="shared" si="12"/>
        <v>100</v>
      </c>
      <c r="T34" s="4085" t="s">
        <v>13</v>
      </c>
      <c r="U34" s="4088">
        <f t="shared" si="13"/>
        <v>100</v>
      </c>
      <c r="V34" s="4085" t="s">
        <v>13</v>
      </c>
      <c r="W34" s="4088">
        <f t="shared" si="14"/>
        <v>100</v>
      </c>
      <c r="X34" s="963"/>
      <c r="Y34" s="4930"/>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69" t="str">
        <f>A35</f>
        <v>成交单价（元/平方米）</v>
      </c>
      <c r="Q35" s="4969"/>
      <c r="R35" s="4934">
        <f>E35</f>
        <v>0</v>
      </c>
      <c r="S35" s="4934"/>
      <c r="T35" s="4934">
        <f>G35</f>
        <v>0</v>
      </c>
      <c r="U35" s="4934"/>
      <c r="V35" s="4934">
        <f>I35</f>
        <v>0</v>
      </c>
      <c r="W35" s="4934"/>
      <c r="X35" s="493"/>
      <c r="Y35" s="509"/>
      <c r="Z35" s="493"/>
      <c r="AA35" s="493"/>
      <c r="AB35" s="493"/>
      <c r="AC35" s="493"/>
    </row>
    <row r="36" spans="1:30" ht="15.75" thickBot="1">
      <c r="A36" s="295" t="s">
        <v>1700</v>
      </c>
      <c r="B36" s="296"/>
      <c r="C36" s="4042" t="e">
        <f>R37</f>
        <v>#DIV/0!</v>
      </c>
      <c r="D36" s="4199" t="s">
        <v>2042</v>
      </c>
      <c r="E36" s="4053" t="e">
        <f>R36</f>
        <v>#DIV/0!</v>
      </c>
      <c r="F36" s="3042"/>
      <c r="G36" s="4042" t="e">
        <f>T36</f>
        <v>#DIV/0!</v>
      </c>
      <c r="H36" s="3042"/>
      <c r="I36" s="4053" t="e">
        <f>V36</f>
        <v>#DIV/0!</v>
      </c>
      <c r="J36" s="3042"/>
      <c r="K36" s="3097">
        <f>F36+H36+J36</f>
        <v>0</v>
      </c>
      <c r="L36" s="2155"/>
      <c r="M36" s="2156"/>
      <c r="N36" s="2147"/>
      <c r="O36" s="2156"/>
      <c r="P36" s="4969" t="str">
        <f>A36</f>
        <v>比较价值（元/平方米）</v>
      </c>
      <c r="Q36" s="4969"/>
      <c r="R36" s="4934" t="e">
        <f>IF(F1="售价",ROUND(PRODUCT(R35,AA7:AA34),0),ROUND(PRODUCT(R35,AA7:AA34),1))</f>
        <v>#DIV/0!</v>
      </c>
      <c r="S36" s="4934"/>
      <c r="T36" s="4934" t="e">
        <f>IF(F1="售价",ROUND(PRODUCT(T35,AB7:AB34),0),ROUND(PRODUCT(T35,AB7:AB34),1))</f>
        <v>#DIV/0!</v>
      </c>
      <c r="U36" s="4934"/>
      <c r="V36" s="4934" t="e">
        <f>IF(F1="售价",ROUND(PRODUCT(V35,AC7:AC34),0),ROUND(PRODUCT(V35,AC7:AC34),1))</f>
        <v>#DIV/0!</v>
      </c>
      <c r="W36" s="4934"/>
      <c r="X36" s="493"/>
      <c r="Y36" s="493"/>
      <c r="Z36" s="493"/>
      <c r="AA36" s="493"/>
      <c r="AB36" s="493"/>
      <c r="AC36" s="493"/>
    </row>
    <row r="37" spans="1:30" ht="15.75" thickBot="1">
      <c r="A37" s="297" t="s">
        <v>1701</v>
      </c>
      <c r="B37" s="298"/>
      <c r="C37" s="4054" t="e">
        <f>R37</f>
        <v>#DIV/0!</v>
      </c>
      <c r="D37" s="812"/>
      <c r="E37" s="812"/>
      <c r="F37" s="812"/>
      <c r="G37" s="812"/>
      <c r="H37" s="812"/>
      <c r="I37" s="812"/>
      <c r="J37" s="812"/>
      <c r="K37" s="511"/>
      <c r="L37" s="2155"/>
      <c r="M37" s="2156"/>
      <c r="N37" s="2156"/>
      <c r="O37" s="2156"/>
      <c r="P37" s="4978" t="str">
        <f>A37</f>
        <v>估价对象XX用房的比较价值（楼面单价，元/平方米）</v>
      </c>
      <c r="Q37" s="4979"/>
      <c r="R37" s="4980" t="e">
        <f>IF(F1="售价",ROUND(IF(D36="简单平均",AVERAGE(R36:W36),R36*F36+T36*H36+V36*J36),0),ROUND(IF(D36="简单平均",AVERAGE(R36:V36),R36*F36+T36*H36+V36*J36),1))</f>
        <v>#DIV/0!</v>
      </c>
      <c r="S37" s="4980"/>
      <c r="T37" s="4980"/>
      <c r="U37" s="4980"/>
      <c r="V37" s="4980"/>
      <c r="W37" s="498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898" t="s">
        <v>1677</v>
      </c>
      <c r="D6" s="4899"/>
      <c r="E6" s="4900" t="s">
        <v>1678</v>
      </c>
      <c r="F6" s="4901"/>
      <c r="G6" s="4898" t="s">
        <v>1679</v>
      </c>
      <c r="H6" s="4899"/>
      <c r="I6" s="4898" t="s">
        <v>1680</v>
      </c>
      <c r="J6" s="4899"/>
      <c r="K6" s="3105" t="s">
        <v>1681</v>
      </c>
      <c r="L6" s="2146"/>
      <c r="M6" s="2147"/>
      <c r="N6" s="2147"/>
      <c r="O6" s="2147"/>
      <c r="P6" s="4902" t="s">
        <v>1682</v>
      </c>
      <c r="Q6" s="4903"/>
      <c r="R6" s="4884" t="s">
        <v>1678</v>
      </c>
      <c r="S6" s="4885"/>
      <c r="T6" s="4884" t="s">
        <v>1679</v>
      </c>
      <c r="U6" s="4885"/>
      <c r="V6" s="4910" t="s">
        <v>1680</v>
      </c>
      <c r="W6" s="4910"/>
      <c r="X6" s="963"/>
      <c r="Y6" s="4913" t="s">
        <v>1682</v>
      </c>
      <c r="Z6" s="4914"/>
      <c r="AA6" s="4879" t="s">
        <v>1678</v>
      </c>
      <c r="AB6" s="4880" t="s">
        <v>1679</v>
      </c>
      <c r="AC6" s="4879" t="s">
        <v>1680</v>
      </c>
    </row>
    <row r="7" spans="1:30" ht="15">
      <c r="A7" s="244"/>
      <c r="B7" s="245"/>
      <c r="C7" s="4890" t="s">
        <v>1580</v>
      </c>
      <c r="D7" s="4891"/>
      <c r="E7" s="4888" t="s">
        <v>1581</v>
      </c>
      <c r="F7" s="4889"/>
      <c r="G7" s="4890" t="s">
        <v>1582</v>
      </c>
      <c r="H7" s="4891"/>
      <c r="I7" s="4890" t="s">
        <v>1583</v>
      </c>
      <c r="J7" s="4891"/>
      <c r="K7" s="3105"/>
      <c r="L7" s="2146"/>
      <c r="M7" s="2147"/>
      <c r="N7" s="2147"/>
      <c r="O7" s="2147"/>
      <c r="P7" s="4904"/>
      <c r="Q7" s="4905"/>
      <c r="R7" s="4886"/>
      <c r="S7" s="4887"/>
      <c r="T7" s="4886"/>
      <c r="U7" s="4887"/>
      <c r="V7" s="4910"/>
      <c r="W7" s="4910"/>
      <c r="X7" s="963"/>
      <c r="Y7" s="4915"/>
      <c r="Z7" s="4916"/>
      <c r="AA7" s="4880"/>
      <c r="AB7" s="4880"/>
      <c r="AC7" s="4880"/>
    </row>
    <row r="8" spans="1:30" ht="15.75" thickBot="1">
      <c r="A8" s="246"/>
      <c r="B8" s="247"/>
      <c r="C8" s="4892" t="s">
        <v>1584</v>
      </c>
      <c r="D8" s="4893"/>
      <c r="E8" s="4894" t="s">
        <v>1584</v>
      </c>
      <c r="F8" s="4895"/>
      <c r="G8" s="4892" t="s">
        <v>1584</v>
      </c>
      <c r="H8" s="4893"/>
      <c r="I8" s="4892" t="s">
        <v>1584</v>
      </c>
      <c r="J8" s="4893"/>
      <c r="K8" s="3105" t="s">
        <v>1585</v>
      </c>
      <c r="L8" s="2146"/>
      <c r="M8" s="2147"/>
      <c r="N8" s="2147"/>
      <c r="O8" s="2147"/>
      <c r="P8" s="4906"/>
      <c r="Q8" s="4907"/>
      <c r="R8" s="4886"/>
      <c r="S8" s="4887"/>
      <c r="T8" s="4908"/>
      <c r="U8" s="4909"/>
      <c r="V8" s="4910"/>
      <c r="W8" s="4910"/>
      <c r="X8" s="963"/>
      <c r="Y8" s="4917"/>
      <c r="Z8" s="4918"/>
      <c r="AA8" s="4881"/>
      <c r="AB8" s="4881"/>
      <c r="AC8" s="4881"/>
    </row>
    <row r="9" spans="1:30" s="49" customFormat="1" ht="15.75" thickBot="1">
      <c r="A9" s="3338" t="s">
        <v>1586</v>
      </c>
      <c r="B9" s="3339"/>
      <c r="C9" s="3052">
        <f>'数据-取费表'!B2</f>
        <v>46077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11" t="s">
        <v>1587</v>
      </c>
      <c r="Q9" s="4919"/>
      <c r="R9" s="4076" t="s">
        <v>13</v>
      </c>
      <c r="S9" s="4079">
        <f t="shared" ref="S9:S17" si="0">F9</f>
        <v>0</v>
      </c>
      <c r="T9" s="4076" t="s">
        <v>13</v>
      </c>
      <c r="U9" s="4079">
        <f t="shared" ref="U9:U17" si="1">H9</f>
        <v>0</v>
      </c>
      <c r="V9" s="4076" t="s">
        <v>13</v>
      </c>
      <c r="W9" s="4079">
        <f t="shared" ref="W9:W17" si="2">J9</f>
        <v>0</v>
      </c>
      <c r="X9" s="504"/>
      <c r="Y9" s="4882" t="s">
        <v>1587</v>
      </c>
      <c r="Z9" s="4883"/>
      <c r="AA9" s="505" t="e">
        <f>D9/F9</f>
        <v>#DIV/0!</v>
      </c>
      <c r="AB9" s="505" t="e">
        <f>D9/H9</f>
        <v>#DIV/0!</v>
      </c>
      <c r="AC9" s="505" t="e">
        <f>D9/J9</f>
        <v>#DIV/0!</v>
      </c>
    </row>
    <row r="10" spans="1:30" s="49" customFormat="1" ht="15.75" thickBot="1">
      <c r="A10" s="3338" t="s">
        <v>1588</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11" t="s">
        <v>1590</v>
      </c>
      <c r="Q10" s="4912"/>
      <c r="R10" s="4076" t="s">
        <v>13</v>
      </c>
      <c r="S10" s="4079">
        <f t="shared" si="0"/>
        <v>100</v>
      </c>
      <c r="T10" s="4076" t="s">
        <v>13</v>
      </c>
      <c r="U10" s="4079">
        <f t="shared" si="1"/>
        <v>100</v>
      </c>
      <c r="V10" s="4076" t="s">
        <v>13</v>
      </c>
      <c r="W10" s="4079">
        <f t="shared" si="2"/>
        <v>100</v>
      </c>
      <c r="X10" s="504"/>
      <c r="Y10" s="4882" t="s">
        <v>1590</v>
      </c>
      <c r="Z10" s="4883"/>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23" t="s">
        <v>1593</v>
      </c>
      <c r="Q11" s="3274" t="str">
        <f t="shared" ref="Q11:Q17" si="6">B11</f>
        <v>用途</v>
      </c>
      <c r="R11" s="4076" t="s">
        <v>13</v>
      </c>
      <c r="S11" s="4079">
        <f t="shared" si="0"/>
        <v>100</v>
      </c>
      <c r="T11" s="4076" t="s">
        <v>13</v>
      </c>
      <c r="U11" s="4079">
        <f t="shared" si="1"/>
        <v>100</v>
      </c>
      <c r="V11" s="4076" t="s">
        <v>13</v>
      </c>
      <c r="W11" s="4079">
        <f t="shared" si="2"/>
        <v>100</v>
      </c>
      <c r="X11" s="504"/>
      <c r="Y11" s="4897"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40">
        <f>ROUND(100/'数据-取费表'!G16,1)</f>
        <v>126.5</v>
      </c>
      <c r="G12" s="3114"/>
      <c r="H12" s="4040">
        <f>ROUND(100/'数据-取费表'!G16,1)</f>
        <v>126.5</v>
      </c>
      <c r="I12" s="3114"/>
      <c r="J12" s="4040">
        <f>ROUND(100/'数据-取费表'!G16,1)</f>
        <v>126.5</v>
      </c>
      <c r="K12" s="3374"/>
      <c r="L12" s="2150"/>
      <c r="M12" s="2151"/>
      <c r="N12" s="2151"/>
      <c r="O12" s="2204"/>
      <c r="P12" s="4923"/>
      <c r="Q12" s="3274" t="str">
        <f t="shared" si="6"/>
        <v>土地使用年限（年）</v>
      </c>
      <c r="R12" s="4076" t="s">
        <v>13</v>
      </c>
      <c r="S12" s="4079">
        <f t="shared" si="0"/>
        <v>126.5</v>
      </c>
      <c r="T12" s="4076" t="s">
        <v>13</v>
      </c>
      <c r="U12" s="4079">
        <f t="shared" si="1"/>
        <v>126.5</v>
      </c>
      <c r="V12" s="4076" t="s">
        <v>13</v>
      </c>
      <c r="W12" s="4079">
        <f t="shared" si="2"/>
        <v>126.5</v>
      </c>
      <c r="X12" s="504"/>
      <c r="Y12" s="4897"/>
      <c r="Z12" s="28" t="str">
        <f t="shared" si="7"/>
        <v>土地使用年限（年）</v>
      </c>
      <c r="AA12" s="505">
        <f t="shared" si="3"/>
        <v>0.79051383399209485</v>
      </c>
      <c r="AB12" s="505">
        <f t="shared" si="4"/>
        <v>0.79051383399209485</v>
      </c>
      <c r="AC12" s="505">
        <f t="shared" si="5"/>
        <v>0.79051383399209485</v>
      </c>
    </row>
    <row r="13" spans="1:30" ht="15">
      <c r="A13" s="3342"/>
      <c r="B13" s="3276" t="s">
        <v>1596</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23"/>
      <c r="Q13" s="3274" t="str">
        <f t="shared" si="6"/>
        <v>容积率</v>
      </c>
      <c r="R13" s="4076" t="s">
        <v>13</v>
      </c>
      <c r="S13" s="4079">
        <f t="shared" si="0"/>
        <v>100</v>
      </c>
      <c r="T13" s="4076" t="s">
        <v>13</v>
      </c>
      <c r="U13" s="4079">
        <f t="shared" si="1"/>
        <v>100</v>
      </c>
      <c r="V13" s="4076" t="s">
        <v>13</v>
      </c>
      <c r="W13" s="4079">
        <f t="shared" si="2"/>
        <v>100</v>
      </c>
      <c r="X13" s="504"/>
      <c r="Y13" s="4897"/>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23"/>
      <c r="Q14" s="3274" t="str">
        <f t="shared" si="6"/>
        <v>配建</v>
      </c>
      <c r="R14" s="4076" t="s">
        <v>13</v>
      </c>
      <c r="S14" s="4079">
        <f t="shared" si="0"/>
        <v>100</v>
      </c>
      <c r="T14" s="4076" t="s">
        <v>13</v>
      </c>
      <c r="U14" s="4079">
        <f t="shared" si="1"/>
        <v>100</v>
      </c>
      <c r="V14" s="4076" t="s">
        <v>13</v>
      </c>
      <c r="W14" s="4079">
        <f t="shared" si="2"/>
        <v>100</v>
      </c>
      <c r="X14" s="504"/>
      <c r="Y14" s="4897"/>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23"/>
      <c r="Q15" s="3274">
        <f t="shared" si="6"/>
        <v>111</v>
      </c>
      <c r="R15" s="4076" t="s">
        <v>13</v>
      </c>
      <c r="S15" s="4079">
        <f t="shared" si="0"/>
        <v>100</v>
      </c>
      <c r="T15" s="4076" t="s">
        <v>13</v>
      </c>
      <c r="U15" s="4079">
        <f t="shared" si="1"/>
        <v>100</v>
      </c>
      <c r="V15" s="4076" t="s">
        <v>13</v>
      </c>
      <c r="W15" s="4079">
        <f t="shared" si="2"/>
        <v>100</v>
      </c>
      <c r="X15" s="504"/>
      <c r="Y15" s="4897"/>
      <c r="Z15" s="28">
        <f t="shared" si="7"/>
        <v>111</v>
      </c>
      <c r="AA15" s="505">
        <f>D15/F15</f>
        <v>1</v>
      </c>
      <c r="AB15" s="505">
        <f>D15/H15</f>
        <v>1</v>
      </c>
      <c r="AC15" s="505">
        <f>D15/J15</f>
        <v>1</v>
      </c>
    </row>
    <row r="16" spans="1:30" ht="15.75"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23"/>
      <c r="Q16" s="3274">
        <f t="shared" si="6"/>
        <v>111</v>
      </c>
      <c r="R16" s="4076" t="s">
        <v>13</v>
      </c>
      <c r="S16" s="4079">
        <f t="shared" si="0"/>
        <v>100</v>
      </c>
      <c r="T16" s="4076" t="s">
        <v>13</v>
      </c>
      <c r="U16" s="4079">
        <f t="shared" si="1"/>
        <v>100</v>
      </c>
      <c r="V16" s="4076" t="s">
        <v>13</v>
      </c>
      <c r="W16" s="4079">
        <f t="shared" si="2"/>
        <v>100</v>
      </c>
      <c r="X16" s="504"/>
      <c r="Y16" s="4897"/>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4964" t="s">
        <v>1598</v>
      </c>
      <c r="Q17" s="3277" t="str">
        <f t="shared" si="6"/>
        <v>居住社区成熟度</v>
      </c>
      <c r="R17" s="4077" t="s">
        <v>13</v>
      </c>
      <c r="S17" s="4080">
        <f t="shared" si="0"/>
        <v>100</v>
      </c>
      <c r="T17" s="4077" t="s">
        <v>13</v>
      </c>
      <c r="U17" s="4080">
        <f t="shared" si="1"/>
        <v>100</v>
      </c>
      <c r="V17" s="4077" t="s">
        <v>13</v>
      </c>
      <c r="W17" s="4080">
        <f t="shared" si="2"/>
        <v>100</v>
      </c>
      <c r="X17" s="963"/>
      <c r="Y17" s="4925" t="s">
        <v>1598</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4965"/>
      <c r="Q18" s="3277"/>
      <c r="R18" s="4077"/>
      <c r="S18" s="4080"/>
      <c r="T18" s="4077"/>
      <c r="U18" s="4080"/>
      <c r="V18" s="4077"/>
      <c r="W18" s="4080"/>
      <c r="X18" s="963"/>
      <c r="Y18" s="4926"/>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4965"/>
      <c r="Q19" s="3277" t="str">
        <f>B19</f>
        <v>商业繁华度</v>
      </c>
      <c r="R19" s="4077" t="s">
        <v>13</v>
      </c>
      <c r="S19" s="4080">
        <f>F19</f>
        <v>100</v>
      </c>
      <c r="T19" s="4077" t="s">
        <v>13</v>
      </c>
      <c r="U19" s="4080">
        <f>H19</f>
        <v>100</v>
      </c>
      <c r="V19" s="4077" t="s">
        <v>13</v>
      </c>
      <c r="W19" s="4080">
        <f>J19</f>
        <v>100</v>
      </c>
      <c r="X19" s="963"/>
      <c r="Y19" s="4926"/>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4965"/>
      <c r="Q20" s="3277"/>
      <c r="R20" s="4077"/>
      <c r="S20" s="4080"/>
      <c r="T20" s="4077"/>
      <c r="U20" s="4080"/>
      <c r="V20" s="4077"/>
      <c r="W20" s="4080"/>
      <c r="X20" s="963"/>
      <c r="Y20" s="4926"/>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4965"/>
      <c r="Q21" s="3277" t="str">
        <f>B21</f>
        <v>办公集聚程度</v>
      </c>
      <c r="R21" s="4077" t="s">
        <v>13</v>
      </c>
      <c r="S21" s="4080">
        <f>F21</f>
        <v>100</v>
      </c>
      <c r="T21" s="4077" t="s">
        <v>13</v>
      </c>
      <c r="U21" s="4080">
        <f>H21</f>
        <v>100</v>
      </c>
      <c r="V21" s="4077" t="s">
        <v>13</v>
      </c>
      <c r="W21" s="4080">
        <f>J21</f>
        <v>100</v>
      </c>
      <c r="X21" s="963"/>
      <c r="Y21" s="4926"/>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4965"/>
      <c r="Q22" s="3277"/>
      <c r="R22" s="4077"/>
      <c r="S22" s="4080"/>
      <c r="T22" s="4077"/>
      <c r="U22" s="4080"/>
      <c r="V22" s="4077"/>
      <c r="W22" s="4080"/>
      <c r="X22" s="963"/>
      <c r="Y22" s="4926"/>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4965"/>
      <c r="Q23" s="3277" t="str">
        <f>B23</f>
        <v>交通便捷度</v>
      </c>
      <c r="R23" s="4077" t="s">
        <v>13</v>
      </c>
      <c r="S23" s="4080">
        <f>F23</f>
        <v>100</v>
      </c>
      <c r="T23" s="4077" t="s">
        <v>13</v>
      </c>
      <c r="U23" s="4080">
        <f>H23</f>
        <v>100</v>
      </c>
      <c r="V23" s="4077" t="s">
        <v>13</v>
      </c>
      <c r="W23" s="4080">
        <f>J23</f>
        <v>100</v>
      </c>
      <c r="X23" s="963"/>
      <c r="Y23" s="4926"/>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4965"/>
      <c r="Q24" s="3277"/>
      <c r="R24" s="4077"/>
      <c r="S24" s="4080"/>
      <c r="T24" s="4077"/>
      <c r="U24" s="4080"/>
      <c r="V24" s="4077"/>
      <c r="W24" s="4080"/>
      <c r="X24" s="963"/>
      <c r="Y24" s="4926"/>
      <c r="Z24" s="964"/>
      <c r="AA24" s="961">
        <v>1</v>
      </c>
      <c r="AB24" s="961">
        <v>1</v>
      </c>
      <c r="AC24" s="961">
        <v>1</v>
      </c>
    </row>
    <row r="25" spans="1:29" ht="15">
      <c r="A25" s="3346"/>
      <c r="B25" s="3038" t="s">
        <v>1778</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4965"/>
      <c r="Q25" s="3277" t="str">
        <f t="shared" ref="Q25:Q39" si="8">B25</f>
        <v>区域土地利用方向</v>
      </c>
      <c r="R25" s="4077" t="s">
        <v>13</v>
      </c>
      <c r="S25" s="4080">
        <f>F25</f>
        <v>100</v>
      </c>
      <c r="T25" s="4077" t="s">
        <v>13</v>
      </c>
      <c r="U25" s="4080">
        <f>H25</f>
        <v>100</v>
      </c>
      <c r="V25" s="4077" t="s">
        <v>13</v>
      </c>
      <c r="W25" s="4080">
        <f>J25</f>
        <v>100</v>
      </c>
      <c r="X25" s="963"/>
      <c r="Y25" s="4926"/>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4965"/>
      <c r="Q26" s="3277"/>
      <c r="R26" s="4077"/>
      <c r="S26" s="4080"/>
      <c r="T26" s="4077"/>
      <c r="U26" s="4080"/>
      <c r="V26" s="4077"/>
      <c r="W26" s="4080"/>
      <c r="X26" s="963"/>
      <c r="Y26" s="4926"/>
      <c r="Z26" s="964"/>
      <c r="AA26" s="961"/>
      <c r="AB26" s="961"/>
      <c r="AC26" s="961"/>
    </row>
    <row r="27" spans="1:29" ht="42.75">
      <c r="A27" s="3346"/>
      <c r="B27" s="3040" t="s">
        <v>1779</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4965"/>
      <c r="Q27" s="3277" t="str">
        <f t="shared" si="8"/>
        <v>自然及人文环境状况</v>
      </c>
      <c r="R27" s="4077" t="s">
        <v>13</v>
      </c>
      <c r="S27" s="4080">
        <f>F27</f>
        <v>100</v>
      </c>
      <c r="T27" s="4077" t="s">
        <v>13</v>
      </c>
      <c r="U27" s="4080">
        <f>H27</f>
        <v>100</v>
      </c>
      <c r="V27" s="4077" t="s">
        <v>13</v>
      </c>
      <c r="W27" s="4080">
        <f>J27</f>
        <v>100</v>
      </c>
      <c r="X27" s="963"/>
      <c r="Y27" s="4926"/>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4965"/>
      <c r="Q28" s="3277"/>
      <c r="R28" s="4077"/>
      <c r="S28" s="4080"/>
      <c r="T28" s="4077"/>
      <c r="U28" s="4080"/>
      <c r="V28" s="4077"/>
      <c r="W28" s="4080"/>
      <c r="X28" s="963"/>
      <c r="Y28" s="4926"/>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4965"/>
      <c r="Q29" s="3274" t="str">
        <f t="shared" si="8"/>
        <v>公共配套设施</v>
      </c>
      <c r="R29" s="4076" t="s">
        <v>13</v>
      </c>
      <c r="S29" s="4079">
        <f>F29</f>
        <v>100</v>
      </c>
      <c r="T29" s="4076" t="s">
        <v>13</v>
      </c>
      <c r="U29" s="4079">
        <f>H29</f>
        <v>100</v>
      </c>
      <c r="V29" s="4076" t="s">
        <v>13</v>
      </c>
      <c r="W29" s="4079">
        <f>J29</f>
        <v>100</v>
      </c>
      <c r="X29" s="504"/>
      <c r="Y29" s="4926"/>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4965"/>
      <c r="Q30" s="3274"/>
      <c r="R30" s="4076"/>
      <c r="S30" s="4079"/>
      <c r="T30" s="4076"/>
      <c r="U30" s="4079"/>
      <c r="V30" s="4076"/>
      <c r="W30" s="4079"/>
      <c r="X30" s="504"/>
      <c r="Y30" s="4926"/>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4965"/>
      <c r="Q31" s="3274" t="str">
        <f t="shared" ref="Q31" si="9">B31</f>
        <v>基础设施水平</v>
      </c>
      <c r="R31" s="4076" t="s">
        <v>13</v>
      </c>
      <c r="S31" s="4079">
        <f>F31</f>
        <v>100</v>
      </c>
      <c r="T31" s="4076" t="s">
        <v>13</v>
      </c>
      <c r="U31" s="4079">
        <f>H31</f>
        <v>100</v>
      </c>
      <c r="V31" s="4076" t="s">
        <v>13</v>
      </c>
      <c r="W31" s="4079">
        <f>J31</f>
        <v>100</v>
      </c>
      <c r="X31" s="504"/>
      <c r="Y31" s="4926"/>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4965"/>
      <c r="Q32" s="3274"/>
      <c r="R32" s="4076"/>
      <c r="S32" s="4079"/>
      <c r="T32" s="4076"/>
      <c r="U32" s="4079"/>
      <c r="V32" s="4076"/>
      <c r="W32" s="4079"/>
      <c r="X32" s="504"/>
      <c r="Y32" s="4926"/>
      <c r="Z32" s="28"/>
      <c r="AA32" s="961">
        <v>1</v>
      </c>
      <c r="AB32" s="961">
        <v>1</v>
      </c>
      <c r="AC32" s="961">
        <v>1</v>
      </c>
    </row>
    <row r="33" spans="1:29" ht="15">
      <c r="A33" s="3342"/>
      <c r="B33" s="3039" t="s">
        <v>1687</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4965"/>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26"/>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4965"/>
      <c r="Q34" s="3277" t="str">
        <f t="shared" si="8"/>
        <v>毗邻道路的类型与等级</v>
      </c>
      <c r="R34" s="4077" t="s">
        <v>13</v>
      </c>
      <c r="S34" s="4080">
        <f t="shared" si="10"/>
        <v>100</v>
      </c>
      <c r="T34" s="4077" t="s">
        <v>13</v>
      </c>
      <c r="U34" s="4080">
        <f t="shared" si="11"/>
        <v>100</v>
      </c>
      <c r="V34" s="4077" t="s">
        <v>13</v>
      </c>
      <c r="W34" s="4080">
        <f t="shared" si="12"/>
        <v>100</v>
      </c>
      <c r="X34" s="963"/>
      <c r="Y34" s="4926"/>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4965"/>
      <c r="Q35" s="3277"/>
      <c r="R35" s="4077"/>
      <c r="S35" s="4080"/>
      <c r="T35" s="4077"/>
      <c r="U35" s="4080"/>
      <c r="V35" s="4077"/>
      <c r="W35" s="4080"/>
      <c r="X35" s="963"/>
      <c r="Y35" s="4926"/>
      <c r="Z35" s="964"/>
      <c r="AA35" s="961">
        <v>1</v>
      </c>
      <c r="AB35" s="961">
        <v>1</v>
      </c>
      <c r="AC35" s="961">
        <v>1</v>
      </c>
    </row>
    <row r="36" spans="1:29" ht="15">
      <c r="A36" s="3342"/>
      <c r="B36" s="3276" t="s">
        <v>1780</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4965"/>
      <c r="Q36" s="3277" t="str">
        <f t="shared" si="8"/>
        <v>土地级别</v>
      </c>
      <c r="R36" s="4077" t="s">
        <v>13</v>
      </c>
      <c r="S36" s="4080">
        <f t="shared" si="10"/>
        <v>100</v>
      </c>
      <c r="T36" s="4077" t="s">
        <v>13</v>
      </c>
      <c r="U36" s="4080">
        <f t="shared" si="11"/>
        <v>100</v>
      </c>
      <c r="V36" s="4077" t="s">
        <v>13</v>
      </c>
      <c r="W36" s="4080">
        <f t="shared" si="12"/>
        <v>100</v>
      </c>
      <c r="X36" s="963"/>
      <c r="Y36" s="4926"/>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4965"/>
      <c r="Q37" s="3277">
        <f t="shared" si="8"/>
        <v>111</v>
      </c>
      <c r="R37" s="4077" t="s">
        <v>13</v>
      </c>
      <c r="S37" s="4080">
        <f t="shared" si="10"/>
        <v>100</v>
      </c>
      <c r="T37" s="4077" t="s">
        <v>13</v>
      </c>
      <c r="U37" s="4080">
        <f t="shared" si="11"/>
        <v>100</v>
      </c>
      <c r="V37" s="4077" t="s">
        <v>13</v>
      </c>
      <c r="W37" s="4080">
        <f t="shared" si="12"/>
        <v>100</v>
      </c>
      <c r="X37" s="963"/>
      <c r="Y37" s="4926"/>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4966" t="s">
        <v>1603</v>
      </c>
      <c r="Q38" s="3277">
        <f t="shared" si="8"/>
        <v>111</v>
      </c>
      <c r="R38" s="4077" t="s">
        <v>13</v>
      </c>
      <c r="S38" s="4080">
        <f t="shared" si="10"/>
        <v>100</v>
      </c>
      <c r="T38" s="4077" t="s">
        <v>13</v>
      </c>
      <c r="U38" s="4080">
        <f t="shared" si="11"/>
        <v>100</v>
      </c>
      <c r="V38" s="4077" t="s">
        <v>13</v>
      </c>
      <c r="W38" s="4080">
        <f t="shared" si="12"/>
        <v>100</v>
      </c>
      <c r="X38" s="963"/>
      <c r="Y38" s="4930"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4967"/>
      <c r="Q39" s="3277">
        <f t="shared" si="8"/>
        <v>111</v>
      </c>
      <c r="R39" s="4078" t="s">
        <v>13</v>
      </c>
      <c r="S39" s="4081">
        <f t="shared" si="10"/>
        <v>100</v>
      </c>
      <c r="T39" s="4078" t="s">
        <v>13</v>
      </c>
      <c r="U39" s="4081">
        <f t="shared" si="11"/>
        <v>100</v>
      </c>
      <c r="V39" s="4078" t="s">
        <v>13</v>
      </c>
      <c r="W39" s="4081">
        <f t="shared" si="12"/>
        <v>100</v>
      </c>
      <c r="X39" s="507"/>
      <c r="Y39" s="4930"/>
      <c r="Z39" s="508">
        <f t="shared" si="13"/>
        <v>111</v>
      </c>
      <c r="AA39" s="961">
        <f t="shared" si="3"/>
        <v>1</v>
      </c>
      <c r="AB39" s="961">
        <f t="shared" si="4"/>
        <v>1</v>
      </c>
      <c r="AC39" s="961">
        <f t="shared" si="5"/>
        <v>1</v>
      </c>
    </row>
    <row r="40" spans="1:29" ht="15">
      <c r="A40" s="3356" t="s">
        <v>1601</v>
      </c>
      <c r="B40" s="3039" t="s">
        <v>1781</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4967"/>
      <c r="Q40" s="3277" t="str">
        <f>B40</f>
        <v>宗地面积</v>
      </c>
      <c r="R40" s="4077" t="s">
        <v>13</v>
      </c>
      <c r="S40" s="4080" t="e">
        <f t="shared" si="10"/>
        <v>#N/A</v>
      </c>
      <c r="T40" s="4077" t="s">
        <v>13</v>
      </c>
      <c r="U40" s="4080" t="e">
        <f t="shared" si="11"/>
        <v>#N/A</v>
      </c>
      <c r="V40" s="4077" t="s">
        <v>13</v>
      </c>
      <c r="W40" s="4080" t="e">
        <f t="shared" si="12"/>
        <v>#N/A</v>
      </c>
      <c r="X40" s="963"/>
      <c r="Y40" s="4930"/>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4967"/>
      <c r="Q41" s="3277" t="str">
        <f t="shared" ref="Q41:Q47" si="14">B41</f>
        <v>宗地形状</v>
      </c>
      <c r="R41" s="4077" t="s">
        <v>13</v>
      </c>
      <c r="S41" s="4080">
        <f t="shared" si="10"/>
        <v>100</v>
      </c>
      <c r="T41" s="4077" t="s">
        <v>13</v>
      </c>
      <c r="U41" s="4080">
        <f t="shared" si="11"/>
        <v>100</v>
      </c>
      <c r="V41" s="4077" t="s">
        <v>13</v>
      </c>
      <c r="W41" s="4080">
        <f t="shared" si="12"/>
        <v>100</v>
      </c>
      <c r="X41" s="963"/>
      <c r="Y41" s="4930"/>
      <c r="Z41" s="964" t="str">
        <f t="shared" si="13"/>
        <v>宗地形状</v>
      </c>
      <c r="AA41" s="961">
        <f t="shared" si="3"/>
        <v>1</v>
      </c>
      <c r="AB41" s="961">
        <f t="shared" si="4"/>
        <v>1</v>
      </c>
      <c r="AC41" s="961">
        <f t="shared" si="5"/>
        <v>1</v>
      </c>
    </row>
    <row r="42" spans="1:29" ht="15">
      <c r="A42" s="3356"/>
      <c r="B42" s="3276" t="s">
        <v>1783</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4967"/>
      <c r="Q42" s="3277" t="str">
        <f t="shared" si="14"/>
        <v>临街宽度及深度</v>
      </c>
      <c r="R42" s="4077" t="s">
        <v>13</v>
      </c>
      <c r="S42" s="4080">
        <f t="shared" si="10"/>
        <v>100</v>
      </c>
      <c r="T42" s="4077" t="s">
        <v>13</v>
      </c>
      <c r="U42" s="4080">
        <f t="shared" si="11"/>
        <v>100</v>
      </c>
      <c r="V42" s="4077" t="s">
        <v>13</v>
      </c>
      <c r="W42" s="4080">
        <f t="shared" si="12"/>
        <v>100</v>
      </c>
      <c r="X42" s="963"/>
      <c r="Y42" s="4930"/>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4967"/>
      <c r="Q43" s="3277" t="str">
        <f t="shared" si="14"/>
        <v>宗地开发程度</v>
      </c>
      <c r="R43" s="4076" t="s">
        <v>13</v>
      </c>
      <c r="S43" s="4079">
        <f t="shared" si="10"/>
        <v>100</v>
      </c>
      <c r="T43" s="4076" t="s">
        <v>13</v>
      </c>
      <c r="U43" s="4079">
        <f t="shared" si="11"/>
        <v>100</v>
      </c>
      <c r="V43" s="4076" t="s">
        <v>13</v>
      </c>
      <c r="W43" s="4079">
        <f t="shared" si="12"/>
        <v>100</v>
      </c>
      <c r="X43" s="504"/>
      <c r="Y43" s="4930"/>
      <c r="Z43" s="28" t="str">
        <f t="shared" si="13"/>
        <v>宗地开发程度</v>
      </c>
      <c r="AA43" s="505">
        <f t="shared" si="3"/>
        <v>1</v>
      </c>
      <c r="AB43" s="505">
        <f t="shared" si="4"/>
        <v>1</v>
      </c>
      <c r="AC43" s="505">
        <f t="shared" si="5"/>
        <v>1</v>
      </c>
    </row>
    <row r="44" spans="1:29" ht="15">
      <c r="A44" s="3356"/>
      <c r="B44" s="3276" t="s">
        <v>1785</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4967" t="s">
        <v>1603</v>
      </c>
      <c r="Q44" s="3277" t="str">
        <f t="shared" si="14"/>
        <v>工程地质条件</v>
      </c>
      <c r="R44" s="4077" t="s">
        <v>13</v>
      </c>
      <c r="S44" s="4080">
        <f t="shared" si="10"/>
        <v>100</v>
      </c>
      <c r="T44" s="4077" t="s">
        <v>13</v>
      </c>
      <c r="U44" s="4080">
        <f t="shared" si="11"/>
        <v>100</v>
      </c>
      <c r="V44" s="4077" t="s">
        <v>13</v>
      </c>
      <c r="W44" s="4080">
        <f t="shared" si="12"/>
        <v>100</v>
      </c>
      <c r="X44" s="963"/>
      <c r="Y44" s="4930"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4967"/>
      <c r="Q45" s="3277">
        <f t="shared" si="14"/>
        <v>111</v>
      </c>
      <c r="R45" s="4077" t="s">
        <v>13</v>
      </c>
      <c r="S45" s="4080">
        <f t="shared" si="10"/>
        <v>100</v>
      </c>
      <c r="T45" s="4077" t="s">
        <v>13</v>
      </c>
      <c r="U45" s="4080">
        <f t="shared" si="11"/>
        <v>100</v>
      </c>
      <c r="V45" s="4077" t="s">
        <v>13</v>
      </c>
      <c r="W45" s="4080">
        <f t="shared" si="12"/>
        <v>100</v>
      </c>
      <c r="X45" s="963"/>
      <c r="Y45" s="4930"/>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4967"/>
      <c r="Q46" s="3277">
        <f t="shared" si="14"/>
        <v>111</v>
      </c>
      <c r="R46" s="4077" t="s">
        <v>13</v>
      </c>
      <c r="S46" s="4080">
        <f t="shared" si="10"/>
        <v>100</v>
      </c>
      <c r="T46" s="4077" t="s">
        <v>13</v>
      </c>
      <c r="U46" s="4080">
        <f t="shared" si="11"/>
        <v>100</v>
      </c>
      <c r="V46" s="4077" t="s">
        <v>13</v>
      </c>
      <c r="W46" s="4080">
        <f t="shared" si="12"/>
        <v>100</v>
      </c>
      <c r="X46" s="963"/>
      <c r="Y46" s="4930"/>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4967"/>
      <c r="Q47" s="3277">
        <f t="shared" si="14"/>
        <v>111</v>
      </c>
      <c r="R47" s="4078" t="s">
        <v>13</v>
      </c>
      <c r="S47" s="4081">
        <f t="shared" si="10"/>
        <v>100</v>
      </c>
      <c r="T47" s="4078" t="s">
        <v>13</v>
      </c>
      <c r="U47" s="4081">
        <f t="shared" si="11"/>
        <v>100</v>
      </c>
      <c r="V47" s="4078" t="s">
        <v>13</v>
      </c>
      <c r="W47" s="4081">
        <f t="shared" si="12"/>
        <v>100</v>
      </c>
      <c r="X47" s="507"/>
      <c r="Y47" s="4930"/>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23" t="str">
        <f>A48</f>
        <v>成交单价</v>
      </c>
      <c r="Q48" s="4923"/>
      <c r="R48" s="4924">
        <f>E48</f>
        <v>0</v>
      </c>
      <c r="S48" s="4924"/>
      <c r="T48" s="4924">
        <f>G48</f>
        <v>0</v>
      </c>
      <c r="U48" s="4924"/>
      <c r="V48" s="4924">
        <f>I48</f>
        <v>0</v>
      </c>
      <c r="W48" s="4924"/>
      <c r="X48" s="493"/>
      <c r="Y48" s="509"/>
      <c r="Z48" s="493"/>
      <c r="AA48" s="493"/>
      <c r="AB48" s="493"/>
      <c r="AC48" s="493"/>
    </row>
    <row r="49" spans="1:29" ht="15.75" thickBot="1">
      <c r="A49" s="295" t="s">
        <v>1700</v>
      </c>
      <c r="B49" s="456"/>
      <c r="C49" s="4053" t="e">
        <f>R50</f>
        <v>#DIV/0!</v>
      </c>
      <c r="D49" s="4199" t="s">
        <v>2042</v>
      </c>
      <c r="E49" s="4053" t="e">
        <f>R49</f>
        <v>#DIV/0!</v>
      </c>
      <c r="F49" s="3042"/>
      <c r="G49" s="4042" t="e">
        <f>T49</f>
        <v>#DIV/0!</v>
      </c>
      <c r="H49" s="3042"/>
      <c r="I49" s="4053" t="e">
        <f>V49</f>
        <v>#DIV/0!</v>
      </c>
      <c r="J49" s="3042"/>
      <c r="K49" s="3097">
        <f>F49+H49+J49</f>
        <v>0</v>
      </c>
      <c r="L49" s="2155"/>
      <c r="M49" s="2156"/>
      <c r="N49" s="2156"/>
      <c r="O49" s="2156"/>
      <c r="P49" s="4923" t="str">
        <f>A49</f>
        <v>比较价值（元/平方米）</v>
      </c>
      <c r="Q49" s="4923"/>
      <c r="R49" s="4924" t="e">
        <f>ROUND(PRODUCT(R48,AA9:AA47),0)</f>
        <v>#DIV/0!</v>
      </c>
      <c r="S49" s="4924"/>
      <c r="T49" s="4924" t="e">
        <f>ROUND(PRODUCT(T48,AB9:AB47),0)</f>
        <v>#DIV/0!</v>
      </c>
      <c r="U49" s="4924"/>
      <c r="V49" s="4924" t="e">
        <f>ROUND(PRODUCT(V48,AC9:AC47),0)</f>
        <v>#DIV/0!</v>
      </c>
      <c r="W49" s="4924"/>
      <c r="X49" s="493"/>
      <c r="Y49" s="493"/>
      <c r="Z49" s="493"/>
      <c r="AA49" s="493"/>
      <c r="AB49" s="493"/>
      <c r="AC49" s="493"/>
    </row>
    <row r="50" spans="1:29" ht="15.75" thickBot="1">
      <c r="A50" s="297" t="s">
        <v>1787</v>
      </c>
      <c r="B50" s="298"/>
      <c r="C50" s="4054" t="e">
        <f>R50</f>
        <v>#DIV/0!</v>
      </c>
      <c r="D50" s="299"/>
      <c r="E50" s="299"/>
      <c r="F50" s="299"/>
      <c r="G50" s="299"/>
      <c r="H50" s="299"/>
      <c r="I50" s="299"/>
      <c r="J50" s="299"/>
      <c r="K50" s="3375"/>
      <c r="L50" s="2155"/>
      <c r="M50" s="2156"/>
      <c r="N50" s="2156"/>
      <c r="O50" s="2156"/>
      <c r="P50" s="4920" t="str">
        <f>A50</f>
        <v>估价对象XX用房的比较价值（楼面单价，元/平方米）</v>
      </c>
      <c r="Q50" s="4921"/>
      <c r="R50" s="4922" t="e">
        <f>ROUND(IF(D49="简单平均",AVERAGE(R49:W49),R49*F49+T49*H49+V49*J49),0)</f>
        <v>#DIV/0!</v>
      </c>
      <c r="S50" s="4922"/>
      <c r="T50" s="4922"/>
      <c r="U50" s="4922"/>
      <c r="V50" s="4922"/>
      <c r="W50" s="4922"/>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49" t="s">
        <v>1794</v>
      </c>
      <c r="H57" s="4981"/>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4" t="e">
        <f>C50</f>
        <v>#DIV/0!</v>
      </c>
      <c r="C58" s="3073">
        <v>1</v>
      </c>
      <c r="D58" s="3314">
        <v>1</v>
      </c>
      <c r="E58" s="3313">
        <f>'数据-汇总表'!E8+'数据-汇总表'!E9</f>
        <v>1052.8</v>
      </c>
      <c r="F58" s="3335" t="e">
        <f t="shared" ref="F58:F66" si="15">ROUND(B58*E58/10000,0)</f>
        <v>#DIV/0!</v>
      </c>
      <c r="G58" s="4982"/>
      <c r="H58" s="4969"/>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4"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4"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4"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4"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4"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4"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1052.8</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2">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E33" sqref="E33"/>
    </sheetView>
  </sheetViews>
  <sheetFormatPr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9" style="1547"/>
  </cols>
  <sheetData>
    <row r="1" spans="1:36" ht="28.5">
      <c r="A1" s="95" t="s">
        <v>1833</v>
      </c>
      <c r="B1" s="96"/>
      <c r="C1" s="100" t="s">
        <v>1834</v>
      </c>
      <c r="D1" s="229">
        <f>SUM(D33:D34,D37:D42)</f>
        <v>4735.72</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421</v>
      </c>
      <c r="C2" s="1548" t="s">
        <v>1842</v>
      </c>
      <c r="D2" s="1549" t="s">
        <v>1843</v>
      </c>
      <c r="E2" s="2697" t="s">
        <v>3</v>
      </c>
      <c r="F2" s="1549" t="s">
        <v>1844</v>
      </c>
      <c r="G2" s="3956" t="str">
        <f>IF(E2="商业",项目基本情况!B37,IF(E2="办公",项目基本情况!C37,IF(E2="住宅",项目基本情况!D37,IF(E2="工业",项目基本情况!E37,项目基本情况!F37))))</f>
        <v>九级</v>
      </c>
      <c r="H2" s="1549" t="s">
        <v>1845</v>
      </c>
      <c r="I2" s="3956" t="str">
        <f>IF(E2="商业",项目基本情况!B38,IF(E2="办公",项目基本情况!C38,IF(E2="住宅",项目基本情况!D38,IF(E2="工业",项目基本情况!E38,项目基本情况!F38))))</f>
        <v>Ⅸ-怀2</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1.5418000000000001</v>
      </c>
      <c r="T2" s="4541">
        <f t="shared" ref="T2:T16" si="0">ROUND($C$5*$C$22*$C$23*$C$24*S2*$C$28,0)</f>
        <v>1371</v>
      </c>
      <c r="U2" s="4542"/>
      <c r="V2" s="4541">
        <f>ROUND(T2*U2/10000,0)</f>
        <v>0</v>
      </c>
      <c r="W2" s="854"/>
      <c r="X2" s="854"/>
      <c r="Y2" s="854"/>
      <c r="Z2" s="854"/>
      <c r="AA2" s="854"/>
      <c r="AB2" s="854"/>
      <c r="AC2" s="855"/>
      <c r="AD2" s="856"/>
      <c r="AE2" s="856"/>
      <c r="AF2" s="856"/>
      <c r="AG2" s="856"/>
      <c r="AH2" s="856"/>
      <c r="AI2" s="856"/>
      <c r="AJ2" s="857"/>
    </row>
    <row r="3" spans="1:36" ht="15.75">
      <c r="A3" s="102" t="s">
        <v>1847</v>
      </c>
      <c r="B3" s="2757">
        <f>ROUND(B2*10000/D1,0)</f>
        <v>889</v>
      </c>
      <c r="C3" s="1548" t="s">
        <v>1848</v>
      </c>
      <c r="D3" s="1549" t="s">
        <v>1849</v>
      </c>
      <c r="E3" s="2696" t="s">
        <v>2367</v>
      </c>
      <c r="F3" s="1552" t="s">
        <v>4013</v>
      </c>
      <c r="G3" s="4514">
        <f>IF(F3="宗地容积率",'数据-汇总表'!I4,IF(F3="估价对象容积率",'数据-汇总表'!I6,'数据-汇总表'!I7))</f>
        <v>1</v>
      </c>
      <c r="H3" s="72" t="s">
        <v>1850</v>
      </c>
      <c r="I3" s="4515"/>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1.1883999999999999</v>
      </c>
      <c r="T3" s="4541">
        <f t="shared" si="0"/>
        <v>1057</v>
      </c>
      <c r="U3" s="4542"/>
      <c r="V3" s="4541">
        <f t="shared" ref="V3:V16" si="1">ROUND(T3*U3/10000,0)</f>
        <v>0</v>
      </c>
      <c r="W3" s="854"/>
      <c r="X3" s="854"/>
      <c r="Y3" s="854"/>
      <c r="Z3" s="854"/>
      <c r="AA3" s="854"/>
      <c r="AB3" s="854"/>
      <c r="AC3" s="855"/>
      <c r="AD3" s="856"/>
      <c r="AE3" s="856"/>
      <c r="AF3" s="856"/>
      <c r="AG3" s="856"/>
      <c r="AH3" s="856"/>
      <c r="AI3" s="856"/>
      <c r="AJ3" s="857"/>
    </row>
    <row r="4" spans="1:36" ht="15.75">
      <c r="A4" s="3656" t="s">
        <v>3632</v>
      </c>
      <c r="B4" s="3655" t="e">
        <f>ROUND(B2*10000/F1,0)</f>
        <v>#DIV/0!</v>
      </c>
      <c r="C4" s="3654" t="s">
        <v>3633</v>
      </c>
      <c r="D4" s="3655" t="e">
        <f>ROUND(B2/(F1/666.67),0)</f>
        <v>#DIV/0!</v>
      </c>
      <c r="E4" s="3654" t="s">
        <v>3634</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0.96940000000000004</v>
      </c>
      <c r="T4" s="4541">
        <f t="shared" si="0"/>
        <v>862</v>
      </c>
      <c r="U4" s="4542"/>
      <c r="V4" s="4541">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5">
        <f>ROUND(IF(E2="商业",C6*C7*C17+C20,(IF(E2="住宅",C6*C13*C17+C20,IF(E2="办公",C6*C12*C17+C20,C6+C20)))),0)</f>
        <v>1010</v>
      </c>
      <c r="D5" s="3166">
        <f>ROUND(C6*C17+C20,0)</f>
        <v>1010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0.82299999999999995</v>
      </c>
      <c r="T5" s="4541">
        <f t="shared" si="0"/>
        <v>732</v>
      </c>
      <c r="U5" s="4542"/>
      <c r="V5" s="4541">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6">
        <f>SUMIF(L1:L12,G2,M1:M12)</f>
        <v>1010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0.74980000000000002</v>
      </c>
      <c r="T6" s="4541">
        <f t="shared" si="0"/>
        <v>667</v>
      </c>
      <c r="U6" s="4542"/>
      <c r="V6" s="4541">
        <f t="shared" si="1"/>
        <v>0</v>
      </c>
      <c r="W6" s="854"/>
      <c r="X6" s="854"/>
      <c r="Y6" s="854"/>
      <c r="Z6" s="854"/>
      <c r="AA6" s="854"/>
      <c r="AB6" s="854"/>
      <c r="AC6" s="1559"/>
      <c r="AD6" s="1560"/>
      <c r="AE6" s="1560"/>
      <c r="AF6" s="1560"/>
      <c r="AG6" s="1560"/>
      <c r="AH6" s="1560"/>
      <c r="AI6" s="1560"/>
      <c r="AJ6" s="1561"/>
    </row>
    <row r="7" spans="1:36" ht="24.75" thickBot="1">
      <c r="A7" s="2618" t="s">
        <v>3125</v>
      </c>
      <c r="B7" s="1569" t="s">
        <v>1859</v>
      </c>
      <c r="C7" s="4507" t="e">
        <f>IF(C8="不临65条商业街",1,ROUND(1+(1.6*E8+1.2*E9+0.8*E10+0.4*E11)*C9,4))</f>
        <v>#DIV/0!</v>
      </c>
      <c r="D7" s="1570" t="s">
        <v>1860</v>
      </c>
      <c r="E7" s="4513"/>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3"/>
      <c r="T7" s="4541">
        <f t="shared" si="0"/>
        <v>0</v>
      </c>
      <c r="U7" s="4542"/>
      <c r="V7" s="4541">
        <f t="shared" si="1"/>
        <v>0</v>
      </c>
      <c r="W7" s="965" t="s">
        <v>1862</v>
      </c>
      <c r="X7" s="4558" t="str">
        <f>G2</f>
        <v>九级</v>
      </c>
      <c r="Y7" s="853" t="s">
        <v>1863</v>
      </c>
      <c r="Z7" s="4560">
        <f>G3</f>
        <v>1</v>
      </c>
      <c r="AA7" s="854"/>
      <c r="AB7" s="854"/>
      <c r="AC7" s="855"/>
      <c r="AD7" s="856"/>
      <c r="AE7" s="856"/>
      <c r="AF7" s="856"/>
      <c r="AG7" s="856"/>
      <c r="AH7" s="856"/>
      <c r="AI7" s="856"/>
      <c r="AJ7" s="857"/>
    </row>
    <row r="8" spans="1:36" ht="15">
      <c r="A8" s="2613"/>
      <c r="B8" s="72" t="s">
        <v>1864</v>
      </c>
      <c r="C8" s="4508"/>
      <c r="D8" s="4509" t="s">
        <v>110</v>
      </c>
      <c r="E8" s="4510"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4998" t="s">
        <v>1867</v>
      </c>
      <c r="X8" s="4999"/>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1010</v>
      </c>
      <c r="N9" s="587">
        <f>SUMPRODUCT((因素修正幅度!B277:B326=I2)*(因素修正幅度!C3:G3=E2)*(因素修正幅度!C277:G326))</f>
        <v>0.14199999999999999</v>
      </c>
      <c r="O9" s="788"/>
      <c r="P9" s="788"/>
      <c r="Q9" s="788"/>
      <c r="R9" s="852">
        <v>8</v>
      </c>
      <c r="S9" s="4542"/>
      <c r="T9" s="4541">
        <f t="shared" si="0"/>
        <v>0</v>
      </c>
      <c r="U9" s="4542"/>
      <c r="V9" s="4541">
        <f t="shared" si="1"/>
        <v>0</v>
      </c>
      <c r="W9" s="5000"/>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00"/>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75" thickBot="1">
      <c r="A11" s="2617"/>
      <c r="B11" s="1578" t="s">
        <v>1886</v>
      </c>
      <c r="C11" s="4511">
        <f>C10/4</f>
        <v>0</v>
      </c>
      <c r="D11" s="4512" t="s">
        <v>113</v>
      </c>
      <c r="E11" s="4512"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5" thickBot="1">
      <c r="A12" s="2618" t="s">
        <v>3126</v>
      </c>
      <c r="B12" s="2619" t="s">
        <v>3127</v>
      </c>
      <c r="C12" s="4516"/>
      <c r="D12" s="2620" t="s">
        <v>3128</v>
      </c>
      <c r="E12" s="2621" t="s">
        <v>3129</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15.75" thickBot="1">
      <c r="A13" s="2618" t="s">
        <v>3130</v>
      </c>
      <c r="B13" s="1582" t="s">
        <v>1889</v>
      </c>
      <c r="C13" s="4517">
        <f>ROUND(C16*D16*E16*F16*G16*H16*I16*J16,4)</f>
        <v>0</v>
      </c>
      <c r="D13" s="1583" t="s">
        <v>1890</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8"/>
      <c r="D16" s="4518"/>
      <c r="E16" s="4518"/>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21"/>
      <c r="D18" s="2634" t="s">
        <v>3136</v>
      </c>
      <c r="E18" s="2827"/>
      <c r="F18" s="2635" t="s">
        <v>3139</v>
      </c>
      <c r="G18" s="2638">
        <f>ROUND(1-(1/(POWER(1+G24,E18))),4)</f>
        <v>0</v>
      </c>
      <c r="H18" s="2635" t="s">
        <v>3141</v>
      </c>
      <c r="I18" s="2638">
        <f>ROUND(1-(1/(POWER(1+G24,J24))),4)</f>
        <v>0.91279999999999994</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1" t="s">
        <v>3142</v>
      </c>
      <c r="B20" s="70" t="s">
        <v>1901</v>
      </c>
      <c r="C20" s="4523">
        <f>ROUND(IF(F21="与级别开发程度一致",0,(G21-E21)/C21),0)</f>
        <v>0</v>
      </c>
      <c r="D20" s="2649" t="s">
        <v>1905</v>
      </c>
      <c r="E20" s="2650"/>
      <c r="F20" s="5007" t="s">
        <v>1902</v>
      </c>
      <c r="G20" s="5008"/>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02"/>
      <c r="B21" s="1704" t="s">
        <v>1904</v>
      </c>
      <c r="C21" s="4524">
        <f>IF(E3="M4科研用地",SUMPRODUCT((修正!A2:A7=E3)*(修正!B1:M1=G2)*(修正!B2:M7)),SUMPRODUCT((修正!A2:A7=E2)*(修正!B1:M1=G2)*(修正!B2:M7)))</f>
        <v>1</v>
      </c>
      <c r="D21" s="86" t="str">
        <f>IF(OR(G2="八级",G2="九级",G2="十级",G2="十一级",G2="十二级"),"五通一平","七通一平")</f>
        <v>五通一平</v>
      </c>
      <c r="E21" s="4544">
        <f>SUMPRODUCT((修正!B1:M1=G2)*(修正!B17:M17))</f>
        <v>185</v>
      </c>
      <c r="F21" s="1698" t="s">
        <v>4014</v>
      </c>
      <c r="G21" s="4551">
        <f>SUM(H21:O21)</f>
        <v>0</v>
      </c>
      <c r="H21" s="4552">
        <f>SUMPRODUCT((七通一平=H20)*(修正!B1:M1=G2)*(修正!B8:M16))</f>
        <v>0</v>
      </c>
      <c r="I21" s="4552">
        <f>SUMPRODUCT((七通一平=I20)*(修正!B1:M1=G2)*(修正!B8:M16))</f>
        <v>0</v>
      </c>
      <c r="J21" s="4553">
        <f>SUMPRODUCT((七通一平=J20)*(修正!B1:M1=G2)*(修正!B8:M16))</f>
        <v>0</v>
      </c>
      <c r="K21" s="4552">
        <f>SUMPRODUCT((七通一平=K20)*(修正!B1:M1=G2)*(修正!B8:M16))</f>
        <v>0</v>
      </c>
      <c r="L21" s="4552">
        <f>SUMPRODUCT((七通一平=L20)*(修正!B1:M1=G2)*(修正!B8:M16))</f>
        <v>0</v>
      </c>
      <c r="M21" s="4552">
        <f>SUMPRODUCT((七通一平=M20)*(修正!B1:M1=G2)*(修正!B8:M16))</f>
        <v>0</v>
      </c>
      <c r="N21" s="4552">
        <f>SUMPRODUCT((七通一平=N20)*(修正!B1:M1=G2)*(修正!B8:M16))</f>
        <v>0</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1909</v>
      </c>
      <c r="E23" s="4546">
        <v>44197</v>
      </c>
      <c r="F23" s="1602" t="s">
        <v>1910</v>
      </c>
      <c r="G23" s="4547">
        <f>'数据-取费表'!B2</f>
        <v>46077</v>
      </c>
      <c r="H23" s="2651" t="s">
        <v>4015</v>
      </c>
      <c r="I23" s="2652" t="str">
        <f>IF(H23="季度增幅（自定义）",SUMIF(N25:N28,E2,O25:O28),"")</f>
        <v/>
      </c>
      <c r="J23" s="2713" t="s">
        <v>4016</v>
      </c>
      <c r="K23" s="794"/>
      <c r="L23" s="1603" t="s">
        <v>1911</v>
      </c>
      <c r="M23" s="940">
        <f>ROUND(SUMIF(地价!B2:G2,E2,地价!B16:G16),0)</f>
        <v>318</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7">
        <f>ROUND(POWER(1+G24,J24-I24)*(POWER(1+G24,I24)-1)/(POWER(1+G24,J24)-1),4)</f>
        <v>0.79069999999999996</v>
      </c>
      <c r="D24" s="1608" t="s">
        <v>1914</v>
      </c>
      <c r="E24" s="4545">
        <f>存贷款利率!E28/100</f>
        <v>4.3499999999999997E-2</v>
      </c>
      <c r="F24" s="1608" t="s">
        <v>1906</v>
      </c>
      <c r="G24" s="4548">
        <f>SUMIF(M30:Q30,E2,M33:Q33)</f>
        <v>0.05</v>
      </c>
      <c r="H24" s="1608" t="s">
        <v>1915</v>
      </c>
      <c r="I24" s="4549">
        <f>SUMIF('数据-取费表'!C6:C15,E2,'数据-取费表'!F6:F15)/COUNTIF('数据-取费表'!C6:C15,E2)</f>
        <v>26.22</v>
      </c>
      <c r="J24" s="4550">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4017</v>
      </c>
      <c r="C25" s="4528">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3143</v>
      </c>
      <c r="D26" s="4539">
        <f>IF(E26=G26,F26,IF(G3&lt;10,ROUND(F26+(H26-F26)*(G3-E26)/(G26-E26),4),"——"))</f>
        <v>1</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3144</v>
      </c>
      <c r="J26" s="4540"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9">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30">
        <f>SUMIF(A47:A101,E2,B47:B101)</f>
        <v>1.022</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31">
        <f>IF(B25="容积率修正",E33+SUM(I37:I42),SUM(V2:V16)+SUM(I37:I42))</f>
        <v>421</v>
      </c>
      <c r="D30" s="4203" t="s">
        <v>3792</v>
      </c>
      <c r="E30" s="1594"/>
      <c r="F30" s="1631"/>
      <c r="G30" s="1594"/>
      <c r="H30" s="1594"/>
      <c r="I30" s="1594"/>
      <c r="J30" s="1632"/>
      <c r="K30" s="788"/>
      <c r="L30" s="2658" t="s">
        <v>1843</v>
      </c>
      <c r="M30" s="2659" t="s">
        <v>1897</v>
      </c>
      <c r="N30" s="2659" t="s">
        <v>1898</v>
      </c>
      <c r="O30" s="2659" t="s">
        <v>1899</v>
      </c>
      <c r="P30" s="2659" t="s">
        <v>1900</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32">
        <f>E34+SUM(I37:I42)</f>
        <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31">
        <f>ROUND(C5*C22*C23*C24*C25*C28,0)</f>
        <v>889</v>
      </c>
      <c r="D33" s="4533">
        <f>'数据-汇总表'!D3</f>
        <v>4735.72</v>
      </c>
      <c r="E33" s="2845">
        <f>ROUND(C33*D33/10000,0)</f>
        <v>421</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4">
        <f>ROUND(IF(E2="工业",C33*M42,IF(B25="楼层修正",SUM(V2:V16)*M41*10000/D34,C33*M41)),0)</f>
        <v>133</v>
      </c>
      <c r="D34" s="4535"/>
      <c r="E34" s="2845">
        <f>ROUND(IF(B25="楼层修正",SUM(V2:V16)*M40,C34*D34/10000),0)</f>
        <v>0</v>
      </c>
      <c r="F34" s="1649" t="s">
        <v>1939</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3147</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5"/>
      <c r="B37" s="4561" t="s">
        <v>1943</v>
      </c>
      <c r="C37" s="4531">
        <f>ROUND(D5*C22*C23*C24*C28*F37,0)</f>
        <v>445</v>
      </c>
      <c r="D37" s="4533"/>
      <c r="E37" s="3337">
        <f>ROUND(C37*D37/10000,0)</f>
        <v>0</v>
      </c>
      <c r="F37" s="3312">
        <f>SUMIF(修正!A59:A70,G2,修正!B59:B70)</f>
        <v>0.5</v>
      </c>
      <c r="G37" s="3337">
        <f>ROUND(IF(E2="工业",C37*$M$42,C37*$M$41),0)</f>
        <v>67</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06"/>
      <c r="B38" s="3812" t="s">
        <v>1944</v>
      </c>
      <c r="C38" s="4531">
        <f>ROUND(D5*C22*C23*C24*C28*F38,0)</f>
        <v>178</v>
      </c>
      <c r="D38" s="4533"/>
      <c r="E38" s="3337">
        <f t="shared" ref="E38:E42" si="4">ROUND(C38*D38/10000,0)</f>
        <v>0</v>
      </c>
      <c r="F38" s="3312">
        <f>SUMIF(修正!A59:A70,G2,修正!C59:C70)</f>
        <v>0.2</v>
      </c>
      <c r="G38" s="3337">
        <f>ROUND(IF(E2="工业",C38*$M$42,C38*$M$41),0)</f>
        <v>27</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06"/>
      <c r="B39" s="3812" t="s">
        <v>3145</v>
      </c>
      <c r="C39" s="4531">
        <f>ROUND(D5*C22*C23*C24*C28*F39,0)</f>
        <v>178</v>
      </c>
      <c r="D39" s="4533"/>
      <c r="E39" s="3337">
        <f t="shared" si="4"/>
        <v>0</v>
      </c>
      <c r="F39" s="3312">
        <f>SUMIF(修正!A59:A70,G2,修正!D59:D70)</f>
        <v>0.2</v>
      </c>
      <c r="G39" s="3337">
        <f>ROUND(IF(E2="工业",C39*$M$42,C39*$M$41),0)</f>
        <v>27</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f>ROUND(D5*C22*C23*C24*C28*F40,0)</f>
        <v>178</v>
      </c>
      <c r="D40" s="4533"/>
      <c r="E40" s="3337">
        <f t="shared" si="4"/>
        <v>0</v>
      </c>
      <c r="F40" s="4536">
        <f>SUMIF(修正!A59:A70,G2,修正!E59:E70)</f>
        <v>0.2</v>
      </c>
      <c r="G40" s="3337">
        <f>ROUND(IF(E2="工业",C40*$M$42,C40*$M$41),0)</f>
        <v>27</v>
      </c>
      <c r="H40" s="3312">
        <f t="shared" si="5"/>
        <v>0</v>
      </c>
      <c r="I40" s="3337">
        <f t="shared" si="6"/>
        <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f>ROUND(D5*C22*C23*C44*C28*F41,0)</f>
        <v>0</v>
      </c>
      <c r="D41" s="4533"/>
      <c r="E41" s="3337">
        <f t="shared" si="4"/>
        <v>0</v>
      </c>
      <c r="F41" s="4536">
        <f>SUMIF(修正!A59:A70,G2,修正!F59:F70)</f>
        <v>0.2</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5" thickBot="1">
      <c r="A42" s="1647"/>
      <c r="B42" s="4562" t="s">
        <v>1948</v>
      </c>
      <c r="C42" s="4534">
        <f>ROUND(D5*C22*C23*C44*C28*F42,0)</f>
        <v>0</v>
      </c>
      <c r="D42" s="4535"/>
      <c r="E42" s="4534">
        <f t="shared" si="4"/>
        <v>0</v>
      </c>
      <c r="F42" s="4537">
        <f>SUMIF(修正!A59:A70,G2,修正!G59:G70)</f>
        <v>0.1</v>
      </c>
      <c r="G42" s="4534">
        <f>ROUND(IF(E2="工业",C42*$M$42,C42*$M$41),0)</f>
        <v>0</v>
      </c>
      <c r="H42" s="4538">
        <f t="shared" si="5"/>
        <v>0</v>
      </c>
      <c r="I42" s="4534">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0.05</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36">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36">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4">
        <f t="shared" ref="D72:D80" si="17">SUMIF($J$71:$N$71,C72,J72:N72)</f>
        <v>0</v>
      </c>
      <c r="E72" s="4565">
        <f>ROUND(SUM(D72:D80),4)</f>
        <v>0</v>
      </c>
      <c r="F72" s="4573" t="str">
        <f>IF(E2="住宅",SUMIF(L1:L12,G2,N1:N12),"——")</f>
        <v>——</v>
      </c>
      <c r="G72" s="4568"/>
      <c r="H72" s="4569" t="str">
        <f t="shared" ref="H72:H80" si="18">IFERROR(ROUNDDOWN($F$72*I72/2,4),"——")</f>
        <v>——</v>
      </c>
      <c r="I72" s="4570">
        <v>0.2</v>
      </c>
      <c r="J72" s="4571">
        <f t="shared" ref="J72:J80" si="19">K72+$G72</f>
        <v>0</v>
      </c>
      <c r="K72" s="4571">
        <f t="shared" ref="K72:K80" si="20">$L72+$G72</f>
        <v>0</v>
      </c>
      <c r="L72" s="4571">
        <v>0</v>
      </c>
      <c r="M72" s="4571">
        <f t="shared" ref="M72:N80" si="21">L72-$G72</f>
        <v>0</v>
      </c>
      <c r="N72" s="4571">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4">
        <f t="shared" si="17"/>
        <v>0</v>
      </c>
      <c r="E73" s="4566"/>
      <c r="F73" s="4573"/>
      <c r="G73" s="4568"/>
      <c r="H73" s="4569" t="str">
        <f t="shared" si="18"/>
        <v>——</v>
      </c>
      <c r="I73" s="4570">
        <v>0.26</v>
      </c>
      <c r="J73" s="4571">
        <f t="shared" si="19"/>
        <v>0</v>
      </c>
      <c r="K73" s="4571">
        <f t="shared" si="20"/>
        <v>0</v>
      </c>
      <c r="L73" s="4571">
        <v>0</v>
      </c>
      <c r="M73" s="4571">
        <f t="shared" si="21"/>
        <v>0</v>
      </c>
      <c r="N73" s="4571">
        <f t="shared" si="21"/>
        <v>0</v>
      </c>
      <c r="AA73" s="789"/>
      <c r="AB73" s="789"/>
      <c r="AC73" s="789"/>
      <c r="AD73" s="789"/>
      <c r="AE73" s="789"/>
      <c r="AF73" s="789"/>
      <c r="AG73" s="789"/>
      <c r="AH73" s="789"/>
      <c r="AI73" s="789"/>
      <c r="AJ73" s="789"/>
      <c r="AK73" s="789"/>
    </row>
    <row r="74" spans="1:37" s="1546" customFormat="1" ht="36">
      <c r="A74" s="2669" t="s">
        <v>3155</v>
      </c>
      <c r="B74" s="1677">
        <f>估价对象房地状况!C19</f>
        <v>0</v>
      </c>
      <c r="C74" s="1592"/>
      <c r="D74" s="4564">
        <f t="shared" si="17"/>
        <v>0</v>
      </c>
      <c r="E74" s="4566"/>
      <c r="F74" s="4573"/>
      <c r="G74" s="4568"/>
      <c r="H74" s="4569" t="str">
        <f t="shared" si="18"/>
        <v>——</v>
      </c>
      <c r="I74" s="4570">
        <v>0.1</v>
      </c>
      <c r="J74" s="4571">
        <f t="shared" si="19"/>
        <v>0</v>
      </c>
      <c r="K74" s="4571">
        <f t="shared" si="20"/>
        <v>0</v>
      </c>
      <c r="L74" s="4571">
        <v>0</v>
      </c>
      <c r="M74" s="4571">
        <f t="shared" si="21"/>
        <v>0</v>
      </c>
      <c r="N74" s="4571">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4">
        <f t="shared" si="17"/>
        <v>0</v>
      </c>
      <c r="E75" s="4566"/>
      <c r="F75" s="4573"/>
      <c r="G75" s="4568"/>
      <c r="H75" s="4569" t="str">
        <f t="shared" si="18"/>
        <v>——</v>
      </c>
      <c r="I75" s="4570">
        <v>0.05</v>
      </c>
      <c r="J75" s="4571">
        <f t="shared" si="19"/>
        <v>0</v>
      </c>
      <c r="K75" s="4571">
        <f t="shared" si="20"/>
        <v>0</v>
      </c>
      <c r="L75" s="4571">
        <v>0</v>
      </c>
      <c r="M75" s="4571">
        <f t="shared" si="21"/>
        <v>0</v>
      </c>
      <c r="N75" s="4571">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4">
        <f t="shared" si="17"/>
        <v>0</v>
      </c>
      <c r="E76" s="4566"/>
      <c r="F76" s="4573"/>
      <c r="G76" s="4568"/>
      <c r="H76" s="4569" t="str">
        <f t="shared" si="18"/>
        <v>——</v>
      </c>
      <c r="I76" s="4570">
        <v>0.08</v>
      </c>
      <c r="J76" s="4571">
        <f t="shared" si="19"/>
        <v>0</v>
      </c>
      <c r="K76" s="4571">
        <f t="shared" si="20"/>
        <v>0</v>
      </c>
      <c r="L76" s="4571">
        <v>0</v>
      </c>
      <c r="M76" s="4571">
        <f t="shared" si="21"/>
        <v>0</v>
      </c>
      <c r="N76" s="4571">
        <f t="shared" si="21"/>
        <v>0</v>
      </c>
      <c r="O76" s="788"/>
      <c r="P76" s="788"/>
      <c r="Z76" s="1547"/>
      <c r="AA76" s="1601"/>
      <c r="AG76" s="790"/>
      <c r="AK76" s="1601"/>
    </row>
    <row r="77" spans="1:37" ht="25.5">
      <c r="A77" s="1673" t="s">
        <v>1967</v>
      </c>
      <c r="B77" s="938" t="str">
        <f>估价对象房地状况!C22</f>
        <v>估价对象所在区域基础设施水平</v>
      </c>
      <c r="C77" s="1592"/>
      <c r="D77" s="4564">
        <f t="shared" si="17"/>
        <v>0</v>
      </c>
      <c r="E77" s="4566"/>
      <c r="F77" s="4573"/>
      <c r="G77" s="4568"/>
      <c r="H77" s="4569" t="str">
        <f t="shared" si="18"/>
        <v>——</v>
      </c>
      <c r="I77" s="4570">
        <v>0.09</v>
      </c>
      <c r="J77" s="4571">
        <f t="shared" si="19"/>
        <v>0</v>
      </c>
      <c r="K77" s="4571">
        <f t="shared" si="20"/>
        <v>0</v>
      </c>
      <c r="L77" s="4571">
        <v>0</v>
      </c>
      <c r="M77" s="4571">
        <f t="shared" si="21"/>
        <v>0</v>
      </c>
      <c r="N77" s="4571">
        <f t="shared" si="21"/>
        <v>0</v>
      </c>
      <c r="O77" s="788"/>
      <c r="P77" s="788"/>
      <c r="Z77" s="1547"/>
      <c r="AA77" s="1601"/>
      <c r="AG77" s="790"/>
      <c r="AK77" s="1601"/>
    </row>
    <row r="78" spans="1:37" ht="24">
      <c r="A78" s="1673" t="s">
        <v>1964</v>
      </c>
      <c r="B78" s="1679" t="s">
        <v>1965</v>
      </c>
      <c r="C78" s="1592"/>
      <c r="D78" s="4564">
        <f t="shared" si="17"/>
        <v>0</v>
      </c>
      <c r="E78" s="4566"/>
      <c r="F78" s="4573"/>
      <c r="G78" s="4568"/>
      <c r="H78" s="4569" t="str">
        <f t="shared" si="18"/>
        <v>——</v>
      </c>
      <c r="I78" s="4570">
        <v>0.05</v>
      </c>
      <c r="J78" s="4571">
        <f t="shared" si="19"/>
        <v>0</v>
      </c>
      <c r="K78" s="4571">
        <f t="shared" si="20"/>
        <v>0</v>
      </c>
      <c r="L78" s="4571">
        <v>0</v>
      </c>
      <c r="M78" s="4571">
        <f t="shared" si="21"/>
        <v>0</v>
      </c>
      <c r="N78" s="4571">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4">
        <f t="shared" si="17"/>
        <v>0</v>
      </c>
      <c r="E79" s="4566"/>
      <c r="F79" s="4573"/>
      <c r="G79" s="4568"/>
      <c r="H79" s="4569" t="str">
        <f t="shared" si="18"/>
        <v>——</v>
      </c>
      <c r="I79" s="4570">
        <v>0.12</v>
      </c>
      <c r="J79" s="4571">
        <f t="shared" si="19"/>
        <v>0</v>
      </c>
      <c r="K79" s="4571">
        <f t="shared" si="20"/>
        <v>0</v>
      </c>
      <c r="L79" s="4571">
        <v>0</v>
      </c>
      <c r="M79" s="4571">
        <f t="shared" si="21"/>
        <v>0</v>
      </c>
      <c r="N79" s="4571">
        <f t="shared" si="21"/>
        <v>0</v>
      </c>
      <c r="Z79" s="1547"/>
      <c r="AA79" s="1601"/>
      <c r="AG79" s="790"/>
      <c r="AK79" s="1601"/>
    </row>
    <row r="80" spans="1:37" ht="24.75" thickBot="1">
      <c r="A80" s="1681" t="s">
        <v>1975</v>
      </c>
      <c r="B80" s="1685"/>
      <c r="C80" s="1592"/>
      <c r="D80" s="4564">
        <f t="shared" si="17"/>
        <v>0</v>
      </c>
      <c r="E80" s="4567"/>
      <c r="F80" s="4573"/>
      <c r="G80" s="4568"/>
      <c r="H80" s="4569" t="str">
        <f t="shared" si="18"/>
        <v>——</v>
      </c>
      <c r="I80" s="4572">
        <v>0.05</v>
      </c>
      <c r="J80" s="4571">
        <f t="shared" si="19"/>
        <v>0</v>
      </c>
      <c r="K80" s="4571">
        <f t="shared" si="20"/>
        <v>0</v>
      </c>
      <c r="L80" s="4571">
        <v>0</v>
      </c>
      <c r="M80" s="4571">
        <f t="shared" si="21"/>
        <v>0</v>
      </c>
      <c r="N80" s="4571">
        <f t="shared" si="21"/>
        <v>0</v>
      </c>
      <c r="Z80" s="1547"/>
      <c r="AA80" s="1601"/>
      <c r="AG80" s="790"/>
      <c r="AK80" s="1601"/>
    </row>
    <row r="81" spans="1:37" ht="15">
      <c r="A81" s="1669" t="s">
        <v>1976</v>
      </c>
      <c r="B81" s="1670">
        <f>1+E83</f>
        <v>1.022</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5047" t="s">
        <v>3611</v>
      </c>
      <c r="D83" s="4564">
        <f t="shared" ref="D83:D90" si="22">SUMIF($J$82:$N$82,C83,J83:N83)</f>
        <v>1.84E-2</v>
      </c>
      <c r="E83" s="4565">
        <f>ROUND(SUM(D83:D90),4)</f>
        <v>2.1999999999999999E-2</v>
      </c>
      <c r="F83" s="4573">
        <f>IF(E2="工业",SUMIF(L1:L12,G2,N1:N12),"——")</f>
        <v>0.14199999999999999</v>
      </c>
      <c r="G83" s="4568">
        <f>H83</f>
        <v>1.84E-2</v>
      </c>
      <c r="H83" s="4569">
        <f t="shared" ref="H83:H90" si="23">IFERROR(ROUNDDOWN($F$83*I83/2,4),"——")</f>
        <v>1.84E-2</v>
      </c>
      <c r="I83" s="4570">
        <v>0.26</v>
      </c>
      <c r="J83" s="4571">
        <f t="shared" ref="J83:J90" si="24">K83+$G83</f>
        <v>3.6799999999999999E-2</v>
      </c>
      <c r="K83" s="4571">
        <f t="shared" ref="K83:K90" si="25">$L83+$G83</f>
        <v>1.84E-2</v>
      </c>
      <c r="L83" s="4571">
        <v>0</v>
      </c>
      <c r="M83" s="4571">
        <f t="shared" ref="M83:N90" si="26">L83-$G83</f>
        <v>-1.84E-2</v>
      </c>
      <c r="N83" s="4571">
        <f t="shared" si="26"/>
        <v>-3.6799999999999999E-2</v>
      </c>
      <c r="Z83" s="1547"/>
      <c r="AA83" s="1601"/>
      <c r="AG83" s="790"/>
      <c r="AK83" s="1601"/>
    </row>
    <row r="84" spans="1:37" ht="38.25">
      <c r="A84" s="1673" t="s">
        <v>1960</v>
      </c>
      <c r="B84" s="1677" t="str">
        <f>估价对象房地状况!G16</f>
        <v>估价对象周边道路状况、公共交通通达情况、停车便捷程度，综合评价交通便捷度较好</v>
      </c>
      <c r="C84" s="5047" t="s">
        <v>3610</v>
      </c>
      <c r="D84" s="4564">
        <f t="shared" si="22"/>
        <v>0</v>
      </c>
      <c r="E84" s="4566"/>
      <c r="F84" s="4573"/>
      <c r="G84" s="4568">
        <f t="shared" ref="G84:G90" si="27">H84</f>
        <v>2.1299999999999999E-2</v>
      </c>
      <c r="H84" s="4569">
        <f t="shared" si="23"/>
        <v>2.1299999999999999E-2</v>
      </c>
      <c r="I84" s="4570">
        <v>0.3</v>
      </c>
      <c r="J84" s="4571">
        <f t="shared" si="24"/>
        <v>4.2599999999999999E-2</v>
      </c>
      <c r="K84" s="4571">
        <f t="shared" si="25"/>
        <v>2.1299999999999999E-2</v>
      </c>
      <c r="L84" s="4571">
        <v>0</v>
      </c>
      <c r="M84" s="4571">
        <f t="shared" si="26"/>
        <v>-2.1299999999999999E-2</v>
      </c>
      <c r="N84" s="4571">
        <f t="shared" si="26"/>
        <v>-4.2599999999999999E-2</v>
      </c>
      <c r="Z84" s="1547"/>
      <c r="AA84" s="1601"/>
      <c r="AG84" s="790"/>
      <c r="AK84" s="1601"/>
    </row>
    <row r="85" spans="1:37" ht="36">
      <c r="A85" s="2669" t="s">
        <v>3156</v>
      </c>
      <c r="B85" s="1677">
        <f>估价对象房地状况!G17</f>
        <v>0</v>
      </c>
      <c r="C85" s="5047" t="s">
        <v>3611</v>
      </c>
      <c r="D85" s="4564">
        <f t="shared" si="22"/>
        <v>7.1000000000000004E-3</v>
      </c>
      <c r="E85" s="4566"/>
      <c r="F85" s="4573"/>
      <c r="G85" s="4568">
        <f t="shared" si="27"/>
        <v>7.1000000000000004E-3</v>
      </c>
      <c r="H85" s="4569">
        <f t="shared" si="23"/>
        <v>7.1000000000000004E-3</v>
      </c>
      <c r="I85" s="4570">
        <v>0.1</v>
      </c>
      <c r="J85" s="4571">
        <f t="shared" si="24"/>
        <v>1.4200000000000001E-2</v>
      </c>
      <c r="K85" s="4571">
        <f t="shared" si="25"/>
        <v>7.1000000000000004E-3</v>
      </c>
      <c r="L85" s="4571">
        <v>0</v>
      </c>
      <c r="M85" s="4571">
        <f t="shared" si="26"/>
        <v>-7.1000000000000004E-3</v>
      </c>
      <c r="N85" s="4571">
        <f t="shared" si="26"/>
        <v>-1.4200000000000001E-2</v>
      </c>
      <c r="Z85" s="1547"/>
      <c r="AA85" s="1601"/>
      <c r="AG85" s="790"/>
      <c r="AK85" s="1601"/>
    </row>
    <row r="86" spans="1:37" ht="14.25">
      <c r="A86" s="1673" t="s">
        <v>1974</v>
      </c>
      <c r="B86" s="1677">
        <f>估价对象房地状况!G22</f>
        <v>0</v>
      </c>
      <c r="C86" s="5047" t="s">
        <v>4018</v>
      </c>
      <c r="D86" s="4564">
        <f t="shared" si="22"/>
        <v>-7.0000000000000001E-3</v>
      </c>
      <c r="E86" s="4566"/>
      <c r="F86" s="4573"/>
      <c r="G86" s="4568">
        <f t="shared" si="27"/>
        <v>3.5000000000000001E-3</v>
      </c>
      <c r="H86" s="4569">
        <f t="shared" si="23"/>
        <v>3.5000000000000001E-3</v>
      </c>
      <c r="I86" s="4570">
        <v>0.05</v>
      </c>
      <c r="J86" s="4571">
        <f t="shared" si="24"/>
        <v>7.0000000000000001E-3</v>
      </c>
      <c r="K86" s="4571">
        <f t="shared" si="25"/>
        <v>3.5000000000000001E-3</v>
      </c>
      <c r="L86" s="4571">
        <v>0</v>
      </c>
      <c r="M86" s="4571">
        <f t="shared" si="26"/>
        <v>-3.5000000000000001E-3</v>
      </c>
      <c r="N86" s="4571">
        <f t="shared" si="26"/>
        <v>-7.0000000000000001E-3</v>
      </c>
      <c r="Z86" s="1547"/>
      <c r="AA86" s="1601"/>
      <c r="AG86" s="790"/>
      <c r="AK86" s="1601"/>
    </row>
    <row r="87" spans="1:37" ht="25.5">
      <c r="A87" s="1673" t="s">
        <v>1966</v>
      </c>
      <c r="B87" s="938" t="str">
        <f>估价对象房地状况!G19</f>
        <v>估价对象所在区域公共配套设施齐备情况</v>
      </c>
      <c r="C87" s="5047" t="s">
        <v>3610</v>
      </c>
      <c r="D87" s="4564">
        <f t="shared" si="22"/>
        <v>0</v>
      </c>
      <c r="E87" s="4566"/>
      <c r="F87" s="4573"/>
      <c r="G87" s="4568">
        <f t="shared" si="27"/>
        <v>4.1999999999999997E-3</v>
      </c>
      <c r="H87" s="4569">
        <f t="shared" si="23"/>
        <v>4.1999999999999997E-3</v>
      </c>
      <c r="I87" s="4570">
        <v>0.06</v>
      </c>
      <c r="J87" s="4571">
        <f t="shared" si="24"/>
        <v>8.3999999999999995E-3</v>
      </c>
      <c r="K87" s="4571">
        <f t="shared" si="25"/>
        <v>4.1999999999999997E-3</v>
      </c>
      <c r="L87" s="4571">
        <v>0</v>
      </c>
      <c r="M87" s="4571">
        <f t="shared" si="26"/>
        <v>-4.1999999999999997E-3</v>
      </c>
      <c r="N87" s="4571">
        <f t="shared" si="26"/>
        <v>-8.3999999999999995E-3</v>
      </c>
    </row>
    <row r="88" spans="1:37" ht="25.5">
      <c r="A88" s="1673" t="s">
        <v>1967</v>
      </c>
      <c r="B88" s="938" t="str">
        <f>估价对象房地状况!G20</f>
        <v>估价对象所在区域基础设施水平</v>
      </c>
      <c r="C88" s="5047" t="s">
        <v>3610</v>
      </c>
      <c r="D88" s="4564">
        <f t="shared" si="22"/>
        <v>0</v>
      </c>
      <c r="E88" s="4566"/>
      <c r="F88" s="4573"/>
      <c r="G88" s="4568">
        <f t="shared" si="27"/>
        <v>8.5000000000000006E-3</v>
      </c>
      <c r="H88" s="4569">
        <f t="shared" si="23"/>
        <v>8.5000000000000006E-3</v>
      </c>
      <c r="I88" s="4570">
        <v>0.12</v>
      </c>
      <c r="J88" s="4571">
        <f t="shared" si="24"/>
        <v>1.7000000000000001E-2</v>
      </c>
      <c r="K88" s="4571">
        <f t="shared" si="25"/>
        <v>8.5000000000000006E-3</v>
      </c>
      <c r="L88" s="4571">
        <v>0</v>
      </c>
      <c r="M88" s="4571">
        <f t="shared" si="26"/>
        <v>-8.5000000000000006E-3</v>
      </c>
      <c r="N88" s="4571">
        <f t="shared" si="26"/>
        <v>-1.7000000000000001E-2</v>
      </c>
    </row>
    <row r="89" spans="1:37" ht="24">
      <c r="A89" s="1673" t="s">
        <v>1964</v>
      </c>
      <c r="B89" s="1679" t="s">
        <v>1978</v>
      </c>
      <c r="C89" s="5047" t="s">
        <v>3610</v>
      </c>
      <c r="D89" s="4564">
        <f t="shared" si="22"/>
        <v>0</v>
      </c>
      <c r="E89" s="4566"/>
      <c r="F89" s="4573"/>
      <c r="G89" s="4568">
        <f t="shared" si="27"/>
        <v>4.1999999999999997E-3</v>
      </c>
      <c r="H89" s="4569">
        <f t="shared" si="23"/>
        <v>4.1999999999999997E-3</v>
      </c>
      <c r="I89" s="4570">
        <v>0.06</v>
      </c>
      <c r="J89" s="4571">
        <f t="shared" si="24"/>
        <v>8.3999999999999995E-3</v>
      </c>
      <c r="K89" s="4571">
        <f t="shared" si="25"/>
        <v>4.1999999999999997E-3</v>
      </c>
      <c r="L89" s="4571">
        <v>0</v>
      </c>
      <c r="M89" s="4571">
        <f t="shared" si="26"/>
        <v>-4.1999999999999997E-3</v>
      </c>
      <c r="N89" s="4571">
        <f t="shared" si="26"/>
        <v>-8.3999999999999995E-3</v>
      </c>
    </row>
    <row r="90" spans="1:37" ht="39" thickBot="1">
      <c r="A90" s="1681" t="s">
        <v>1979</v>
      </c>
      <c r="B90" s="1686" t="str">
        <f>估价对象房地状况!G18</f>
        <v>该园区内是否有污染型企业，绿化情况，卫生条件，整体环境状况判断</v>
      </c>
      <c r="C90" s="5047" t="s">
        <v>3611</v>
      </c>
      <c r="D90" s="4564">
        <f t="shared" si="22"/>
        <v>3.5000000000000001E-3</v>
      </c>
      <c r="E90" s="4567"/>
      <c r="F90" s="4573"/>
      <c r="G90" s="4568">
        <f t="shared" si="27"/>
        <v>3.5000000000000001E-3</v>
      </c>
      <c r="H90" s="4569">
        <f t="shared" si="23"/>
        <v>3.5000000000000001E-3</v>
      </c>
      <c r="I90" s="4572">
        <v>0.05</v>
      </c>
      <c r="J90" s="4571">
        <f t="shared" si="24"/>
        <v>7.0000000000000001E-3</v>
      </c>
      <c r="K90" s="4571">
        <f t="shared" si="25"/>
        <v>3.5000000000000001E-3</v>
      </c>
      <c r="L90" s="4571">
        <v>0</v>
      </c>
      <c r="M90" s="4571">
        <f t="shared" si="26"/>
        <v>-3.5000000000000001E-3</v>
      </c>
      <c r="N90" s="4571">
        <f t="shared" si="26"/>
        <v>-7.0000000000000001E-3</v>
      </c>
    </row>
    <row r="91" spans="1:37" ht="15">
      <c r="A91" s="2677" t="s">
        <v>2500</v>
      </c>
      <c r="B91" s="2678">
        <f>1+E93</f>
        <v>1</v>
      </c>
      <c r="C91" s="2671"/>
      <c r="D91" s="2672"/>
      <c r="E91" s="1397"/>
      <c r="F91" s="1397"/>
      <c r="G91" s="2673"/>
      <c r="H91" s="2674"/>
      <c r="I91" s="2675"/>
      <c r="J91" s="2676"/>
      <c r="K91" s="2676"/>
      <c r="L91" s="2676"/>
      <c r="M91" s="2676"/>
      <c r="N91" s="2676"/>
    </row>
    <row r="92" spans="1:37" ht="24.75">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8">K93+$G93</f>
        <v>0</v>
      </c>
      <c r="K93" s="4578">
        <f t="shared" ref="K93:K101" si="29">$L93+$G93</f>
        <v>0</v>
      </c>
      <c r="L93" s="4578">
        <v>0</v>
      </c>
      <c r="M93" s="4578">
        <f t="shared" ref="M93:N101" si="30">L93-$G93</f>
        <v>0</v>
      </c>
      <c r="N93" s="4578">
        <f t="shared" si="30"/>
        <v>0</v>
      </c>
    </row>
    <row r="94" spans="1:37" ht="38.25">
      <c r="A94" s="2679" t="s">
        <v>3159</v>
      </c>
      <c r="B94" s="2670" t="str">
        <f>估价对象房地状况!C18</f>
        <v>估价对象周边道路状况、公共交通通达情况、停车便捷程度，综合评价交通便捷度较好</v>
      </c>
      <c r="C94" s="1592"/>
      <c r="D94" s="4574">
        <f t="shared" ref="D94:D101" si="31">SUMIF($J$60:$N$60,C94,J94:N94)</f>
        <v>0</v>
      </c>
      <c r="E94" s="4579"/>
      <c r="F94" s="4573"/>
      <c r="G94" s="4576"/>
      <c r="H94" s="4577" t="str">
        <f>IFERROR(ROUNDDOWN($F$93*I94/2,4),"——")</f>
        <v>——</v>
      </c>
      <c r="I94" s="4570">
        <v>0.26</v>
      </c>
      <c r="J94" s="4578">
        <f t="shared" si="28"/>
        <v>0</v>
      </c>
      <c r="K94" s="4578">
        <f t="shared" si="29"/>
        <v>0</v>
      </c>
      <c r="L94" s="4578">
        <v>0</v>
      </c>
      <c r="M94" s="4578">
        <f t="shared" si="30"/>
        <v>0</v>
      </c>
      <c r="N94" s="4578">
        <f t="shared" si="30"/>
        <v>0</v>
      </c>
    </row>
    <row r="95" spans="1:37" ht="36">
      <c r="A95" s="2669" t="s">
        <v>3155</v>
      </c>
      <c r="B95" s="2670">
        <f>估价对象房地状况!C19</f>
        <v>0</v>
      </c>
      <c r="C95" s="1592"/>
      <c r="D95" s="4574">
        <f t="shared" si="31"/>
        <v>0</v>
      </c>
      <c r="E95" s="4579"/>
      <c r="F95" s="4573"/>
      <c r="G95" s="4576"/>
      <c r="H95" s="4577" t="str">
        <f t="shared" ref="H95:H101" si="32">IFERROR(ROUNDDOWN($F$93*I95/2,4),"——")</f>
        <v>——</v>
      </c>
      <c r="I95" s="4570">
        <v>0.11</v>
      </c>
      <c r="J95" s="4578">
        <f t="shared" si="28"/>
        <v>0</v>
      </c>
      <c r="K95" s="4578">
        <f t="shared" si="29"/>
        <v>0</v>
      </c>
      <c r="L95" s="4578">
        <v>0</v>
      </c>
      <c r="M95" s="4578">
        <f t="shared" si="30"/>
        <v>0</v>
      </c>
      <c r="N95" s="4578">
        <f t="shared" si="30"/>
        <v>0</v>
      </c>
    </row>
    <row r="96" spans="1:37" ht="36.75">
      <c r="A96" s="2679" t="s">
        <v>3160</v>
      </c>
      <c r="B96" s="2682" t="s">
        <v>3171</v>
      </c>
      <c r="C96" s="1592"/>
      <c r="D96" s="4574">
        <f t="shared" si="31"/>
        <v>0</v>
      </c>
      <c r="E96" s="4579"/>
      <c r="F96" s="4573"/>
      <c r="G96" s="4576"/>
      <c r="H96" s="4577" t="str">
        <f t="shared" si="32"/>
        <v>——</v>
      </c>
      <c r="I96" s="4570">
        <v>0.05</v>
      </c>
      <c r="J96" s="4578">
        <f t="shared" si="28"/>
        <v>0</v>
      </c>
      <c r="K96" s="4578">
        <f t="shared" si="29"/>
        <v>0</v>
      </c>
      <c r="L96" s="4578">
        <v>0</v>
      </c>
      <c r="M96" s="4578">
        <f t="shared" si="30"/>
        <v>0</v>
      </c>
      <c r="N96" s="4578">
        <f t="shared" si="30"/>
        <v>0</v>
      </c>
    </row>
    <row r="97" spans="1:14" ht="24">
      <c r="A97" s="2679" t="s">
        <v>3161</v>
      </c>
      <c r="B97" s="2670">
        <f>估价对象房地状况!C24</f>
        <v>0</v>
      </c>
      <c r="C97" s="1592"/>
      <c r="D97" s="4574">
        <f t="shared" si="31"/>
        <v>0</v>
      </c>
      <c r="E97" s="4579"/>
      <c r="F97" s="4573"/>
      <c r="G97" s="4576"/>
      <c r="H97" s="4577" t="str">
        <f t="shared" si="32"/>
        <v>——</v>
      </c>
      <c r="I97" s="4570">
        <v>0.05</v>
      </c>
      <c r="J97" s="4578">
        <f t="shared" si="28"/>
        <v>0</v>
      </c>
      <c r="K97" s="4578">
        <f t="shared" si="29"/>
        <v>0</v>
      </c>
      <c r="L97" s="4578">
        <v>0</v>
      </c>
      <c r="M97" s="4578">
        <f t="shared" si="30"/>
        <v>0</v>
      </c>
      <c r="N97" s="4578">
        <f t="shared" si="30"/>
        <v>0</v>
      </c>
    </row>
    <row r="98" spans="1:14" ht="24">
      <c r="A98" s="2679" t="s">
        <v>3162</v>
      </c>
      <c r="B98" s="2683" t="s">
        <v>3172</v>
      </c>
      <c r="C98" s="1592"/>
      <c r="D98" s="4574">
        <f t="shared" si="31"/>
        <v>0</v>
      </c>
      <c r="E98" s="4579"/>
      <c r="F98" s="4573"/>
      <c r="G98" s="4576"/>
      <c r="H98" s="4577" t="str">
        <f t="shared" si="32"/>
        <v>——</v>
      </c>
      <c r="I98" s="4570">
        <v>0.06</v>
      </c>
      <c r="J98" s="4578">
        <f t="shared" si="28"/>
        <v>0</v>
      </c>
      <c r="K98" s="4578">
        <f t="shared" si="29"/>
        <v>0</v>
      </c>
      <c r="L98" s="4578">
        <v>0</v>
      </c>
      <c r="M98" s="4578">
        <f t="shared" si="30"/>
        <v>0</v>
      </c>
      <c r="N98" s="4578">
        <f t="shared" si="30"/>
        <v>0</v>
      </c>
    </row>
    <row r="99" spans="1:14" ht="25.5">
      <c r="A99" s="2679" t="s">
        <v>3163</v>
      </c>
      <c r="B99" s="2670" t="str">
        <f>估价对象房地状况!C21</f>
        <v>估价对象所在区域公共配套设施齐备情况</v>
      </c>
      <c r="C99" s="1592"/>
      <c r="D99" s="4574">
        <f t="shared" si="31"/>
        <v>0</v>
      </c>
      <c r="E99" s="4579"/>
      <c r="F99" s="4573"/>
      <c r="G99" s="4576"/>
      <c r="H99" s="4577" t="str">
        <f t="shared" si="32"/>
        <v>——</v>
      </c>
      <c r="I99" s="4570">
        <v>0.06</v>
      </c>
      <c r="J99" s="4578">
        <f t="shared" si="28"/>
        <v>0</v>
      </c>
      <c r="K99" s="4578">
        <f t="shared" si="29"/>
        <v>0</v>
      </c>
      <c r="L99" s="4578">
        <v>0</v>
      </c>
      <c r="M99" s="4578">
        <f t="shared" si="30"/>
        <v>0</v>
      </c>
      <c r="N99" s="4578">
        <f t="shared" si="30"/>
        <v>0</v>
      </c>
    </row>
    <row r="100" spans="1:14" ht="25.5">
      <c r="A100" s="2679" t="s">
        <v>3164</v>
      </c>
      <c r="B100" s="2670" t="str">
        <f>估价对象房地状况!C22</f>
        <v>估价对象所在区域基础设施水平</v>
      </c>
      <c r="C100" s="1592"/>
      <c r="D100" s="4574">
        <f t="shared" si="31"/>
        <v>0</v>
      </c>
      <c r="E100" s="4579"/>
      <c r="F100" s="4573"/>
      <c r="G100" s="4576"/>
      <c r="H100" s="4577" t="str">
        <f t="shared" si="32"/>
        <v>——</v>
      </c>
      <c r="I100" s="4570">
        <v>0.09</v>
      </c>
      <c r="J100" s="4578">
        <f t="shared" si="28"/>
        <v>0</v>
      </c>
      <c r="K100" s="4578">
        <f t="shared" si="29"/>
        <v>0</v>
      </c>
      <c r="L100" s="4578">
        <v>0</v>
      </c>
      <c r="M100" s="4578">
        <f t="shared" si="30"/>
        <v>0</v>
      </c>
      <c r="N100" s="4578">
        <f t="shared" si="30"/>
        <v>0</v>
      </c>
    </row>
    <row r="101" spans="1:14" ht="26.25" thickBot="1">
      <c r="A101" s="2680" t="s">
        <v>3165</v>
      </c>
      <c r="B101" s="2684" t="str">
        <f>估价对象房地状况!C20</f>
        <v>区域自然环境：；人文环境；综合评价环境状况一般</v>
      </c>
      <c r="C101" s="1592"/>
      <c r="D101" s="4574">
        <f t="shared" si="31"/>
        <v>0</v>
      </c>
      <c r="E101" s="4580"/>
      <c r="F101" s="4573"/>
      <c r="G101" s="4576"/>
      <c r="H101" s="4577" t="str">
        <f t="shared" si="32"/>
        <v>——</v>
      </c>
      <c r="I101" s="4572">
        <v>7.0000000000000007E-2</v>
      </c>
      <c r="J101" s="4578">
        <f t="shared" si="28"/>
        <v>0</v>
      </c>
      <c r="K101" s="4578">
        <f t="shared" si="29"/>
        <v>0</v>
      </c>
      <c r="L101" s="4578">
        <v>0</v>
      </c>
      <c r="M101" s="4578">
        <f t="shared" si="30"/>
        <v>0</v>
      </c>
      <c r="N101" s="4578">
        <f t="shared" si="30"/>
        <v>0</v>
      </c>
    </row>
    <row r="103" spans="1:14">
      <c r="A103" s="5003" t="s">
        <v>3180</v>
      </c>
      <c r="B103" s="5003"/>
      <c r="C103" s="5003"/>
      <c r="D103" s="5003"/>
      <c r="E103" s="5003"/>
      <c r="F103" s="5003"/>
      <c r="G103" s="5003"/>
      <c r="H103" s="5003"/>
      <c r="I103" s="5003"/>
      <c r="J103" s="5003"/>
      <c r="K103" s="2687"/>
      <c r="L103" s="2687"/>
      <c r="M103" s="2687"/>
      <c r="N103" s="2687"/>
    </row>
    <row r="104" spans="1:14">
      <c r="A104" s="5004" t="s">
        <v>3181</v>
      </c>
      <c r="B104" s="5004" t="s">
        <v>3182</v>
      </c>
      <c r="C104" s="4597" t="s">
        <v>3183</v>
      </c>
      <c r="D104" s="4598"/>
      <c r="E104" s="4598"/>
      <c r="F104" s="4598"/>
      <c r="G104" s="4598"/>
      <c r="H104" s="4598"/>
      <c r="I104" s="4598"/>
      <c r="J104" s="4598"/>
      <c r="K104" s="4598"/>
      <c r="L104" s="4598"/>
      <c r="M104" s="4598"/>
      <c r="N104" s="4599"/>
    </row>
    <row r="105" spans="1:14">
      <c r="A105" s="5004"/>
      <c r="B105" s="5004"/>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4994"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4995"/>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4995"/>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4995"/>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4995"/>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4995"/>
      <c r="B111" s="2688" t="s">
        <v>3154</v>
      </c>
      <c r="C111" s="4582">
        <f>$I$3</f>
        <v>0</v>
      </c>
      <c r="D111" s="4582">
        <f t="shared" ref="D111:M111" si="33">$I$3</f>
        <v>0</v>
      </c>
      <c r="E111" s="4582">
        <f t="shared" si="33"/>
        <v>0</v>
      </c>
      <c r="F111" s="4582">
        <f t="shared" si="33"/>
        <v>0</v>
      </c>
      <c r="G111" s="4582">
        <f t="shared" si="33"/>
        <v>0</v>
      </c>
      <c r="H111" s="4582">
        <f t="shared" si="33"/>
        <v>0</v>
      </c>
      <c r="I111" s="4582">
        <f t="shared" si="33"/>
        <v>0</v>
      </c>
      <c r="J111" s="4582">
        <f t="shared" si="33"/>
        <v>0</v>
      </c>
      <c r="K111" s="4582">
        <f t="shared" si="33"/>
        <v>0</v>
      </c>
      <c r="L111" s="4582">
        <f t="shared" si="33"/>
        <v>0</v>
      </c>
      <c r="M111" s="4582">
        <f t="shared" si="33"/>
        <v>0</v>
      </c>
      <c r="N111" s="4582">
        <f>$I$3</f>
        <v>0</v>
      </c>
    </row>
    <row r="112" spans="1:14">
      <c r="A112" s="4996"/>
      <c r="B112" s="2688">
        <v>6</v>
      </c>
      <c r="C112" s="4583">
        <f>(-0.5556*(C111^2)-0.2719*C111+8944)*(10^(-4))</f>
        <v>0.89440000000000008</v>
      </c>
      <c r="D112" s="4583">
        <f>(-0.5556*(D111^2)-0.2719*D111+8944)*(10^(-4))</f>
        <v>0.89440000000000008</v>
      </c>
      <c r="E112" s="4583">
        <f>(-0.7912*(E111^2)-11.3794*E111+8482)*(10^(-4))</f>
        <v>0.84820000000000007</v>
      </c>
      <c r="F112" s="4583">
        <f t="shared" ref="F112:I112" si="34">(-0.7912*(F111^2)-11.3794*F111+8482)*(10^(-4))</f>
        <v>0.84820000000000007</v>
      </c>
      <c r="G112" s="4583">
        <f t="shared" si="34"/>
        <v>0.84820000000000007</v>
      </c>
      <c r="H112" s="4583">
        <f t="shared" si="34"/>
        <v>0.84820000000000007</v>
      </c>
      <c r="I112" s="4583">
        <f t="shared" si="34"/>
        <v>0.84820000000000007</v>
      </c>
      <c r="J112" s="4583">
        <f>(-0.989*(J111^2)-63.78*J111+7771)*(10^(-4))</f>
        <v>0.77710000000000001</v>
      </c>
      <c r="K112" s="4583">
        <f t="shared" ref="K112:N112" si="35">(-0.989*(K111^2)-63.78*K111+7771)*(10^(-4))</f>
        <v>0.77710000000000001</v>
      </c>
      <c r="L112" s="4583">
        <f t="shared" si="35"/>
        <v>0.77710000000000001</v>
      </c>
      <c r="M112" s="4583">
        <f t="shared" si="35"/>
        <v>0.77710000000000001</v>
      </c>
      <c r="N112" s="4583">
        <f t="shared" si="35"/>
        <v>0.77710000000000001</v>
      </c>
    </row>
    <row r="113" spans="1:14">
      <c r="A113" s="4997" t="s">
        <v>3197</v>
      </c>
      <c r="B113" s="4997"/>
      <c r="C113" s="4997"/>
      <c r="D113" s="4997"/>
      <c r="E113" s="4997"/>
      <c r="F113" s="4997"/>
      <c r="G113" s="4997"/>
      <c r="H113" s="4997"/>
      <c r="I113" s="4997"/>
      <c r="J113" s="4997"/>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91" t="s">
        <v>3198</v>
      </c>
      <c r="B116" s="4595">
        <f>G3</f>
        <v>1</v>
      </c>
      <c r="C116" s="4592" t="s">
        <v>3199</v>
      </c>
      <c r="D116" s="4596">
        <f>SUMPRODUCT((A118:A122=F116)*(B117:M117=H116)*B118:M122)</f>
        <v>0.57150000000000001</v>
      </c>
      <c r="E116" s="4592" t="s">
        <v>3200</v>
      </c>
      <c r="F116" s="4593" t="str">
        <f>E2</f>
        <v>工业</v>
      </c>
      <c r="G116" s="4592" t="s">
        <v>3201</v>
      </c>
      <c r="H116" s="4593" t="str">
        <f>G2</f>
        <v>九级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6">I118</f>
        <v>0.8306</v>
      </c>
      <c r="K118" s="4583">
        <f t="shared" si="36"/>
        <v>0.8306</v>
      </c>
      <c r="L118" s="4583">
        <f t="shared" si="36"/>
        <v>0.8306</v>
      </c>
      <c r="M118" s="4584">
        <f t="shared" si="36"/>
        <v>0.8306</v>
      </c>
      <c r="N118" s="2690"/>
    </row>
    <row r="119" spans="1:14">
      <c r="A119" s="2693" t="s">
        <v>3215</v>
      </c>
      <c r="B119" s="4583">
        <f>ROUND(0.993-0.0112*B116,4)</f>
        <v>0.98180000000000001</v>
      </c>
      <c r="C119" s="4583">
        <f>B119</f>
        <v>0.98180000000000001</v>
      </c>
      <c r="D119" s="4583">
        <f>ROUND(0.9415-0.0142*B116,4)</f>
        <v>0.92730000000000001</v>
      </c>
      <c r="E119" s="4583">
        <f t="shared" ref="E119:H120" si="37">D119</f>
        <v>0.92730000000000001</v>
      </c>
      <c r="F119" s="4583">
        <f t="shared" si="37"/>
        <v>0.92730000000000001</v>
      </c>
      <c r="G119" s="4583">
        <f t="shared" si="37"/>
        <v>0.92730000000000001</v>
      </c>
      <c r="H119" s="4583">
        <f t="shared" si="37"/>
        <v>0.92730000000000001</v>
      </c>
      <c r="I119" s="4583">
        <f>ROUND(0.838-0.0182*B116,4)</f>
        <v>0.81979999999999997</v>
      </c>
      <c r="J119" s="4583">
        <f t="shared" si="36"/>
        <v>0.81979999999999997</v>
      </c>
      <c r="K119" s="4583">
        <f t="shared" si="36"/>
        <v>0.81979999999999997</v>
      </c>
      <c r="L119" s="4583">
        <f t="shared" si="36"/>
        <v>0.81979999999999997</v>
      </c>
      <c r="M119" s="4584">
        <f t="shared" si="36"/>
        <v>0.81979999999999997</v>
      </c>
      <c r="N119" s="2690"/>
    </row>
    <row r="120" spans="1:14">
      <c r="A120" s="2693" t="s">
        <v>3216</v>
      </c>
      <c r="B120" s="4583">
        <f>ROUND(0.9448-0.0115*B116,4)</f>
        <v>0.93330000000000002</v>
      </c>
      <c r="C120" s="4583">
        <f>B120</f>
        <v>0.93330000000000002</v>
      </c>
      <c r="D120" s="4583">
        <f>ROUND(0.937-0.0145*B116,4)</f>
        <v>0.92249999999999999</v>
      </c>
      <c r="E120" s="4583">
        <f t="shared" si="37"/>
        <v>0.92249999999999999</v>
      </c>
      <c r="F120" s="4583">
        <f t="shared" si="37"/>
        <v>0.92249999999999999</v>
      </c>
      <c r="G120" s="4583">
        <f t="shared" si="37"/>
        <v>0.92249999999999999</v>
      </c>
      <c r="H120" s="4583">
        <f t="shared" si="37"/>
        <v>0.92249999999999999</v>
      </c>
      <c r="I120" s="4583">
        <f>ROUND(0.7965-0.0185*B116,4)</f>
        <v>0.77800000000000002</v>
      </c>
      <c r="J120" s="4583">
        <f t="shared" si="36"/>
        <v>0.77800000000000002</v>
      </c>
      <c r="K120" s="4583">
        <f t="shared" si="36"/>
        <v>0.77800000000000002</v>
      </c>
      <c r="L120" s="4583">
        <f t="shared" si="36"/>
        <v>0.77800000000000002</v>
      </c>
      <c r="M120" s="4584">
        <f t="shared" si="36"/>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6"/>
        <v>0.57150000000000001</v>
      </c>
      <c r="K121" s="4583">
        <f t="shared" si="36"/>
        <v>0.57150000000000001</v>
      </c>
      <c r="L121" s="4583">
        <f t="shared" si="36"/>
        <v>0.57150000000000001</v>
      </c>
      <c r="M121" s="4584">
        <f t="shared" si="36"/>
        <v>0.57150000000000001</v>
      </c>
      <c r="N121" s="2690"/>
    </row>
    <row r="122" spans="1:14" ht="13.5" thickBot="1">
      <c r="A122" s="4590" t="s">
        <v>2500</v>
      </c>
      <c r="B122" s="4585">
        <f>ROUND(0.9404-0.0106*B116,4)</f>
        <v>0.92979999999999996</v>
      </c>
      <c r="C122" s="4585">
        <f>B122</f>
        <v>0.92979999999999996</v>
      </c>
      <c r="D122" s="4585">
        <f>ROUND(0.8955-0.0135*B116,4)</f>
        <v>0.88200000000000001</v>
      </c>
      <c r="E122" s="4585">
        <f t="shared" ref="E122:H122" si="38">D122</f>
        <v>0.88200000000000001</v>
      </c>
      <c r="F122" s="4585">
        <f t="shared" si="38"/>
        <v>0.88200000000000001</v>
      </c>
      <c r="G122" s="4585">
        <f t="shared" si="38"/>
        <v>0.88200000000000001</v>
      </c>
      <c r="H122" s="4585">
        <f t="shared" si="38"/>
        <v>0.88200000000000001</v>
      </c>
      <c r="I122" s="4585">
        <f>ROUND(0.7632-0.0166*B116,4)</f>
        <v>0.74660000000000004</v>
      </c>
      <c r="J122" s="4585">
        <f t="shared" si="36"/>
        <v>0.74660000000000004</v>
      </c>
      <c r="K122" s="4585">
        <f t="shared" si="36"/>
        <v>0.74660000000000004</v>
      </c>
      <c r="L122" s="4585">
        <f t="shared" si="36"/>
        <v>0.74660000000000004</v>
      </c>
      <c r="M122" s="4586">
        <f t="shared" si="36"/>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898" t="s">
        <v>1677</v>
      </c>
      <c r="D6" s="4899"/>
      <c r="E6" s="4900" t="s">
        <v>1678</v>
      </c>
      <c r="F6" s="4901"/>
      <c r="G6" s="4898" t="s">
        <v>1679</v>
      </c>
      <c r="H6" s="4899"/>
      <c r="I6" s="4898" t="s">
        <v>1680</v>
      </c>
      <c r="J6" s="4899"/>
      <c r="K6" s="406" t="s">
        <v>1681</v>
      </c>
      <c r="L6" s="2146"/>
      <c r="M6" s="2147"/>
      <c r="N6" s="2147"/>
      <c r="O6" s="2147"/>
      <c r="P6" s="4902" t="s">
        <v>1682</v>
      </c>
      <c r="Q6" s="4903"/>
      <c r="R6" s="4884" t="s">
        <v>1678</v>
      </c>
      <c r="S6" s="4885"/>
      <c r="T6" s="4884" t="s">
        <v>1679</v>
      </c>
      <c r="U6" s="4885"/>
      <c r="V6" s="4910" t="s">
        <v>1680</v>
      </c>
      <c r="W6" s="4910"/>
      <c r="X6" s="963"/>
      <c r="Y6" s="4913" t="s">
        <v>1682</v>
      </c>
      <c r="Z6" s="4914"/>
      <c r="AA6" s="4879" t="s">
        <v>1678</v>
      </c>
      <c r="AB6" s="4880" t="s">
        <v>1679</v>
      </c>
      <c r="AC6" s="4879" t="s">
        <v>1680</v>
      </c>
    </row>
    <row r="7" spans="1:29" ht="15">
      <c r="A7" s="3346"/>
      <c r="B7" s="3411"/>
      <c r="C7" s="4890" t="s">
        <v>1580</v>
      </c>
      <c r="D7" s="4891"/>
      <c r="E7" s="4888" t="s">
        <v>1581</v>
      </c>
      <c r="F7" s="4889"/>
      <c r="G7" s="4890" t="s">
        <v>1582</v>
      </c>
      <c r="H7" s="4891"/>
      <c r="I7" s="4890" t="s">
        <v>1583</v>
      </c>
      <c r="J7" s="4891"/>
      <c r="K7" s="406"/>
      <c r="L7" s="2146"/>
      <c r="M7" s="2147"/>
      <c r="N7" s="2147"/>
      <c r="O7" s="2147"/>
      <c r="P7" s="4904"/>
      <c r="Q7" s="4905"/>
      <c r="R7" s="4886"/>
      <c r="S7" s="4887"/>
      <c r="T7" s="4886"/>
      <c r="U7" s="4887"/>
      <c r="V7" s="4910"/>
      <c r="W7" s="4910"/>
      <c r="X7" s="963"/>
      <c r="Y7" s="4915"/>
      <c r="Z7" s="4916"/>
      <c r="AA7" s="4880"/>
      <c r="AB7" s="4880"/>
      <c r="AC7" s="4880"/>
    </row>
    <row r="8" spans="1:29" ht="15.75" thickBot="1">
      <c r="A8" s="3412"/>
      <c r="B8" s="3413"/>
      <c r="C8" s="4983" t="s">
        <v>1826</v>
      </c>
      <c r="D8" s="4984"/>
      <c r="E8" s="4985" t="s">
        <v>1826</v>
      </c>
      <c r="F8" s="4986"/>
      <c r="G8" s="4983" t="s">
        <v>1826</v>
      </c>
      <c r="H8" s="4984"/>
      <c r="I8" s="4983" t="s">
        <v>1826</v>
      </c>
      <c r="J8" s="4984"/>
      <c r="K8" s="406" t="s">
        <v>1585</v>
      </c>
      <c r="L8" s="2146"/>
      <c r="M8" s="2147"/>
      <c r="N8" s="2147"/>
      <c r="O8" s="2147"/>
      <c r="P8" s="4906"/>
      <c r="Q8" s="4907"/>
      <c r="R8" s="4886"/>
      <c r="S8" s="4887"/>
      <c r="T8" s="4908"/>
      <c r="U8" s="4909"/>
      <c r="V8" s="4910"/>
      <c r="W8" s="4910"/>
      <c r="X8" s="963"/>
      <c r="Y8" s="4917"/>
      <c r="Z8" s="4918"/>
      <c r="AA8" s="4881"/>
      <c r="AB8" s="4881"/>
      <c r="AC8" s="4881"/>
    </row>
    <row r="9" spans="1:29" s="49" customFormat="1" ht="15.75" thickBot="1">
      <c r="A9" s="3338" t="s">
        <v>1586</v>
      </c>
      <c r="B9" s="3339"/>
      <c r="C9" s="3052">
        <f>'数据-取费表'!B2</f>
        <v>46077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11" t="s">
        <v>1587</v>
      </c>
      <c r="Q9" s="4919"/>
      <c r="R9" s="4076" t="s">
        <v>13</v>
      </c>
      <c r="S9" s="4079">
        <f t="shared" ref="S9:S17" si="0">F9</f>
        <v>0</v>
      </c>
      <c r="T9" s="4076" t="s">
        <v>13</v>
      </c>
      <c r="U9" s="4079">
        <f t="shared" ref="U9:U17" si="1">H9</f>
        <v>0</v>
      </c>
      <c r="V9" s="4076" t="s">
        <v>13</v>
      </c>
      <c r="W9" s="4079">
        <f t="shared" ref="W9:W17" si="2">J9</f>
        <v>0</v>
      </c>
      <c r="X9" s="504"/>
      <c r="Y9" s="4882" t="s">
        <v>1587</v>
      </c>
      <c r="Z9" s="4883"/>
      <c r="AA9" s="505" t="e">
        <f>D9/F9</f>
        <v>#DIV/0!</v>
      </c>
      <c r="AB9" s="505" t="e">
        <f>D9/H9</f>
        <v>#DIV/0!</v>
      </c>
      <c r="AC9" s="505" t="e">
        <f>D9/J9</f>
        <v>#DIV/0!</v>
      </c>
    </row>
    <row r="10" spans="1:29" s="49" customFormat="1" ht="15.75" thickBot="1">
      <c r="A10" s="3338" t="s">
        <v>1588</v>
      </c>
      <c r="B10" s="3339"/>
      <c r="C10" s="3053" t="s">
        <v>1589</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11" t="s">
        <v>1590</v>
      </c>
      <c r="Q10" s="4912"/>
      <c r="R10" s="4076" t="s">
        <v>13</v>
      </c>
      <c r="S10" s="4079">
        <f t="shared" si="0"/>
        <v>0</v>
      </c>
      <c r="T10" s="4076" t="s">
        <v>13</v>
      </c>
      <c r="U10" s="4079">
        <f t="shared" si="1"/>
        <v>0</v>
      </c>
      <c r="V10" s="4076" t="s">
        <v>13</v>
      </c>
      <c r="W10" s="4079">
        <f t="shared" si="2"/>
        <v>0</v>
      </c>
      <c r="X10" s="504"/>
      <c r="Y10" s="4882" t="s">
        <v>1590</v>
      </c>
      <c r="Z10" s="4883"/>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23" t="s">
        <v>1593</v>
      </c>
      <c r="Q11" s="3274" t="str">
        <f t="shared" ref="Q11:Q17" si="6">B11</f>
        <v>用途</v>
      </c>
      <c r="R11" s="4076" t="s">
        <v>13</v>
      </c>
      <c r="S11" s="4079">
        <f t="shared" si="0"/>
        <v>100</v>
      </c>
      <c r="T11" s="4076" t="s">
        <v>13</v>
      </c>
      <c r="U11" s="4079">
        <f t="shared" si="1"/>
        <v>100</v>
      </c>
      <c r="V11" s="4076" t="s">
        <v>13</v>
      </c>
      <c r="W11" s="4079">
        <f t="shared" si="2"/>
        <v>100</v>
      </c>
      <c r="X11" s="504"/>
      <c r="Y11" s="4897"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40">
        <f>ROUND(100/'数据-取费表'!G16,1)</f>
        <v>126.5</v>
      </c>
      <c r="G12" s="3057"/>
      <c r="H12" s="4040">
        <f>ROUND(100/'数据-取费表'!G16,1)</f>
        <v>126.5</v>
      </c>
      <c r="I12" s="3057"/>
      <c r="J12" s="4040">
        <f>ROUND(100/'数据-取费表'!G16,1)</f>
        <v>126.5</v>
      </c>
      <c r="K12" s="450"/>
      <c r="L12" s="2150"/>
      <c r="M12" s="2151"/>
      <c r="N12" s="2151"/>
      <c r="O12" s="2204"/>
      <c r="P12" s="4923"/>
      <c r="Q12" s="3274" t="str">
        <f t="shared" si="6"/>
        <v>土地使用年限（年）</v>
      </c>
      <c r="R12" s="4076" t="s">
        <v>13</v>
      </c>
      <c r="S12" s="4079">
        <f t="shared" si="0"/>
        <v>126.5</v>
      </c>
      <c r="T12" s="4076" t="s">
        <v>13</v>
      </c>
      <c r="U12" s="4079">
        <f t="shared" si="1"/>
        <v>126.5</v>
      </c>
      <c r="V12" s="4076" t="s">
        <v>13</v>
      </c>
      <c r="W12" s="4079">
        <f t="shared" si="2"/>
        <v>126.5</v>
      </c>
      <c r="X12" s="504"/>
      <c r="Y12" s="4897"/>
      <c r="Z12" s="28" t="str">
        <f t="shared" si="7"/>
        <v>土地使用年限（年）</v>
      </c>
      <c r="AA12" s="505">
        <f t="shared" si="3"/>
        <v>0.79051383399209485</v>
      </c>
      <c r="AB12" s="505">
        <f t="shared" si="4"/>
        <v>0.79051383399209485</v>
      </c>
      <c r="AC12" s="505">
        <f t="shared" si="5"/>
        <v>0.79051383399209485</v>
      </c>
    </row>
    <row r="13" spans="1:29" ht="15">
      <c r="A13" s="3342"/>
      <c r="B13" s="3276" t="s">
        <v>1596</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23"/>
      <c r="Q13" s="3274" t="str">
        <f t="shared" si="6"/>
        <v>容积率</v>
      </c>
      <c r="R13" s="4076" t="s">
        <v>13</v>
      </c>
      <c r="S13" s="4079" t="e">
        <f t="shared" si="0"/>
        <v>#N/A</v>
      </c>
      <c r="T13" s="4076" t="s">
        <v>13</v>
      </c>
      <c r="U13" s="4079" t="e">
        <f t="shared" si="1"/>
        <v>#N/A</v>
      </c>
      <c r="V13" s="4076" t="s">
        <v>13</v>
      </c>
      <c r="W13" s="4079" t="e">
        <f t="shared" si="2"/>
        <v>#N/A</v>
      </c>
      <c r="X13" s="504"/>
      <c r="Y13" s="4897"/>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23"/>
      <c r="Q14" s="3274">
        <f t="shared" si="6"/>
        <v>111</v>
      </c>
      <c r="R14" s="4076" t="s">
        <v>13</v>
      </c>
      <c r="S14" s="4079">
        <f t="shared" si="0"/>
        <v>100</v>
      </c>
      <c r="T14" s="4076" t="s">
        <v>13</v>
      </c>
      <c r="U14" s="4079">
        <f t="shared" si="1"/>
        <v>100</v>
      </c>
      <c r="V14" s="4076" t="s">
        <v>13</v>
      </c>
      <c r="W14" s="4079">
        <f t="shared" si="2"/>
        <v>100</v>
      </c>
      <c r="X14" s="504"/>
      <c r="Y14" s="4897"/>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23"/>
      <c r="Q15" s="3274">
        <f t="shared" si="6"/>
        <v>111</v>
      </c>
      <c r="R15" s="4076" t="s">
        <v>13</v>
      </c>
      <c r="S15" s="4079">
        <f t="shared" si="0"/>
        <v>100</v>
      </c>
      <c r="T15" s="4076" t="s">
        <v>13</v>
      </c>
      <c r="U15" s="4079">
        <f t="shared" si="1"/>
        <v>100</v>
      </c>
      <c r="V15" s="4076" t="s">
        <v>13</v>
      </c>
      <c r="W15" s="4079">
        <f t="shared" si="2"/>
        <v>100</v>
      </c>
      <c r="X15" s="504"/>
      <c r="Y15" s="4897"/>
      <c r="Z15" s="28">
        <f t="shared" si="7"/>
        <v>111</v>
      </c>
      <c r="AA15" s="505">
        <f t="shared" si="3"/>
        <v>1</v>
      </c>
      <c r="AB15" s="505">
        <f t="shared" si="4"/>
        <v>1</v>
      </c>
      <c r="AC15" s="505">
        <f t="shared" si="5"/>
        <v>1</v>
      </c>
    </row>
    <row r="16" spans="1:29" ht="15.75"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23"/>
      <c r="Q16" s="3274">
        <f t="shared" si="6"/>
        <v>111</v>
      </c>
      <c r="R16" s="4076" t="s">
        <v>13</v>
      </c>
      <c r="S16" s="4079">
        <f t="shared" si="0"/>
        <v>100</v>
      </c>
      <c r="T16" s="4076" t="s">
        <v>13</v>
      </c>
      <c r="U16" s="4079">
        <f t="shared" si="1"/>
        <v>100</v>
      </c>
      <c r="V16" s="4076" t="s">
        <v>13</v>
      </c>
      <c r="W16" s="4079">
        <f t="shared" si="2"/>
        <v>100</v>
      </c>
      <c r="X16" s="504"/>
      <c r="Y16" s="4897"/>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4964" t="s">
        <v>1598</v>
      </c>
      <c r="Q17" s="3277" t="str">
        <f t="shared" si="6"/>
        <v>产业集聚程度</v>
      </c>
      <c r="R17" s="4077" t="s">
        <v>13</v>
      </c>
      <c r="S17" s="4080">
        <f t="shared" si="0"/>
        <v>100</v>
      </c>
      <c r="T17" s="4077" t="s">
        <v>13</v>
      </c>
      <c r="U17" s="4080">
        <f t="shared" si="1"/>
        <v>100</v>
      </c>
      <c r="V17" s="4077" t="s">
        <v>13</v>
      </c>
      <c r="W17" s="4080">
        <f t="shared" si="2"/>
        <v>100</v>
      </c>
      <c r="X17" s="963"/>
      <c r="Y17" s="4925" t="s">
        <v>1598</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4965"/>
      <c r="Q18" s="3277"/>
      <c r="R18" s="4077"/>
      <c r="S18" s="4080"/>
      <c r="T18" s="4077"/>
      <c r="U18" s="4080"/>
      <c r="V18" s="4077"/>
      <c r="W18" s="4080"/>
      <c r="X18" s="963"/>
      <c r="Y18" s="4926"/>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4965"/>
      <c r="Q19" s="3277" t="str">
        <f>B19</f>
        <v>交通便捷度</v>
      </c>
      <c r="R19" s="4077" t="s">
        <v>13</v>
      </c>
      <c r="S19" s="4080">
        <f>F19</f>
        <v>100</v>
      </c>
      <c r="T19" s="4077" t="s">
        <v>13</v>
      </c>
      <c r="U19" s="4080">
        <f>H19</f>
        <v>100</v>
      </c>
      <c r="V19" s="4077" t="s">
        <v>13</v>
      </c>
      <c r="W19" s="4080">
        <f>J19</f>
        <v>100</v>
      </c>
      <c r="X19" s="963"/>
      <c r="Y19" s="4926"/>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4965"/>
      <c r="Q20" s="3277"/>
      <c r="R20" s="4077"/>
      <c r="S20" s="4080"/>
      <c r="T20" s="4077"/>
      <c r="U20" s="4080"/>
      <c r="V20" s="4077"/>
      <c r="W20" s="4080"/>
      <c r="X20" s="963"/>
      <c r="Y20" s="4926"/>
      <c r="Z20" s="964"/>
      <c r="AA20" s="961">
        <v>1</v>
      </c>
      <c r="AB20" s="961">
        <v>1</v>
      </c>
      <c r="AC20" s="961">
        <v>1</v>
      </c>
    </row>
    <row r="21" spans="1:29" ht="15">
      <c r="A21" s="3342"/>
      <c r="B21" s="3416" t="s">
        <v>1778</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4965"/>
      <c r="Q21" s="3277" t="str">
        <f t="shared" ref="Q21:Q35" si="8">B21</f>
        <v>区域土地利用方向</v>
      </c>
      <c r="R21" s="4077" t="s">
        <v>13</v>
      </c>
      <c r="S21" s="4080">
        <f>F21</f>
        <v>100</v>
      </c>
      <c r="T21" s="4077" t="s">
        <v>13</v>
      </c>
      <c r="U21" s="4080">
        <f>H21</f>
        <v>100</v>
      </c>
      <c r="V21" s="4077" t="s">
        <v>13</v>
      </c>
      <c r="W21" s="4080">
        <f>J21</f>
        <v>100</v>
      </c>
      <c r="X21" s="963"/>
      <c r="Y21" s="4926"/>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4965"/>
      <c r="Q22" s="3277"/>
      <c r="R22" s="4077"/>
      <c r="S22" s="4080"/>
      <c r="T22" s="4077"/>
      <c r="U22" s="4080"/>
      <c r="V22" s="4077"/>
      <c r="W22" s="4080"/>
      <c r="X22" s="963"/>
      <c r="Y22" s="4926"/>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4965"/>
      <c r="Q23" s="3277" t="str">
        <f t="shared" si="8"/>
        <v>环境状况</v>
      </c>
      <c r="R23" s="4077" t="s">
        <v>13</v>
      </c>
      <c r="S23" s="4080">
        <f>F23</f>
        <v>100</v>
      </c>
      <c r="T23" s="4077" t="s">
        <v>13</v>
      </c>
      <c r="U23" s="4080">
        <f>H23</f>
        <v>100</v>
      </c>
      <c r="V23" s="4077" t="s">
        <v>13</v>
      </c>
      <c r="W23" s="4080">
        <f>J23</f>
        <v>100</v>
      </c>
      <c r="X23" s="963"/>
      <c r="Y23" s="4926"/>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4965"/>
      <c r="Q24" s="3277"/>
      <c r="R24" s="4077"/>
      <c r="S24" s="4080"/>
      <c r="T24" s="4077"/>
      <c r="U24" s="4080"/>
      <c r="V24" s="4077"/>
      <c r="W24" s="4080"/>
      <c r="X24" s="963"/>
      <c r="Y24" s="4926"/>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4965"/>
      <c r="Q25" s="3274" t="str">
        <f t="shared" si="8"/>
        <v>公共配套设施</v>
      </c>
      <c r="R25" s="4076" t="s">
        <v>13</v>
      </c>
      <c r="S25" s="4079">
        <f>F25</f>
        <v>100</v>
      </c>
      <c r="T25" s="4076" t="s">
        <v>13</v>
      </c>
      <c r="U25" s="4079">
        <f>H25</f>
        <v>100</v>
      </c>
      <c r="V25" s="4076" t="s">
        <v>13</v>
      </c>
      <c r="W25" s="4079">
        <f>J25</f>
        <v>100</v>
      </c>
      <c r="X25" s="504"/>
      <c r="Y25" s="4926"/>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4965"/>
      <c r="Q26" s="3274"/>
      <c r="R26" s="4076"/>
      <c r="S26" s="4079"/>
      <c r="T26" s="4076"/>
      <c r="U26" s="4079"/>
      <c r="V26" s="4076"/>
      <c r="W26" s="4079"/>
      <c r="X26" s="504"/>
      <c r="Y26" s="4926"/>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4965"/>
      <c r="Q27" s="3274" t="str">
        <f t="shared" ref="Q27" si="9">B27</f>
        <v>基础设施水平</v>
      </c>
      <c r="R27" s="4076" t="s">
        <v>13</v>
      </c>
      <c r="S27" s="4079">
        <f>F27</f>
        <v>100</v>
      </c>
      <c r="T27" s="4076" t="s">
        <v>13</v>
      </c>
      <c r="U27" s="4079">
        <f>H27</f>
        <v>100</v>
      </c>
      <c r="V27" s="4076" t="s">
        <v>13</v>
      </c>
      <c r="W27" s="4079">
        <f>J27</f>
        <v>100</v>
      </c>
      <c r="X27" s="504"/>
      <c r="Y27" s="4926"/>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4965"/>
      <c r="Q28" s="3274"/>
      <c r="R28" s="4076"/>
      <c r="S28" s="4079"/>
      <c r="T28" s="4076"/>
      <c r="U28" s="4079"/>
      <c r="V28" s="4076"/>
      <c r="W28" s="4079"/>
      <c r="X28" s="504"/>
      <c r="Y28" s="4926"/>
      <c r="Z28" s="28"/>
      <c r="AA28" s="505">
        <v>1</v>
      </c>
      <c r="AB28" s="505">
        <v>1</v>
      </c>
      <c r="AC28" s="505">
        <v>1</v>
      </c>
    </row>
    <row r="29" spans="1:29" ht="15">
      <c r="A29" s="3342"/>
      <c r="B29" s="3417" t="s">
        <v>1687</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4965"/>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26"/>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4965"/>
      <c r="Q30" s="3277" t="str">
        <f t="shared" si="8"/>
        <v>毗邻道路的类型与等级</v>
      </c>
      <c r="R30" s="4077" t="s">
        <v>13</v>
      </c>
      <c r="S30" s="4080">
        <f t="shared" si="10"/>
        <v>100</v>
      </c>
      <c r="T30" s="4077" t="s">
        <v>13</v>
      </c>
      <c r="U30" s="4080">
        <f t="shared" si="11"/>
        <v>100</v>
      </c>
      <c r="V30" s="4077" t="s">
        <v>13</v>
      </c>
      <c r="W30" s="4080">
        <f t="shared" si="12"/>
        <v>100</v>
      </c>
      <c r="X30" s="963"/>
      <c r="Y30" s="4926"/>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4965"/>
      <c r="Q31" s="3277"/>
      <c r="R31" s="4077"/>
      <c r="S31" s="4080"/>
      <c r="T31" s="4077"/>
      <c r="U31" s="4080"/>
      <c r="V31" s="4077"/>
      <c r="W31" s="4080"/>
      <c r="X31" s="963"/>
      <c r="Y31" s="4926"/>
      <c r="Z31" s="964"/>
      <c r="AA31" s="961">
        <v>1</v>
      </c>
      <c r="AB31" s="961">
        <v>1</v>
      </c>
      <c r="AC31" s="961">
        <v>1</v>
      </c>
    </row>
    <row r="32" spans="1:29" ht="15">
      <c r="A32" s="3342"/>
      <c r="B32" s="3419" t="s">
        <v>1780</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4965"/>
      <c r="Q32" s="3277" t="str">
        <f t="shared" si="8"/>
        <v>土地级别</v>
      </c>
      <c r="R32" s="4077" t="s">
        <v>13</v>
      </c>
      <c r="S32" s="4080">
        <f t="shared" si="10"/>
        <v>100</v>
      </c>
      <c r="T32" s="4077" t="s">
        <v>13</v>
      </c>
      <c r="U32" s="4080">
        <f t="shared" si="11"/>
        <v>100</v>
      </c>
      <c r="V32" s="4077" t="s">
        <v>13</v>
      </c>
      <c r="W32" s="4080">
        <f t="shared" si="12"/>
        <v>100</v>
      </c>
      <c r="X32" s="963"/>
      <c r="Y32" s="4926"/>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4965"/>
      <c r="Q33" s="3277">
        <f t="shared" si="8"/>
        <v>111</v>
      </c>
      <c r="R33" s="4077" t="s">
        <v>13</v>
      </c>
      <c r="S33" s="4080">
        <f t="shared" si="10"/>
        <v>100</v>
      </c>
      <c r="T33" s="4077" t="s">
        <v>13</v>
      </c>
      <c r="U33" s="4080">
        <f t="shared" si="11"/>
        <v>100</v>
      </c>
      <c r="V33" s="4077" t="s">
        <v>13</v>
      </c>
      <c r="W33" s="4080">
        <f t="shared" si="12"/>
        <v>100</v>
      </c>
      <c r="X33" s="963"/>
      <c r="Y33" s="4926"/>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4966" t="s">
        <v>1603</v>
      </c>
      <c r="Q34" s="3277">
        <f t="shared" si="8"/>
        <v>111</v>
      </c>
      <c r="R34" s="4077" t="s">
        <v>13</v>
      </c>
      <c r="S34" s="4080">
        <f t="shared" si="10"/>
        <v>100</v>
      </c>
      <c r="T34" s="4077" t="s">
        <v>13</v>
      </c>
      <c r="U34" s="4080">
        <f t="shared" si="11"/>
        <v>100</v>
      </c>
      <c r="V34" s="4077" t="s">
        <v>13</v>
      </c>
      <c r="W34" s="4080">
        <f t="shared" si="12"/>
        <v>100</v>
      </c>
      <c r="X34" s="963"/>
      <c r="Y34" s="4930"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4967"/>
      <c r="Q35" s="3277">
        <f t="shared" si="8"/>
        <v>111</v>
      </c>
      <c r="R35" s="4078" t="s">
        <v>13</v>
      </c>
      <c r="S35" s="4081">
        <f t="shared" si="10"/>
        <v>100</v>
      </c>
      <c r="T35" s="4078" t="s">
        <v>13</v>
      </c>
      <c r="U35" s="4081">
        <f t="shared" si="11"/>
        <v>100</v>
      </c>
      <c r="V35" s="4078" t="s">
        <v>13</v>
      </c>
      <c r="W35" s="4081">
        <f t="shared" si="12"/>
        <v>100</v>
      </c>
      <c r="X35" s="507"/>
      <c r="Y35" s="4930"/>
      <c r="Z35" s="508">
        <f t="shared" si="13"/>
        <v>111</v>
      </c>
      <c r="AA35" s="961">
        <f t="shared" si="3"/>
        <v>1</v>
      </c>
      <c r="AB35" s="961">
        <f t="shared" si="4"/>
        <v>1</v>
      </c>
      <c r="AC35" s="961">
        <f t="shared" si="5"/>
        <v>1</v>
      </c>
    </row>
    <row r="36" spans="1:31" ht="15">
      <c r="A36" s="3345" t="s">
        <v>1601</v>
      </c>
      <c r="B36" s="3039" t="s">
        <v>1781</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4967"/>
      <c r="Q36" s="3277" t="str">
        <f>B36</f>
        <v>宗地面积</v>
      </c>
      <c r="R36" s="4077" t="s">
        <v>13</v>
      </c>
      <c r="S36" s="4080" t="e">
        <f t="shared" si="10"/>
        <v>#N/A</v>
      </c>
      <c r="T36" s="4077" t="s">
        <v>13</v>
      </c>
      <c r="U36" s="4080" t="e">
        <f t="shared" si="11"/>
        <v>#N/A</v>
      </c>
      <c r="V36" s="4077" t="s">
        <v>13</v>
      </c>
      <c r="W36" s="4080" t="e">
        <f t="shared" si="12"/>
        <v>#N/A</v>
      </c>
      <c r="X36" s="963"/>
      <c r="Y36" s="4930"/>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4967"/>
      <c r="Q37" s="3277" t="str">
        <f t="shared" ref="Q37:Q42" si="14">B37</f>
        <v>宗地形状</v>
      </c>
      <c r="R37" s="4077" t="s">
        <v>13</v>
      </c>
      <c r="S37" s="4080">
        <f t="shared" si="10"/>
        <v>100</v>
      </c>
      <c r="T37" s="4077" t="s">
        <v>13</v>
      </c>
      <c r="U37" s="4080">
        <f t="shared" si="11"/>
        <v>100</v>
      </c>
      <c r="V37" s="4077" t="s">
        <v>13</v>
      </c>
      <c r="W37" s="4080">
        <f t="shared" si="12"/>
        <v>100</v>
      </c>
      <c r="X37" s="963"/>
      <c r="Y37" s="4930"/>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4967"/>
      <c r="Q38" s="3277" t="str">
        <f t="shared" si="14"/>
        <v>宗地开发程度</v>
      </c>
      <c r="R38" s="4076" t="s">
        <v>13</v>
      </c>
      <c r="S38" s="4079">
        <f t="shared" si="10"/>
        <v>100</v>
      </c>
      <c r="T38" s="4076" t="s">
        <v>13</v>
      </c>
      <c r="U38" s="4079">
        <f t="shared" si="11"/>
        <v>100</v>
      </c>
      <c r="V38" s="4076" t="s">
        <v>13</v>
      </c>
      <c r="W38" s="4079">
        <f t="shared" si="12"/>
        <v>100</v>
      </c>
      <c r="X38" s="504"/>
      <c r="Y38" s="4930"/>
      <c r="Z38" s="28" t="str">
        <f t="shared" si="13"/>
        <v>宗地开发程度</v>
      </c>
      <c r="AA38" s="505">
        <f t="shared" si="3"/>
        <v>1</v>
      </c>
      <c r="AB38" s="505">
        <f t="shared" si="4"/>
        <v>1</v>
      </c>
      <c r="AC38" s="505">
        <f t="shared" si="5"/>
        <v>1</v>
      </c>
    </row>
    <row r="39" spans="1:31" ht="15">
      <c r="A39" s="3356"/>
      <c r="B39" s="3276" t="s">
        <v>1785</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4967" t="s">
        <v>1603</v>
      </c>
      <c r="Q39" s="3277" t="str">
        <f t="shared" si="14"/>
        <v>工程地质条件</v>
      </c>
      <c r="R39" s="4077" t="s">
        <v>13</v>
      </c>
      <c r="S39" s="4080">
        <f t="shared" si="10"/>
        <v>100</v>
      </c>
      <c r="T39" s="4077" t="s">
        <v>13</v>
      </c>
      <c r="U39" s="4080">
        <f t="shared" si="11"/>
        <v>100</v>
      </c>
      <c r="V39" s="4077" t="s">
        <v>13</v>
      </c>
      <c r="W39" s="4080">
        <f t="shared" si="12"/>
        <v>100</v>
      </c>
      <c r="X39" s="963"/>
      <c r="Y39" s="4930"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4967"/>
      <c r="Q40" s="3277">
        <f t="shared" si="14"/>
        <v>111</v>
      </c>
      <c r="R40" s="4077" t="s">
        <v>13</v>
      </c>
      <c r="S40" s="4080">
        <f t="shared" si="10"/>
        <v>100</v>
      </c>
      <c r="T40" s="4077" t="s">
        <v>13</v>
      </c>
      <c r="U40" s="4080">
        <f t="shared" si="11"/>
        <v>100</v>
      </c>
      <c r="V40" s="4077" t="s">
        <v>13</v>
      </c>
      <c r="W40" s="4080">
        <f t="shared" si="12"/>
        <v>100</v>
      </c>
      <c r="X40" s="963"/>
      <c r="Y40" s="4930"/>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4967"/>
      <c r="Q41" s="3277">
        <f t="shared" si="14"/>
        <v>111</v>
      </c>
      <c r="R41" s="4077" t="s">
        <v>13</v>
      </c>
      <c r="S41" s="4080">
        <f t="shared" si="10"/>
        <v>100</v>
      </c>
      <c r="T41" s="4077" t="s">
        <v>13</v>
      </c>
      <c r="U41" s="4080">
        <f t="shared" si="11"/>
        <v>100</v>
      </c>
      <c r="V41" s="4077" t="s">
        <v>13</v>
      </c>
      <c r="W41" s="4080">
        <f t="shared" si="12"/>
        <v>100</v>
      </c>
      <c r="X41" s="963"/>
      <c r="Y41" s="4930"/>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4967"/>
      <c r="Q42" s="3277">
        <f t="shared" si="14"/>
        <v>111</v>
      </c>
      <c r="R42" s="4078" t="s">
        <v>13</v>
      </c>
      <c r="S42" s="4081">
        <f t="shared" si="10"/>
        <v>100</v>
      </c>
      <c r="T42" s="4078" t="s">
        <v>13</v>
      </c>
      <c r="U42" s="4081">
        <f t="shared" si="11"/>
        <v>100</v>
      </c>
      <c r="V42" s="4078" t="s">
        <v>13</v>
      </c>
      <c r="W42" s="4081">
        <f t="shared" si="12"/>
        <v>100</v>
      </c>
      <c r="X42" s="507"/>
      <c r="Y42" s="4930"/>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23" t="str">
        <f>A43</f>
        <v>成交单价</v>
      </c>
      <c r="Q43" s="4923"/>
      <c r="R43" s="4924">
        <f>E43</f>
        <v>0</v>
      </c>
      <c r="S43" s="4924"/>
      <c r="T43" s="4924">
        <f>G43</f>
        <v>0</v>
      </c>
      <c r="U43" s="4924"/>
      <c r="V43" s="4924">
        <f>I43</f>
        <v>0</v>
      </c>
      <c r="W43" s="4924"/>
      <c r="X43" s="493"/>
      <c r="Y43" s="509"/>
      <c r="Z43" s="493"/>
      <c r="AA43" s="493"/>
      <c r="AB43" s="493"/>
      <c r="AC43" s="493"/>
    </row>
    <row r="44" spans="1:31" ht="15.75" thickBot="1">
      <c r="A44" s="295" t="s">
        <v>1700</v>
      </c>
      <c r="B44" s="456"/>
      <c r="C44" s="4053" t="e">
        <f>R45</f>
        <v>#DIV/0!</v>
      </c>
      <c r="D44" s="4202" t="s">
        <v>2042</v>
      </c>
      <c r="E44" s="4053" t="e">
        <f>R44</f>
        <v>#DIV/0!</v>
      </c>
      <c r="F44" s="3042"/>
      <c r="G44" s="4042" t="e">
        <f>T44</f>
        <v>#DIV/0!</v>
      </c>
      <c r="H44" s="3042"/>
      <c r="I44" s="4053" t="e">
        <f>V44</f>
        <v>#DIV/0!</v>
      </c>
      <c r="J44" s="3042"/>
      <c r="K44" s="3097">
        <f>F44+H44+J44</f>
        <v>0</v>
      </c>
      <c r="L44" s="2155"/>
      <c r="M44" s="2147"/>
      <c r="N44" s="2147"/>
      <c r="O44" s="2156"/>
      <c r="P44" s="4923" t="str">
        <f>A44</f>
        <v>比较价值（元/平方米）</v>
      </c>
      <c r="Q44" s="4923"/>
      <c r="R44" s="4924" t="e">
        <f>ROUND(PRODUCT(R43,AA9:AA42),0)</f>
        <v>#DIV/0!</v>
      </c>
      <c r="S44" s="4924"/>
      <c r="T44" s="4924" t="e">
        <f>ROUND(PRODUCT(T43,AB9:AB42),0)</f>
        <v>#DIV/0!</v>
      </c>
      <c r="U44" s="4924"/>
      <c r="V44" s="4924" t="e">
        <f>ROUND(PRODUCT(V43,AC9:AC42),0)</f>
        <v>#DIV/0!</v>
      </c>
      <c r="W44" s="4924"/>
      <c r="X44" s="493"/>
      <c r="Y44" s="493"/>
      <c r="Z44" s="493"/>
      <c r="AA44" s="493"/>
      <c r="AB44" s="493"/>
      <c r="AC44" s="493"/>
    </row>
    <row r="45" spans="1:31" ht="15.75" thickBot="1">
      <c r="A45" s="297" t="s">
        <v>1701</v>
      </c>
      <c r="B45" s="298"/>
      <c r="C45" s="4054" t="e">
        <f>R45</f>
        <v>#DIV/0!</v>
      </c>
      <c r="D45" s="3404"/>
      <c r="E45" s="3404"/>
      <c r="F45" s="3404"/>
      <c r="G45" s="3404"/>
      <c r="H45" s="3404"/>
      <c r="I45" s="3404"/>
      <c r="J45" s="3404"/>
      <c r="K45" s="3426"/>
      <c r="L45" s="2155"/>
      <c r="M45" s="2147"/>
      <c r="N45" s="2147"/>
      <c r="O45" s="2156"/>
      <c r="P45" s="4920" t="str">
        <f>A45</f>
        <v>估价对象XX用房的比较价值（楼面单价，元/平方米）</v>
      </c>
      <c r="Q45" s="4921"/>
      <c r="R45" s="4922" t="e">
        <f>ROUND(IF(D44="简单平均",AVERAGE(R44:W44),R44*F44+T44*H44+V44*J44),0)</f>
        <v>#DIV/0!</v>
      </c>
      <c r="S45" s="4922"/>
      <c r="T45" s="4922"/>
      <c r="U45" s="4922"/>
      <c r="V45" s="4922"/>
      <c r="W45" s="492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49" t="s">
        <v>1794</v>
      </c>
      <c r="H52" s="4981"/>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4" t="e">
        <f>C45</f>
        <v>#DIV/0!</v>
      </c>
      <c r="C53" s="3337">
        <v>1</v>
      </c>
      <c r="D53" s="3314">
        <v>1</v>
      </c>
      <c r="E53" s="3313">
        <f>'数据-汇总表'!E8+'数据-汇总表'!E9</f>
        <v>1052.8</v>
      </c>
      <c r="F53" s="3316" t="e">
        <f t="shared" ref="F53:F62" si="15">ROUND(B53*E53/10000,0)</f>
        <v>#DIV/0!</v>
      </c>
      <c r="G53" s="4982"/>
      <c r="H53" s="4969"/>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4"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4"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4"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4"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4"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4"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7" t="s">
        <v>20</v>
      </c>
      <c r="C63" s="465" t="s">
        <v>21</v>
      </c>
      <c r="D63" s="465" t="s">
        <v>386</v>
      </c>
      <c r="E63" s="3319">
        <f>IF(B43="楼面地价",SUM(E53:E62),'数据-汇总表'!D3)</f>
        <v>4735.72</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O17" sqref="O17"/>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-17</v>
      </c>
      <c r="C2" s="175" t="s">
        <v>1531</v>
      </c>
      <c r="D2" s="3587"/>
      <c r="E2" s="2225"/>
      <c r="G2" s="2225"/>
      <c r="H2" s="2225"/>
      <c r="I2" s="2225"/>
      <c r="J2" s="2225"/>
      <c r="K2" s="2225"/>
    </row>
    <row r="3" spans="1:33" ht="18" customHeight="1">
      <c r="A3" s="102" t="s">
        <v>1433</v>
      </c>
      <c r="B3" s="2757">
        <f ca="1">ROUND(B2*10000/IF(C1="",'数据-汇总表'!E3,INDIRECT("'数据-取费表'!K"&amp;$K$1)),0)</f>
        <v>-161</v>
      </c>
      <c r="C3" s="175" t="s">
        <v>1532</v>
      </c>
      <c r="E3" s="541"/>
      <c r="I3" s="2225"/>
      <c r="J3" s="2225"/>
      <c r="K3" s="2225"/>
    </row>
    <row r="4" spans="1:33" ht="18" customHeight="1">
      <c r="A4" s="3640" t="s">
        <v>3626</v>
      </c>
      <c r="B4" s="3645">
        <f ca="1">ROUND(B2*10000/IF(C1="",'数据-汇总表'!D3,INDIRECT("'数据-取费表'!R"&amp;$K$1)),0)</f>
        <v>-36</v>
      </c>
      <c r="C4" s="3644" t="s">
        <v>1532</v>
      </c>
      <c r="E4" s="541"/>
      <c r="I4" s="2225"/>
      <c r="J4" s="2225"/>
      <c r="K4" s="2225"/>
    </row>
    <row r="5" spans="1:33" ht="18" customHeight="1" thickBot="1">
      <c r="A5" s="98"/>
      <c r="B5" s="3641">
        <f ca="1">ROUND(B2/(IF(C1="",'数据-汇总表'!D3,INDIRECT("'数据-取费表'!R"&amp;$K$1))/666.67),0)</f>
        <v>-2</v>
      </c>
      <c r="C5" s="3643" t="s">
        <v>3624</v>
      </c>
      <c r="E5" s="541"/>
      <c r="I5" s="2225"/>
      <c r="J5" s="2225"/>
      <c r="K5" s="2225"/>
    </row>
    <row r="6" spans="1:33" s="542" customFormat="1" ht="16.5" customHeight="1">
      <c r="A6" s="2890" t="s">
        <v>3373</v>
      </c>
      <c r="B6" s="2889"/>
      <c r="C6" s="4987" t="s">
        <v>3375</v>
      </c>
      <c r="D6" s="4987"/>
      <c r="E6" s="4987"/>
      <c r="F6" s="4987"/>
      <c r="G6" s="4987"/>
      <c r="H6" s="4987"/>
      <c r="I6" s="4987"/>
      <c r="J6" s="4987"/>
      <c r="K6" s="4988"/>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4991" t="s">
        <v>3388</v>
      </c>
      <c r="B11" s="4992"/>
      <c r="C11" s="4992"/>
      <c r="D11" s="4992"/>
      <c r="E11" s="4992"/>
      <c r="F11" s="4992"/>
      <c r="G11" s="4992"/>
      <c r="H11" s="4992"/>
      <c r="I11" s="4992"/>
      <c r="J11" s="4992"/>
      <c r="K11" s="4993"/>
    </row>
    <row r="12" spans="1:33" s="4439" customFormat="1" ht="13.5" customHeight="1">
      <c r="A12" s="3470" t="s">
        <v>3508</v>
      </c>
      <c r="B12" s="4436" t="s">
        <v>1537</v>
      </c>
      <c r="C12" s="4440" t="s">
        <v>3955</v>
      </c>
      <c r="D12" s="4436" t="s">
        <v>1539</v>
      </c>
      <c r="E12" s="4436" t="s">
        <v>1540</v>
      </c>
      <c r="F12" s="4436" t="s">
        <v>1541</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17</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1536</v>
      </c>
      <c r="B18" s="2931" t="s">
        <v>3391</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3378</v>
      </c>
      <c r="B19" s="2931" t="s">
        <v>3392</v>
      </c>
      <c r="C19" s="2939">
        <f ca="1">C20+C23+C24</f>
        <v>17</v>
      </c>
      <c r="D19" s="569"/>
      <c r="E19" s="216"/>
      <c r="F19" s="2908"/>
      <c r="G19" s="2915"/>
      <c r="H19" s="2915"/>
      <c r="I19" s="2915"/>
      <c r="J19" s="2915"/>
      <c r="K19" s="2916"/>
    </row>
    <row r="20" spans="1:33" s="552" customFormat="1" ht="13.5" customHeight="1">
      <c r="A20" s="2893" t="s">
        <v>3381</v>
      </c>
      <c r="B20" s="2918" t="s">
        <v>1547</v>
      </c>
      <c r="C20" s="2939">
        <f ca="1">C21+C22-IF(C1="",'数据-取费表'!B29,IF(G20="已全部缴纳",C21+C22,H20))</f>
        <v>17</v>
      </c>
      <c r="D20" s="569"/>
      <c r="E20" s="12"/>
      <c r="F20" s="2909"/>
      <c r="G20" s="2919"/>
      <c r="H20" s="2920"/>
      <c r="I20" s="2921" t="s">
        <v>1548</v>
      </c>
      <c r="J20" s="216"/>
      <c r="K20" s="2917"/>
    </row>
    <row r="21" spans="1:33" s="552" customFormat="1" ht="13.5" customHeight="1">
      <c r="A21" s="2933" t="s">
        <v>3384</v>
      </c>
      <c r="B21" s="2934" t="s">
        <v>3395</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3385</v>
      </c>
      <c r="B22" s="2934" t="s">
        <v>3396</v>
      </c>
      <c r="C22" s="2940">
        <f ca="1">ROUND(D22*E22/10000,0)</f>
        <v>17</v>
      </c>
      <c r="D22" s="2942">
        <f ca="1">IF(C1="",'数据-汇总表'!E6,IF(INDIRECT("'数据-取费表'!c"&amp;$K$1)="住宅",INDIRECT("'数据-取费表'!s"&amp;$K$1),INDIRECT("'数据-取费表'!k"&amp;$K$1)+INDIRECT("'数据-取费表'!s"&amp;$K$1)))</f>
        <v>1052.8</v>
      </c>
      <c r="E22" s="2940">
        <f>'数据-取费表'!B28</f>
        <v>160</v>
      </c>
      <c r="F22" s="2935"/>
      <c r="G22" s="190"/>
      <c r="H22" s="190"/>
      <c r="I22" s="190"/>
      <c r="J22" s="190"/>
      <c r="K22" s="2027"/>
    </row>
    <row r="23" spans="1:33" s="553" customFormat="1" ht="13.5" customHeight="1">
      <c r="A23" s="2893" t="s">
        <v>3382</v>
      </c>
      <c r="B23" s="2918" t="s">
        <v>1543</v>
      </c>
      <c r="C23" s="2939">
        <f ca="1">ROUND(D23*E23*F16/10000,0)</f>
        <v>0</v>
      </c>
      <c r="D23" s="2943">
        <f ca="1">IF(C1="",'数据-汇总表'!E3,INDIRECT("'数据-取费表'!K"&amp;$K$1)+INDIRECT("'数据-取费表'!S"&amp;$K$1))</f>
        <v>1052.8</v>
      </c>
      <c r="E23" s="2939">
        <f>'数据-取费表'!B35</f>
        <v>200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1545</v>
      </c>
      <c r="C24" s="2939">
        <f ca="1">ROUND(D24*E24/10000,0)</f>
        <v>0</v>
      </c>
      <c r="D24" s="2943">
        <f ca="1">D23</f>
        <v>1052.8</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0.02</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1.4999999999999999E-2</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1.4999999999999999E-2</v>
      </c>
      <c r="G28" s="2915" t="s">
        <v>3667</v>
      </c>
      <c r="H28" s="2915"/>
      <c r="I28" s="2915"/>
      <c r="J28" s="2915"/>
      <c r="K28" s="2916"/>
    </row>
    <row r="29" spans="1:33" s="552" customFormat="1" ht="13.5" customHeight="1">
      <c r="A29" s="2727">
        <v>6</v>
      </c>
      <c r="B29" s="2892" t="s">
        <v>3377</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4989" t="s">
        <v>3387</v>
      </c>
      <c r="H32" s="4989"/>
      <c r="I32" s="4989"/>
      <c r="J32" s="4989"/>
      <c r="K32" s="4990"/>
    </row>
    <row r="33" spans="1:11" s="180" customFormat="1" ht="13.5" customHeight="1">
      <c r="A33" s="2727">
        <v>8</v>
      </c>
      <c r="B33" s="2896" t="s">
        <v>1554</v>
      </c>
      <c r="C33" s="2941" t="str">
        <f ca="1">C35&amp;"+"&amp;C34&amp;"V"</f>
        <v>1+0V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3397</v>
      </c>
      <c r="C35" s="2906">
        <f ca="1">ROUND((C15+C27+C28)*F33,0)</f>
        <v>1</v>
      </c>
      <c r="D35" s="178"/>
      <c r="E35" s="554"/>
      <c r="F35" s="2910"/>
      <c r="G35" s="216"/>
      <c r="H35" s="216"/>
      <c r="I35" s="216"/>
      <c r="J35" s="216"/>
      <c r="K35" s="2917"/>
    </row>
    <row r="36" spans="1:11" s="550" customFormat="1" ht="15">
      <c r="A36" s="2727">
        <v>9</v>
      </c>
      <c r="B36" s="2914" t="s">
        <v>3386</v>
      </c>
      <c r="C36" s="2899">
        <f ca="1">ROUND((C13-C15-C27-C28-C31-C35-C32)/(1+F14+C30+C34),0)</f>
        <v>-17</v>
      </c>
      <c r="D36" s="2915"/>
      <c r="E36" s="2915"/>
      <c r="F36" s="176"/>
      <c r="G36" s="2948" t="s">
        <v>3398</v>
      </c>
      <c r="H36" s="2915"/>
      <c r="I36" s="2915"/>
      <c r="J36" s="2915"/>
      <c r="K36" s="2916"/>
    </row>
    <row r="37" spans="1:11" s="3025" customFormat="1" ht="15.75" thickBot="1">
      <c r="A37" s="2928">
        <v>10</v>
      </c>
      <c r="B37" s="2929" t="s">
        <v>3473</v>
      </c>
      <c r="C37" s="3022">
        <f ca="1">ROUND(C36*(1+F37),0)</f>
        <v>-19</v>
      </c>
      <c r="D37" s="3023"/>
      <c r="E37" s="3024"/>
      <c r="F37" s="2930">
        <v>0.09</v>
      </c>
      <c r="G37" s="2914" t="s">
        <v>3474</v>
      </c>
      <c r="H37" s="2915"/>
      <c r="I37" s="2915"/>
      <c r="J37" s="2915"/>
      <c r="K37" s="2916"/>
    </row>
    <row r="38" spans="1:11" ht="12.75" customHeight="1"/>
    <row r="44" spans="1:11" s="3468" customFormat="1" ht="19.5" thickBot="1">
      <c r="A44" s="3473" t="s">
        <v>3481</v>
      </c>
      <c r="B44" s="2020"/>
      <c r="C44" s="3474"/>
      <c r="D44" s="2020"/>
      <c r="E44" s="2020"/>
      <c r="F44" s="2020"/>
      <c r="G44" s="2020"/>
    </row>
    <row r="45" spans="1:11" s="3468" customFormat="1" ht="15">
      <c r="A45" s="3470" t="s">
        <v>3508</v>
      </c>
      <c r="B45" s="2912" t="s">
        <v>1537</v>
      </c>
      <c r="C45" s="2913" t="s">
        <v>1538</v>
      </c>
      <c r="D45" s="1239" t="s">
        <v>1539</v>
      </c>
      <c r="E45" s="1239" t="s">
        <v>1540</v>
      </c>
      <c r="F45" s="1239" t="s">
        <v>1541</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17</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17</v>
      </c>
      <c r="D53" s="660"/>
      <c r="E53" s="660"/>
      <c r="F53" s="660"/>
      <c r="G53" s="660"/>
    </row>
    <row r="54" spans="1:7" s="3468" customFormat="1">
      <c r="A54" s="3668" t="s">
        <v>3384</v>
      </c>
      <c r="B54" s="3669" t="s">
        <v>3501</v>
      </c>
      <c r="C54" s="3670">
        <f ca="1">C20</f>
        <v>17</v>
      </c>
      <c r="D54" s="660"/>
      <c r="E54" s="660"/>
      <c r="F54" s="660"/>
      <c r="G54" s="660"/>
    </row>
    <row r="55" spans="1:7" s="3468" customFormat="1">
      <c r="A55" s="3668" t="s">
        <v>3385</v>
      </c>
      <c r="B55" s="3669" t="s">
        <v>3502</v>
      </c>
      <c r="C55" s="3670">
        <f ca="1">C23</f>
        <v>0</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0+0V</v>
      </c>
      <c r="D63" s="660"/>
      <c r="E63" s="660"/>
      <c r="F63" s="660"/>
      <c r="G63" s="660"/>
    </row>
    <row r="64" spans="1:7" s="3468" customFormat="1">
      <c r="A64" s="660">
        <v>4</v>
      </c>
      <c r="B64" s="2932" t="s">
        <v>3490</v>
      </c>
      <c r="C64" s="2903" t="str">
        <f ca="1">C33</f>
        <v>1+0V</v>
      </c>
      <c r="D64" s="660"/>
      <c r="E64" s="660"/>
      <c r="F64" s="660"/>
      <c r="G64" s="660"/>
    </row>
    <row r="65" spans="1:7" s="3468" customFormat="1">
      <c r="A65" s="660">
        <v>5</v>
      </c>
      <c r="B65" s="2932" t="s">
        <v>3491</v>
      </c>
      <c r="C65" s="2903">
        <f ca="1">C36</f>
        <v>-17</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17" sqref="O17"/>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f ca="1">SUMIF(B6:B13,"&lt;&gt;#ref!",B6:B13)</f>
        <v>421</v>
      </c>
      <c r="C2" s="1688" t="s">
        <v>1981</v>
      </c>
      <c r="D2" s="1688" t="s">
        <v>1982</v>
      </c>
      <c r="E2" s="3165">
        <f ca="1">SUMIF(E6:E13,"&lt;&gt;#ref!",E6:E13)</f>
        <v>4735.72</v>
      </c>
      <c r="F2" s="2223"/>
      <c r="G2" s="2223"/>
      <c r="H2" s="2223"/>
      <c r="I2" s="2223"/>
      <c r="J2" s="2223"/>
      <c r="K2" s="2223"/>
      <c r="L2" s="2223"/>
      <c r="M2" s="2223"/>
      <c r="N2" s="2223"/>
      <c r="O2" s="2223"/>
      <c r="P2" s="2223"/>
    </row>
    <row r="3" spans="1:16" ht="15.75">
      <c r="A3" s="1688" t="s">
        <v>1983</v>
      </c>
      <c r="B3" s="3164">
        <f ca="1">ROUND(B2*10000/E2,0)</f>
        <v>889</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f ca="1">SUMIF(INDIRECT("'"&amp;A6&amp;"'"&amp;"!A:A"),"总价",INDIRECT("'"&amp;A6&amp;"'"&amp;"!B:B"))</f>
        <v>421</v>
      </c>
      <c r="C6" s="1688" t="s">
        <v>1981</v>
      </c>
      <c r="D6" s="2223"/>
      <c r="E6" s="3165">
        <f ca="1">SUMIF(INDIRECT("'"&amp;A6&amp;"'"&amp;"!C:C"),"建筑面积",INDIRECT("'"&amp;A6&amp;"'"&amp;"!D:D"))</f>
        <v>4735.72</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3514</v>
      </c>
      <c r="B1" s="832"/>
      <c r="C1" s="833"/>
      <c r="D1" s="831"/>
      <c r="E1" s="2225"/>
      <c r="F1" s="2225"/>
      <c r="G1" s="2104"/>
      <c r="H1" s="2225"/>
      <c r="I1" s="2225"/>
      <c r="J1" s="2225"/>
      <c r="K1" s="2226">
        <f>MATCH(C1,'数据-取费表'!A6:A16,0)+5</f>
        <v>7</v>
      </c>
    </row>
    <row r="2" spans="1:33" ht="18" customHeight="1">
      <c r="A2" s="100" t="s">
        <v>1431</v>
      </c>
      <c r="B2" s="2757">
        <f ca="1">C34</f>
        <v>-193</v>
      </c>
      <c r="C2" s="175" t="s">
        <v>1531</v>
      </c>
      <c r="D2" s="175"/>
      <c r="E2" s="2225"/>
      <c r="F2" s="2225"/>
      <c r="G2" s="2225"/>
      <c r="H2" s="2225"/>
      <c r="I2" s="2225"/>
      <c r="J2" s="2225"/>
      <c r="K2" s="2225"/>
    </row>
    <row r="3" spans="1:33" ht="18" customHeight="1">
      <c r="A3" s="102" t="s">
        <v>1433</v>
      </c>
      <c r="B3" s="2757">
        <f ca="1">ROUND(B2*10000/IF(C1="",'数据-汇总表'!E3,INDIRECT("'数据-取费表'!K"&amp;$K$1)),0)</f>
        <v>-1833</v>
      </c>
      <c r="C3" s="175" t="s">
        <v>1532</v>
      </c>
      <c r="D3" s="175"/>
      <c r="E3" s="2225"/>
      <c r="F3" s="2225"/>
      <c r="G3" s="2225"/>
      <c r="H3" s="2225"/>
      <c r="I3" s="2225"/>
      <c r="J3" s="2225"/>
      <c r="K3" s="2225"/>
    </row>
    <row r="4" spans="1:33" ht="18" customHeight="1">
      <c r="A4" s="3648" t="s">
        <v>3629</v>
      </c>
      <c r="B4" s="2756">
        <f ca="1">ROUND(B2*10000/IF(C1="",'数据-汇总表'!D3,INDIRECT("'数据-取费表'!R"&amp;$K$1)),0)</f>
        <v>-408</v>
      </c>
      <c r="C4" s="1435" t="s">
        <v>3631</v>
      </c>
      <c r="D4" s="175"/>
      <c r="E4" s="2225"/>
      <c r="F4" s="2225"/>
      <c r="G4" s="2225"/>
      <c r="H4" s="2225"/>
      <c r="I4" s="2225"/>
      <c r="J4" s="2225"/>
      <c r="K4" s="2225"/>
    </row>
    <row r="5" spans="1:33" ht="18" customHeight="1" thickBot="1">
      <c r="A5" s="98"/>
      <c r="B5" s="3657">
        <f ca="1">ROUND(B2/(IF(C1="",'数据-汇总表'!D3,INDIRECT("'数据-取费表'!R"&amp;$K$1))/666.67),0)</f>
        <v>-27</v>
      </c>
      <c r="C5" s="3651" t="s">
        <v>3630</v>
      </c>
      <c r="D5" s="175"/>
      <c r="E5" s="2225"/>
      <c r="F5" s="2225"/>
      <c r="G5" s="2225"/>
      <c r="H5" s="2225"/>
      <c r="I5" s="2225"/>
      <c r="J5" s="2225"/>
      <c r="K5" s="2225"/>
    </row>
    <row r="6" spans="1:33" s="542" customFormat="1" ht="16.5" customHeight="1">
      <c r="A6" s="2890" t="s">
        <v>3518</v>
      </c>
      <c r="B6" s="2889"/>
      <c r="C6" s="4987" t="s">
        <v>3375</v>
      </c>
      <c r="D6" s="4987"/>
      <c r="E6" s="4987"/>
      <c r="F6" s="4987"/>
      <c r="G6" s="4987"/>
      <c r="H6" s="4987"/>
      <c r="I6" s="4987"/>
      <c r="J6" s="4987"/>
      <c r="K6" s="4988"/>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09" t="s">
        <v>3519</v>
      </c>
      <c r="B11" s="5010"/>
      <c r="C11" s="5010"/>
      <c r="D11" s="5010"/>
      <c r="E11" s="5010"/>
      <c r="F11" s="5010"/>
      <c r="G11" s="5010"/>
      <c r="H11" s="5010"/>
      <c r="I11" s="5010"/>
      <c r="J11" s="5010"/>
      <c r="K11" s="5011"/>
    </row>
    <row r="12" spans="1:33" s="4439" customFormat="1" ht="13.5" customHeight="1">
      <c r="A12" s="3470" t="s">
        <v>3508</v>
      </c>
      <c r="B12" s="4436" t="s">
        <v>1537</v>
      </c>
      <c r="C12" s="4440" t="s">
        <v>3955</v>
      </c>
      <c r="D12" s="4436" t="s">
        <v>1539</v>
      </c>
      <c r="E12" s="4436" t="s">
        <v>1540</v>
      </c>
      <c r="F12" s="4436" t="s">
        <v>1541</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193</v>
      </c>
      <c r="D15" s="559"/>
      <c r="E15" s="177"/>
      <c r="F15" s="3486"/>
      <c r="G15" s="3613" t="s">
        <v>3538</v>
      </c>
      <c r="H15" s="555"/>
      <c r="I15" s="555"/>
      <c r="J15" s="555"/>
      <c r="K15" s="556"/>
    </row>
    <row r="16" spans="1:33" s="552" customFormat="1" ht="13.5" customHeight="1">
      <c r="A16" s="3624" t="s">
        <v>3588</v>
      </c>
      <c r="B16" s="3490" t="s">
        <v>3521</v>
      </c>
      <c r="C16" s="3491">
        <f ca="1">SUM(C17:C22)</f>
        <v>270</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232</v>
      </c>
      <c r="D17" s="3493"/>
      <c r="E17" s="3494"/>
      <c r="F17" s="3506"/>
      <c r="G17" s="3614"/>
      <c r="H17" s="3611"/>
      <c r="I17" s="3611"/>
      <c r="J17" s="3611"/>
      <c r="K17" s="3623"/>
    </row>
    <row r="18" spans="1:33" s="552" customFormat="1" ht="13.5" customHeight="1">
      <c r="A18" s="3625" t="s">
        <v>3527</v>
      </c>
      <c r="B18" s="3477" t="s">
        <v>3528</v>
      </c>
      <c r="C18" s="2735">
        <f ca="1">ROUND(C17*F18,0)</f>
        <v>12</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3541</v>
      </c>
      <c r="B20" s="3478" t="s">
        <v>3549</v>
      </c>
      <c r="C20" s="2735">
        <f ca="1">ROUND(D20*E20/10000,0)</f>
        <v>21</v>
      </c>
      <c r="D20" s="3488">
        <f ca="1">IF(C1="",'数据-汇总表'!E3,INDIRECT("'数据-取费表'!K"&amp;$K$1)+INDIRECT("'数据-取费表'!S"&amp;$K$1))</f>
        <v>1052.8</v>
      </c>
      <c r="E20" s="3489">
        <f>'数据-取费表'!B35</f>
        <v>200</v>
      </c>
      <c r="F20" s="3488"/>
      <c r="G20" s="2731"/>
      <c r="H20" s="3611"/>
      <c r="I20" s="3611"/>
      <c r="J20" s="555"/>
      <c r="K20" s="556"/>
    </row>
    <row r="21" spans="1:33" s="552" customFormat="1" ht="13.5" customHeight="1">
      <c r="A21" s="3625" t="s">
        <v>3542</v>
      </c>
      <c r="B21" s="3479" t="s">
        <v>3499</v>
      </c>
      <c r="C21" s="2735">
        <f ca="1">ROUND(C17*F21,0)</f>
        <v>5</v>
      </c>
      <c r="D21" s="3495"/>
      <c r="E21" s="3495"/>
      <c r="F21" s="3507">
        <f>'数据-取费表'!B36</f>
        <v>0.02</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4</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0.015V建</v>
      </c>
      <c r="D24" s="3496"/>
      <c r="E24" s="3496"/>
      <c r="F24" s="3508">
        <f>'数据-取费表'!B39</f>
        <v>1.4999999999999999E-2</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3591</v>
      </c>
      <c r="B25" s="3490" t="s">
        <v>3416</v>
      </c>
      <c r="C25" s="3497" t="str">
        <f ca="1">C26&amp;"+"&amp;C27&amp;"V建"</f>
        <v>4+0.0002V建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4</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2.0000000000000001E-4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14+0.0008V建</v>
      </c>
      <c r="D28" s="1070"/>
      <c r="E28" s="1070"/>
      <c r="F28" s="3509">
        <f ca="1">IF(C1="",'数据-取费表'!Q16,INDIRECT("'数据-取费表'!q"&amp;$K$1))</f>
        <v>0.05</v>
      </c>
      <c r="G28" s="5012" t="s">
        <v>3535</v>
      </c>
      <c r="H28" s="3611"/>
      <c r="I28" s="3611"/>
      <c r="J28" s="3611"/>
      <c r="K28" s="3623"/>
    </row>
    <row r="29" spans="1:33" s="552" customFormat="1" ht="13.5" customHeight="1">
      <c r="A29" s="3625" t="s">
        <v>3547</v>
      </c>
      <c r="B29" s="3479" t="s">
        <v>3552</v>
      </c>
      <c r="C29" s="2888">
        <f ca="1">ROUND((C16+C23)*F28,0)</f>
        <v>14</v>
      </c>
      <c r="D29" s="1070"/>
      <c r="E29" s="1070"/>
      <c r="F29" s="2957"/>
      <c r="G29" s="5012"/>
      <c r="H29" s="3618"/>
      <c r="I29" s="3618"/>
      <c r="J29" s="3618"/>
      <c r="K29" s="3628"/>
    </row>
    <row r="30" spans="1:33" s="560" customFormat="1" ht="13.5" customHeight="1">
      <c r="A30" s="3625" t="s">
        <v>3548</v>
      </c>
      <c r="B30" s="3479" t="s">
        <v>3553</v>
      </c>
      <c r="C30" s="2735">
        <f ca="1">ROUND(F24*F28,4)</f>
        <v>8.0000000000000004E-4</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297</v>
      </c>
      <c r="D32" s="3501"/>
      <c r="E32" s="3502"/>
      <c r="F32" s="3488"/>
      <c r="G32" s="3621" t="s">
        <v>3525</v>
      </c>
      <c r="H32" s="3622"/>
      <c r="I32" s="3622"/>
      <c r="J32" s="3622"/>
      <c r="K32" s="3629"/>
    </row>
    <row r="33" spans="1:11" s="180" customFormat="1" ht="13.5" customHeight="1">
      <c r="A33" s="3624" t="s">
        <v>3546</v>
      </c>
      <c r="B33" s="3503" t="s">
        <v>3536</v>
      </c>
      <c r="C33" s="3504">
        <f ca="1">ROUND(C32*(1-F33),0)</f>
        <v>104</v>
      </c>
      <c r="D33" s="3505"/>
      <c r="E33" s="3467"/>
      <c r="F33" s="3508">
        <f>IF('数据-取费表'!B24=0,'数据-取费表'!N16,1)</f>
        <v>0.65</v>
      </c>
      <c r="G33" s="3613" t="s">
        <v>3537</v>
      </c>
      <c r="H33" s="3618"/>
      <c r="I33" s="3618"/>
      <c r="J33" s="3618"/>
      <c r="K33" s="3628"/>
    </row>
    <row r="34" spans="1:11" s="550" customFormat="1" ht="15.75" thickBot="1">
      <c r="A34" s="3630">
        <v>4</v>
      </c>
      <c r="B34" s="3631" t="s">
        <v>3594</v>
      </c>
      <c r="C34" s="3632">
        <f ca="1">C13-C15</f>
        <v>-193</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24"/>
      <c r="C2" s="4624"/>
      <c r="D2" s="4624"/>
      <c r="E2" s="4624"/>
    </row>
    <row r="3" spans="1:5" ht="18">
      <c r="A3" s="4625" t="str">
        <f>IF(项目基本情况!B9="房地产市场价值","估价结果一览表（市场价值不需“结果表-1”）","估价结果一览表")</f>
        <v>估价结果一览表</v>
      </c>
      <c r="B3" s="4625"/>
      <c r="C3" s="4625"/>
      <c r="D3" s="4625"/>
      <c r="E3" s="4625"/>
    </row>
    <row r="4" spans="1:5" ht="19.5" thickBot="1">
      <c r="A4" s="1099"/>
      <c r="B4" s="4623" t="s">
        <v>901</v>
      </c>
      <c r="C4" s="4623"/>
      <c r="D4" s="4623"/>
      <c r="E4" s="1099"/>
    </row>
    <row r="5" spans="1:5" ht="16.5" thickTop="1">
      <c r="A5" s="1097"/>
      <c r="B5" s="4621" t="s">
        <v>893</v>
      </c>
      <c r="C5" s="1100" t="s">
        <v>894</v>
      </c>
      <c r="D5" s="573">
        <f ca="1">结果表!H101</f>
        <v>739</v>
      </c>
      <c r="E5" s="1097"/>
    </row>
    <row r="6" spans="1:5" ht="15.75">
      <c r="A6" s="1097"/>
      <c r="B6" s="4621"/>
      <c r="C6" s="1100" t="s">
        <v>895</v>
      </c>
      <c r="D6" s="573" t="str">
        <f ca="1">NUMBERSTRING(INT(D5*10000),2)&amp;"元整"</f>
        <v>柒佰叁拾玖万元整</v>
      </c>
      <c r="E6" s="1097"/>
    </row>
    <row r="7" spans="1:5" ht="15.75">
      <c r="A7" s="1097"/>
      <c r="B7" s="4626"/>
      <c r="C7" s="1101" t="s">
        <v>896</v>
      </c>
      <c r="D7" s="574">
        <f ca="1">结果表!H102</f>
        <v>7019</v>
      </c>
      <c r="E7" s="1097"/>
    </row>
    <row r="8" spans="1:5" ht="15.75">
      <c r="A8" s="1097"/>
      <c r="B8" s="4627" t="str">
        <f>结果表!E103</f>
        <v>2.估价师知悉的法定优先受偿款</v>
      </c>
      <c r="C8" s="1102" t="s">
        <v>897</v>
      </c>
      <c r="D8" s="574">
        <f>结果表!H103</f>
        <v>0</v>
      </c>
      <c r="E8" s="1097"/>
    </row>
    <row r="9" spans="1:5" ht="15.75">
      <c r="A9" s="1097"/>
      <c r="B9" s="4629"/>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0" t="str">
        <f>结果表!E107</f>
        <v>3.房地产抵押价值</v>
      </c>
      <c r="C13" s="1105" t="s">
        <v>894</v>
      </c>
      <c r="D13" s="576">
        <f ca="1">结果表!H107</f>
        <v>739</v>
      </c>
      <c r="E13" s="1097"/>
    </row>
    <row r="14" spans="1:5" ht="15.75">
      <c r="A14" s="1097"/>
      <c r="B14" s="4621"/>
      <c r="C14" s="1100" t="s">
        <v>895</v>
      </c>
      <c r="D14" s="573" t="str">
        <f ca="1">NUMBERSTRING(INT(D13*10000),2)&amp;"元整"</f>
        <v>柒佰叁拾玖万元整</v>
      </c>
      <c r="E14" s="1097"/>
    </row>
    <row r="15" spans="1:5" ht="15">
      <c r="A15" s="1097"/>
      <c r="B15" s="4626"/>
      <c r="C15" s="1101" t="s">
        <v>905</v>
      </c>
      <c r="D15" s="581">
        <f ca="1">结果表!H108</f>
        <v>7019</v>
      </c>
      <c r="E15" s="1097"/>
    </row>
    <row r="16" spans="1:5" ht="15">
      <c r="A16" s="1097"/>
      <c r="B16" s="4627" t="str">
        <f>结果表!E109</f>
        <v>——</v>
      </c>
      <c r="C16" s="1105" t="s">
        <v>906</v>
      </c>
      <c r="D16" s="1106" t="str">
        <f>结果表!H109</f>
        <v>——</v>
      </c>
      <c r="E16" s="1097"/>
    </row>
    <row r="17" spans="1:5" ht="15.75">
      <c r="A17" s="1097"/>
      <c r="B17" s="4628"/>
      <c r="C17" s="1100" t="s">
        <v>907</v>
      </c>
      <c r="D17" s="573" t="e">
        <f>NUMBERSTRING(INT(D16*10000),2)&amp;"元整"</f>
        <v>#VALUE!</v>
      </c>
      <c r="E17" s="1097"/>
    </row>
    <row r="18" spans="1:5" ht="15">
      <c r="A18" s="1097"/>
      <c r="B18" s="4629"/>
      <c r="C18" s="1101" t="s">
        <v>896</v>
      </c>
      <c r="D18" s="581" t="str">
        <f>结果表!H110</f>
        <v>——</v>
      </c>
      <c r="E18" s="1097"/>
    </row>
    <row r="19" spans="1:5" ht="15.75">
      <c r="A19" s="1097"/>
      <c r="B19" s="4620" t="str">
        <f>结果表!E111</f>
        <v>——</v>
      </c>
      <c r="C19" s="1105" t="s">
        <v>894</v>
      </c>
      <c r="D19" s="574" t="str">
        <f>结果表!H111</f>
        <v>——</v>
      </c>
      <c r="E19" s="1097"/>
    </row>
    <row r="20" spans="1:5" ht="15.75">
      <c r="A20" s="1097"/>
      <c r="B20" s="4621"/>
      <c r="C20" s="1100" t="s">
        <v>907</v>
      </c>
      <c r="D20" s="573" t="e">
        <f>NUMBERSTRING(INT(D19*10000),2)&amp;"元整"</f>
        <v>#VALUE!</v>
      </c>
      <c r="E20" s="1097"/>
    </row>
    <row r="21" spans="1:5" ht="15.75" thickBot="1">
      <c r="A21" s="1097"/>
      <c r="B21" s="4622"/>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5" t="s">
        <v>3515</v>
      </c>
      <c r="B1" s="3483"/>
      <c r="C1" s="3070"/>
      <c r="D1" s="97"/>
      <c r="E1" s="97"/>
      <c r="F1" s="97"/>
      <c r="G1" s="795">
        <f>MATCH(C1,'数据-取费表'!A6:A16,0)+5</f>
        <v>7</v>
      </c>
    </row>
    <row r="2" spans="1:7" s="99" customFormat="1" ht="15.75">
      <c r="A2" s="100" t="s">
        <v>1431</v>
      </c>
      <c r="B2" s="2756">
        <f ca="1">C34</f>
        <v>39</v>
      </c>
      <c r="C2" s="98" t="s">
        <v>1432</v>
      </c>
      <c r="D2" s="98"/>
      <c r="E2" s="2744"/>
      <c r="F2" s="98"/>
      <c r="G2" s="98"/>
    </row>
    <row r="3" spans="1:7" s="99" customFormat="1" ht="15.75">
      <c r="A3" s="102" t="s">
        <v>1433</v>
      </c>
      <c r="B3" s="2757">
        <f ca="1">ROUND(B2*10000/(IF(C1="",'数据-汇总表'!E3,INDIRECT("'数据-取费表'!k"&amp;$G$1))),0)</f>
        <v>370</v>
      </c>
      <c r="C3" s="98" t="s">
        <v>1434</v>
      </c>
      <c r="D3" s="98"/>
      <c r="E3" s="2744"/>
      <c r="F3" s="98"/>
      <c r="G3" s="98"/>
    </row>
    <row r="4" spans="1:7" s="99" customFormat="1" ht="15.75">
      <c r="A4" s="3648" t="s">
        <v>3629</v>
      </c>
      <c r="B4" s="2756">
        <f ca="1">ROUND(B2*10000/'数据-汇总表'!D3,0)</f>
        <v>82</v>
      </c>
      <c r="C4" s="100" t="s">
        <v>3631</v>
      </c>
      <c r="D4" s="98"/>
      <c r="E4" s="2744"/>
      <c r="F4" s="98"/>
      <c r="G4" s="98"/>
    </row>
    <row r="5" spans="1:7" s="99" customFormat="1" ht="16.5" thickBot="1">
      <c r="A5" s="98"/>
      <c r="B5" s="3657">
        <f ca="1">ROUND(B2/('数据-汇总表'!D3/666.67),0)</f>
        <v>5</v>
      </c>
      <c r="C5" s="3642" t="s">
        <v>3630</v>
      </c>
      <c r="D5" s="98"/>
      <c r="E5" s="2744"/>
      <c r="F5" s="98"/>
      <c r="G5" s="98"/>
    </row>
    <row r="6" spans="1:7" s="99" customFormat="1" ht="15.75">
      <c r="A6" s="3529" t="s">
        <v>3328</v>
      </c>
      <c r="B6" s="3530" t="s">
        <v>3329</v>
      </c>
      <c r="C6" s="3531" t="s">
        <v>3952</v>
      </c>
      <c r="D6" s="3532" t="s">
        <v>3334</v>
      </c>
      <c r="E6" s="3533" t="s">
        <v>3335</v>
      </c>
      <c r="F6" s="3533" t="s">
        <v>3336</v>
      </c>
      <c r="G6" s="3534" t="s">
        <v>3330</v>
      </c>
    </row>
    <row r="7" spans="1:7" s="107" customFormat="1" ht="15.75">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1451</v>
      </c>
      <c r="B9" s="3522" t="s">
        <v>3557</v>
      </c>
      <c r="C9" s="3671">
        <f>ROUND(D9*E9/10000,0)</f>
        <v>0</v>
      </c>
      <c r="D9" s="3512"/>
      <c r="E9" s="3512"/>
      <c r="F9" s="3481"/>
      <c r="G9" s="3537"/>
    </row>
    <row r="10" spans="1:7" s="113" customFormat="1">
      <c r="A10" s="2815" t="s">
        <v>1453</v>
      </c>
      <c r="B10" s="3522" t="s">
        <v>3558</v>
      </c>
      <c r="C10" s="3671">
        <f>ROUND(D10*E10/10000,0)</f>
        <v>0</v>
      </c>
      <c r="D10" s="3512"/>
      <c r="E10" s="3512"/>
      <c r="F10" s="3481"/>
      <c r="G10" s="3537"/>
    </row>
    <row r="11" spans="1:7" s="113" customFormat="1" ht="13.5">
      <c r="A11" s="3482" t="s">
        <v>3580</v>
      </c>
      <c r="B11" s="3588" t="s">
        <v>3570</v>
      </c>
      <c r="C11" s="140">
        <f>C12+C15+C16</f>
        <v>0</v>
      </c>
      <c r="D11" s="3481"/>
      <c r="E11" s="3481"/>
      <c r="F11" s="3481"/>
      <c r="G11" s="3537"/>
    </row>
    <row r="12" spans="1:7" s="113" customFormat="1">
      <c r="A12" s="2815" t="s">
        <v>1451</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1453</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3.5">
      <c r="A17" s="3482" t="s">
        <v>337</v>
      </c>
      <c r="B17" s="3524" t="s">
        <v>3571</v>
      </c>
      <c r="C17" s="2755">
        <f>C18+C19</f>
        <v>0</v>
      </c>
      <c r="D17" s="3595"/>
      <c r="E17" s="3596"/>
      <c r="F17" s="2787"/>
      <c r="G17" s="3604"/>
    </row>
    <row r="18" spans="1:9" s="113" customFormat="1">
      <c r="A18" s="3480" t="s">
        <v>347</v>
      </c>
      <c r="B18" s="3525" t="s">
        <v>1442</v>
      </c>
      <c r="C18" s="3264"/>
      <c r="D18" s="3597"/>
      <c r="E18" s="3596"/>
      <c r="F18" s="2786"/>
      <c r="G18" s="3673" t="s">
        <v>3663</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3599</v>
      </c>
      <c r="B20" s="2737" t="s">
        <v>3572</v>
      </c>
      <c r="C20" s="2768">
        <f ca="1">C21+C24+C25</f>
        <v>47</v>
      </c>
      <c r="D20" s="3598"/>
      <c r="E20" s="3599"/>
      <c r="F20" s="2791"/>
      <c r="G20" s="3605"/>
    </row>
    <row r="21" spans="1:9" s="122" customFormat="1" ht="15">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3579</v>
      </c>
      <c r="B23" s="3518" t="s">
        <v>1449</v>
      </c>
      <c r="C23" s="2795">
        <f ca="1">ROUND(D23*E23/10000,0)</f>
        <v>17</v>
      </c>
      <c r="D23" s="3510">
        <f ca="1">IF(C1="",'数据-汇总表'!E6,IF(INDIRECT("'数据-取费表'!c"&amp;$G$1)="住宅",INDIRECT("'数据-取费表'!s"&amp;$G$1),INDIRECT("'数据-取费表'!k"&amp;$G$1)+INDIRECT("'数据-取费表'!s"&amp;$G$1)))</f>
        <v>1052.8</v>
      </c>
      <c r="E23" s="3510">
        <f>'数据-取费表'!B28</f>
        <v>160</v>
      </c>
      <c r="F23" s="2787"/>
      <c r="G23" s="3606"/>
    </row>
    <row r="24" spans="1:9" s="113" customFormat="1" ht="13.5">
      <c r="A24" s="3482" t="s">
        <v>3580</v>
      </c>
      <c r="B24" s="3519" t="s">
        <v>3596</v>
      </c>
      <c r="C24" s="2796">
        <f ca="1">IF(G24="已包含在土地取得成本中","0",ROUND(D24*E24/10000,0))</f>
        <v>26</v>
      </c>
      <c r="D24" s="3511">
        <f ca="1">D22+D23</f>
        <v>1052.8</v>
      </c>
      <c r="E24" s="3511">
        <f>'数据-取费表'!B31</f>
        <v>250</v>
      </c>
      <c r="F24" s="3520"/>
      <c r="G24" s="1437"/>
    </row>
    <row r="25" spans="1:9" s="113" customFormat="1" ht="13.5">
      <c r="A25" s="3482" t="s">
        <v>337</v>
      </c>
      <c r="B25" s="3519" t="s">
        <v>3597</v>
      </c>
      <c r="C25" s="2796">
        <f ca="1">ROUND(E25*D25/10000,0)</f>
        <v>21</v>
      </c>
      <c r="D25" s="3511">
        <f ca="1">D24</f>
        <v>1052.8</v>
      </c>
      <c r="E25" s="3511">
        <f>'数据-取费表'!B35</f>
        <v>200</v>
      </c>
      <c r="F25" s="3513"/>
      <c r="G25" s="3607"/>
    </row>
    <row r="26" spans="1:9" s="107" customFormat="1" ht="15.75">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75">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75">
      <c r="A30" s="3535" t="s">
        <v>3604</v>
      </c>
      <c r="B30" s="2737" t="s">
        <v>3605</v>
      </c>
      <c r="C30" s="2774">
        <f ca="1">ROUND((C7+C20+C26)*F30,0)</f>
        <v>2</v>
      </c>
      <c r="D30" s="2772"/>
      <c r="E30" s="302"/>
      <c r="F30" s="3526">
        <f ca="1">IF(C1="",'数据-取费表'!Q16,INDIRECT("'数据-取费表'!q"&amp;$G$1))</f>
        <v>0.05</v>
      </c>
      <c r="G30" s="3609"/>
    </row>
    <row r="31" spans="1:9" s="113" customFormat="1" ht="15.75">
      <c r="A31" s="2738" t="s">
        <v>3585</v>
      </c>
      <c r="B31" s="2737" t="s">
        <v>3577</v>
      </c>
      <c r="C31" s="2759">
        <f ca="1">C7+C20+C29+C30</f>
        <v>49</v>
      </c>
      <c r="D31" s="2750"/>
      <c r="E31" s="2750"/>
      <c r="F31" s="2749"/>
      <c r="G31" s="2751" t="s">
        <v>3608</v>
      </c>
    </row>
    <row r="32" spans="1:9" s="113" customFormat="1" ht="15.75">
      <c r="A32" s="2738" t="s">
        <v>3576</v>
      </c>
      <c r="B32" s="2737" t="s">
        <v>3575</v>
      </c>
      <c r="C32" s="3592">
        <f ca="1">ROUND(C31*F32,0)</f>
        <v>5</v>
      </c>
      <c r="D32" s="134"/>
      <c r="E32" s="135"/>
      <c r="F32" s="3527">
        <v>0.1</v>
      </c>
      <c r="G32" s="3610"/>
    </row>
    <row r="33" spans="1:7" s="113" customFormat="1" ht="15.75">
      <c r="A33" s="3591">
        <v>8</v>
      </c>
      <c r="B33" s="2737" t="s">
        <v>3587</v>
      </c>
      <c r="C33" s="2759">
        <f ca="1">C31+C32</f>
        <v>54</v>
      </c>
      <c r="D33" s="2750"/>
      <c r="E33" s="2750"/>
      <c r="F33" s="3528"/>
      <c r="G33" s="2751" t="s">
        <v>3607</v>
      </c>
    </row>
    <row r="34" spans="1:7" s="122" customFormat="1" ht="16.5" thickBot="1">
      <c r="A34" s="3542">
        <v>9</v>
      </c>
      <c r="B34" s="3543" t="s">
        <v>3586</v>
      </c>
      <c r="C34" s="2759">
        <f ca="1">ROUND(C33*F34,0)</f>
        <v>39</v>
      </c>
      <c r="D34" s="3544"/>
      <c r="E34" s="3544"/>
      <c r="F34" s="3594">
        <f>'数据-取费表'!AS16</f>
        <v>0.72199999999999998</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23" t="s">
        <v>2495</v>
      </c>
      <c r="B20" s="5013" t="s">
        <v>2516</v>
      </c>
      <c r="C20" s="2724" t="s">
        <v>2327</v>
      </c>
      <c r="D20" s="2724"/>
      <c r="E20" s="3304">
        <v>1</v>
      </c>
      <c r="F20" s="2440" t="s">
        <v>2328</v>
      </c>
      <c r="G20" s="2440"/>
    </row>
    <row r="21" spans="1:13" ht="19.5" customHeight="1">
      <c r="A21" s="5024"/>
      <c r="B21" s="5014"/>
      <c r="C21" s="2717" t="s">
        <v>2329</v>
      </c>
      <c r="D21" s="2717"/>
      <c r="E21" s="3305">
        <v>1</v>
      </c>
      <c r="F21" s="2440" t="s">
        <v>2330</v>
      </c>
      <c r="G21" s="2440"/>
    </row>
    <row r="22" spans="1:13" ht="19.5" customHeight="1">
      <c r="A22" s="5024"/>
      <c r="B22" s="5014"/>
      <c r="C22" s="2717" t="s">
        <v>2331</v>
      </c>
      <c r="D22" s="2717"/>
      <c r="E22" s="3305">
        <v>0.9</v>
      </c>
      <c r="F22" s="2440" t="s">
        <v>2332</v>
      </c>
      <c r="G22" s="2440"/>
    </row>
    <row r="23" spans="1:13" ht="19.5" customHeight="1">
      <c r="A23" s="5024"/>
      <c r="B23" s="5014"/>
      <c r="C23" s="2717" t="s">
        <v>2333</v>
      </c>
      <c r="D23" s="2717"/>
      <c r="E23" s="3305">
        <v>0.9</v>
      </c>
      <c r="F23" s="2440" t="s">
        <v>2334</v>
      </c>
      <c r="G23" s="2440"/>
    </row>
    <row r="24" spans="1:13" ht="19.5" customHeight="1">
      <c r="A24" s="5024"/>
      <c r="B24" s="5014"/>
      <c r="C24" s="2717" t="s">
        <v>2335</v>
      </c>
      <c r="D24" s="2717"/>
      <c r="E24" s="3305">
        <v>0.8</v>
      </c>
      <c r="F24" s="2440" t="s">
        <v>2336</v>
      </c>
      <c r="G24" s="2440"/>
    </row>
    <row r="25" spans="1:13" ht="19.5" customHeight="1">
      <c r="A25" s="5024"/>
      <c r="B25" s="5014"/>
      <c r="C25" s="2717" t="s">
        <v>2337</v>
      </c>
      <c r="D25" s="2717"/>
      <c r="E25" s="3305">
        <v>0.8</v>
      </c>
      <c r="F25" s="2440"/>
      <c r="G25" s="2440"/>
    </row>
    <row r="26" spans="1:13" ht="19.5" customHeight="1">
      <c r="A26" s="5024"/>
      <c r="B26" s="5014"/>
      <c r="C26" s="2720" t="s">
        <v>3276</v>
      </c>
      <c r="D26" s="2720"/>
      <c r="E26" s="3305">
        <v>0.43</v>
      </c>
      <c r="F26" s="2440"/>
      <c r="G26" s="2440"/>
    </row>
    <row r="27" spans="1:13" ht="19.5" customHeight="1" thickBot="1">
      <c r="A27" s="5025"/>
      <c r="B27" s="5015"/>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16" t="s">
        <v>2519</v>
      </c>
      <c r="B29" s="5019" t="s">
        <v>2500</v>
      </c>
      <c r="C29" s="2438" t="s">
        <v>2340</v>
      </c>
      <c r="D29" s="2439"/>
      <c r="E29" s="3304">
        <v>1</v>
      </c>
      <c r="F29" s="2440" t="s">
        <v>2341</v>
      </c>
      <c r="G29" s="2440"/>
    </row>
    <row r="30" spans="1:13" ht="19.5" customHeight="1">
      <c r="A30" s="5017"/>
      <c r="B30" s="5020"/>
      <c r="C30" s="2441" t="s">
        <v>2342</v>
      </c>
      <c r="D30" s="2442"/>
      <c r="E30" s="3305">
        <v>1</v>
      </c>
      <c r="F30" s="2440" t="s">
        <v>2343</v>
      </c>
      <c r="G30" s="2440"/>
    </row>
    <row r="31" spans="1:13" ht="19.5" customHeight="1">
      <c r="A31" s="5017"/>
      <c r="B31" s="5020"/>
      <c r="C31" s="2441" t="s">
        <v>2344</v>
      </c>
      <c r="D31" s="2442"/>
      <c r="E31" s="3305">
        <v>0.8</v>
      </c>
      <c r="F31" s="2440" t="s">
        <v>2345</v>
      </c>
      <c r="G31" s="2440"/>
    </row>
    <row r="32" spans="1:13" ht="19.5" customHeight="1">
      <c r="A32" s="5017"/>
      <c r="B32" s="5020"/>
      <c r="C32" s="2441" t="s">
        <v>2346</v>
      </c>
      <c r="D32" s="2442"/>
      <c r="E32" s="3305">
        <v>0.8</v>
      </c>
      <c r="F32" s="2440" t="s">
        <v>2347</v>
      </c>
      <c r="G32" s="2440"/>
    </row>
    <row r="33" spans="1:7" ht="19.5" customHeight="1">
      <c r="A33" s="5017"/>
      <c r="B33" s="5020"/>
      <c r="C33" s="2441" t="s">
        <v>2348</v>
      </c>
      <c r="D33" s="2442"/>
      <c r="E33" s="3305">
        <v>0.8</v>
      </c>
      <c r="F33" s="2440" t="s">
        <v>2349</v>
      </c>
      <c r="G33" s="2440"/>
    </row>
    <row r="34" spans="1:7" ht="19.5" customHeight="1">
      <c r="A34" s="5017"/>
      <c r="B34" s="5020"/>
      <c r="C34" s="2441" t="s">
        <v>2350</v>
      </c>
      <c r="D34" s="2442"/>
      <c r="E34" s="3305">
        <v>0.7</v>
      </c>
      <c r="F34" s="2440" t="s">
        <v>2351</v>
      </c>
      <c r="G34" s="2440"/>
    </row>
    <row r="35" spans="1:7" ht="19.5" customHeight="1">
      <c r="A35" s="5017"/>
      <c r="B35" s="5020"/>
      <c r="C35" s="2441" t="s">
        <v>2352</v>
      </c>
      <c r="D35" s="2442"/>
      <c r="E35" s="3305">
        <v>0.8</v>
      </c>
      <c r="F35" s="2440" t="s">
        <v>2353</v>
      </c>
      <c r="G35" s="2440"/>
    </row>
    <row r="36" spans="1:7" ht="19.5" customHeight="1">
      <c r="A36" s="5017"/>
      <c r="B36" s="5020"/>
      <c r="C36" s="2441" t="s">
        <v>2354</v>
      </c>
      <c r="D36" s="2442"/>
      <c r="E36" s="3305">
        <v>0.6</v>
      </c>
      <c r="F36" s="2440" t="s">
        <v>2355</v>
      </c>
      <c r="G36" s="2440"/>
    </row>
    <row r="37" spans="1:7" ht="19.5" customHeight="1">
      <c r="A37" s="5017"/>
      <c r="B37" s="5020"/>
      <c r="C37" s="2441" t="s">
        <v>2356</v>
      </c>
      <c r="D37" s="2442"/>
      <c r="E37" s="3305">
        <v>0.2</v>
      </c>
      <c r="F37" s="2440" t="s">
        <v>2357</v>
      </c>
      <c r="G37" s="2440"/>
    </row>
    <row r="38" spans="1:7" ht="19.5" customHeight="1">
      <c r="A38" s="5017"/>
      <c r="B38" s="5020"/>
      <c r="C38" s="2441" t="s">
        <v>2358</v>
      </c>
      <c r="D38" s="2442"/>
      <c r="E38" s="3305">
        <v>0.2</v>
      </c>
      <c r="F38" s="2440" t="s">
        <v>2359</v>
      </c>
      <c r="G38" s="2440"/>
    </row>
    <row r="39" spans="1:7" ht="19.5" customHeight="1">
      <c r="A39" s="5017"/>
      <c r="B39" s="5021" t="s">
        <v>2520</v>
      </c>
      <c r="C39" s="2441" t="s">
        <v>2360</v>
      </c>
      <c r="D39" s="2442"/>
      <c r="E39" s="3305">
        <v>0.6</v>
      </c>
      <c r="F39" s="2440" t="s">
        <v>2361</v>
      </c>
      <c r="G39" s="2440"/>
    </row>
    <row r="40" spans="1:7" ht="19.5" customHeight="1">
      <c r="A40" s="5017"/>
      <c r="B40" s="5020"/>
      <c r="C40" s="2441" t="s">
        <v>2362</v>
      </c>
      <c r="D40" s="2442"/>
      <c r="E40" s="3305">
        <v>0.6</v>
      </c>
      <c r="F40" s="2440" t="s">
        <v>2363</v>
      </c>
      <c r="G40" s="2440"/>
    </row>
    <row r="41" spans="1:7" ht="19.5" customHeight="1" thickBot="1">
      <c r="A41" s="5018"/>
      <c r="B41" s="5022"/>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23" t="s">
        <v>2498</v>
      </c>
      <c r="B43" s="5019" t="s">
        <v>2522</v>
      </c>
      <c r="C43" s="2438" t="s">
        <v>2367</v>
      </c>
      <c r="D43" s="2439"/>
      <c r="E43" s="3304">
        <v>1</v>
      </c>
      <c r="F43" s="2440" t="s">
        <v>2368</v>
      </c>
      <c r="G43" s="2440"/>
    </row>
    <row r="44" spans="1:7" ht="19.5" customHeight="1">
      <c r="A44" s="5024"/>
      <c r="B44" s="5020"/>
      <c r="C44" s="2441" t="s">
        <v>2369</v>
      </c>
      <c r="D44" s="2442"/>
      <c r="E44" s="3305">
        <v>1</v>
      </c>
      <c r="F44" s="2440" t="s">
        <v>2370</v>
      </c>
      <c r="G44" s="2440"/>
    </row>
    <row r="45" spans="1:7" ht="19.5" customHeight="1">
      <c r="A45" s="5024"/>
      <c r="B45" s="5026"/>
      <c r="C45" s="2441" t="s">
        <v>2371</v>
      </c>
      <c r="D45" s="2442"/>
      <c r="E45" s="3305">
        <v>1.5</v>
      </c>
      <c r="F45" s="2440" t="s">
        <v>2372</v>
      </c>
      <c r="G45" s="2440"/>
    </row>
    <row r="46" spans="1:7" ht="19.5" customHeight="1">
      <c r="A46" s="5024"/>
      <c r="B46" s="2449" t="s">
        <v>2523</v>
      </c>
      <c r="C46" s="2441" t="s">
        <v>2524</v>
      </c>
      <c r="D46" s="2442"/>
      <c r="E46" s="3305">
        <v>2</v>
      </c>
      <c r="F46" s="2440" t="s">
        <v>2373</v>
      </c>
      <c r="G46" s="2440"/>
    </row>
    <row r="47" spans="1:7" ht="19.5" customHeight="1">
      <c r="A47" s="5024"/>
      <c r="B47" s="5021" t="s">
        <v>2525</v>
      </c>
      <c r="C47" s="2441" t="s">
        <v>2374</v>
      </c>
      <c r="D47" s="2442"/>
      <c r="E47" s="3305">
        <v>1</v>
      </c>
      <c r="F47" s="2440" t="s">
        <v>2375</v>
      </c>
      <c r="G47" s="2440"/>
    </row>
    <row r="48" spans="1:7" ht="19.5" customHeight="1">
      <c r="A48" s="5024"/>
      <c r="B48" s="5020"/>
      <c r="C48" s="2441" t="s">
        <v>2376</v>
      </c>
      <c r="D48" s="2442"/>
      <c r="E48" s="3305">
        <v>1</v>
      </c>
      <c r="F48" s="2440" t="s">
        <v>2377</v>
      </c>
      <c r="G48" s="2440"/>
    </row>
    <row r="49" spans="1:7" ht="19.5" customHeight="1">
      <c r="A49" s="5024"/>
      <c r="B49" s="5020"/>
      <c r="C49" s="2441" t="s">
        <v>2378</v>
      </c>
      <c r="D49" s="2442"/>
      <c r="E49" s="3305">
        <v>1</v>
      </c>
      <c r="F49" s="2440" t="s">
        <v>2379</v>
      </c>
      <c r="G49" s="2440"/>
    </row>
    <row r="50" spans="1:7" ht="19.5" customHeight="1">
      <c r="A50" s="5024"/>
      <c r="B50" s="5020"/>
      <c r="C50" s="2441" t="s">
        <v>2380</v>
      </c>
      <c r="D50" s="2442"/>
      <c r="E50" s="3305">
        <v>1</v>
      </c>
      <c r="F50" s="2440" t="s">
        <v>2381</v>
      </c>
      <c r="G50" s="2440"/>
    </row>
    <row r="51" spans="1:7" ht="19.5" customHeight="1">
      <c r="A51" s="5024"/>
      <c r="B51" s="5020"/>
      <c r="C51" s="2441" t="s">
        <v>2382</v>
      </c>
      <c r="D51" s="2442"/>
      <c r="E51" s="3305">
        <v>1</v>
      </c>
      <c r="F51" s="2440" t="s">
        <v>2383</v>
      </c>
      <c r="G51" s="2440"/>
    </row>
    <row r="52" spans="1:7" ht="19.5" customHeight="1">
      <c r="A52" s="5024"/>
      <c r="B52" s="5020"/>
      <c r="C52" s="2441" t="s">
        <v>2384</v>
      </c>
      <c r="D52" s="2442"/>
      <c r="E52" s="3305">
        <v>1</v>
      </c>
      <c r="F52" s="2440" t="s">
        <v>2385</v>
      </c>
      <c r="G52" s="2440"/>
    </row>
    <row r="53" spans="1:7" ht="19.5" customHeight="1" thickBot="1">
      <c r="A53" s="5025"/>
      <c r="B53" s="5022"/>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3.5">
      <c r="A74" s="2449"/>
      <c r="B74" s="2449"/>
      <c r="C74" s="2449" t="s">
        <v>2538</v>
      </c>
      <c r="D74" s="2449"/>
      <c r="E74" s="2449" t="s">
        <v>2509</v>
      </c>
      <c r="F74" s="2449" t="s">
        <v>2509</v>
      </c>
    </row>
    <row r="75" spans="1:7" ht="13.5">
      <c r="A75" s="2449">
        <v>1</v>
      </c>
      <c r="B75" s="5021" t="s">
        <v>2539</v>
      </c>
      <c r="C75" s="2429" t="s">
        <v>2540</v>
      </c>
      <c r="D75" s="2429" t="s">
        <v>2541</v>
      </c>
      <c r="E75" s="3310">
        <v>0.2</v>
      </c>
      <c r="F75" s="3311">
        <v>25</v>
      </c>
    </row>
    <row r="76" spans="1:7" ht="24">
      <c r="A76" s="2449">
        <v>2</v>
      </c>
      <c r="B76" s="5020"/>
      <c r="C76" s="2429" t="s">
        <v>2542</v>
      </c>
      <c r="D76" s="2429" t="s">
        <v>2543</v>
      </c>
      <c r="E76" s="3310">
        <v>0.2</v>
      </c>
      <c r="F76" s="3311">
        <v>25</v>
      </c>
    </row>
    <row r="77" spans="1:7" ht="24">
      <c r="A77" s="2449">
        <v>3</v>
      </c>
      <c r="B77" s="5020"/>
      <c r="C77" s="2429" t="s">
        <v>2544</v>
      </c>
      <c r="D77" s="2429" t="s">
        <v>2545</v>
      </c>
      <c r="E77" s="3310">
        <v>0.2</v>
      </c>
      <c r="F77" s="3311">
        <v>25</v>
      </c>
    </row>
    <row r="78" spans="1:7" ht="13.5">
      <c r="A78" s="2449">
        <v>4</v>
      </c>
      <c r="B78" s="5020"/>
      <c r="C78" s="2429" t="s">
        <v>2546</v>
      </c>
      <c r="D78" s="2429" t="s">
        <v>2547</v>
      </c>
      <c r="E78" s="3310">
        <v>0.15</v>
      </c>
      <c r="F78" s="3311">
        <v>20</v>
      </c>
    </row>
    <row r="79" spans="1:7" ht="24">
      <c r="A79" s="2449">
        <v>5</v>
      </c>
      <c r="B79" s="5020"/>
      <c r="C79" s="2429" t="s">
        <v>2548</v>
      </c>
      <c r="D79" s="2429" t="s">
        <v>2549</v>
      </c>
      <c r="E79" s="3310">
        <v>0.15</v>
      </c>
      <c r="F79" s="3311">
        <v>20</v>
      </c>
    </row>
    <row r="80" spans="1:7" ht="24">
      <c r="A80" s="2449">
        <v>6</v>
      </c>
      <c r="B80" s="5020"/>
      <c r="C80" s="2429" t="s">
        <v>2550</v>
      </c>
      <c r="D80" s="2429" t="s">
        <v>2551</v>
      </c>
      <c r="E80" s="3310">
        <v>0.15</v>
      </c>
      <c r="F80" s="3311">
        <v>20</v>
      </c>
    </row>
    <row r="81" spans="1:6" ht="24">
      <c r="A81" s="2449">
        <v>7</v>
      </c>
      <c r="B81" s="5020"/>
      <c r="C81" s="2429" t="s">
        <v>2552</v>
      </c>
      <c r="D81" s="2429" t="s">
        <v>2553</v>
      </c>
      <c r="E81" s="3310">
        <v>0.15</v>
      </c>
      <c r="F81" s="3311">
        <v>20</v>
      </c>
    </row>
    <row r="82" spans="1:6" ht="24">
      <c r="A82" s="2449">
        <v>8</v>
      </c>
      <c r="B82" s="5020"/>
      <c r="C82" s="2429" t="s">
        <v>2554</v>
      </c>
      <c r="D82" s="2429" t="s">
        <v>2555</v>
      </c>
      <c r="E82" s="3310">
        <v>0.1</v>
      </c>
      <c r="F82" s="3311">
        <v>15</v>
      </c>
    </row>
    <row r="83" spans="1:6" ht="24">
      <c r="A83" s="2449">
        <v>9</v>
      </c>
      <c r="B83" s="5020"/>
      <c r="C83" s="2429" t="s">
        <v>2556</v>
      </c>
      <c r="D83" s="2429" t="s">
        <v>2557</v>
      </c>
      <c r="E83" s="3310">
        <v>0.1</v>
      </c>
      <c r="F83" s="3311">
        <v>15</v>
      </c>
    </row>
    <row r="84" spans="1:6" ht="24">
      <c r="A84" s="2449">
        <v>10</v>
      </c>
      <c r="B84" s="5020"/>
      <c r="C84" s="2429" t="s">
        <v>2558</v>
      </c>
      <c r="D84" s="2429" t="s">
        <v>2559</v>
      </c>
      <c r="E84" s="3310">
        <v>0.1</v>
      </c>
      <c r="F84" s="3311">
        <v>15</v>
      </c>
    </row>
    <row r="85" spans="1:6" ht="24">
      <c r="A85" s="2449">
        <v>11</v>
      </c>
      <c r="B85" s="5020"/>
      <c r="C85" s="2429" t="s">
        <v>2560</v>
      </c>
      <c r="D85" s="2429" t="s">
        <v>2561</v>
      </c>
      <c r="E85" s="3310">
        <v>0.1</v>
      </c>
      <c r="F85" s="3311">
        <v>15</v>
      </c>
    </row>
    <row r="86" spans="1:6" ht="24">
      <c r="A86" s="2449">
        <v>12</v>
      </c>
      <c r="B86" s="5020"/>
      <c r="C86" s="2429" t="s">
        <v>2562</v>
      </c>
      <c r="D86" s="2429" t="s">
        <v>2563</v>
      </c>
      <c r="E86" s="3310">
        <v>0.1</v>
      </c>
      <c r="F86" s="3311">
        <v>15</v>
      </c>
    </row>
    <row r="87" spans="1:6" ht="13.5">
      <c r="A87" s="2449">
        <v>13</v>
      </c>
      <c r="B87" s="5020"/>
      <c r="C87" s="2429" t="s">
        <v>2564</v>
      </c>
      <c r="D87" s="2429" t="s">
        <v>2565</v>
      </c>
      <c r="E87" s="3310">
        <v>0.1</v>
      </c>
      <c r="F87" s="3311">
        <v>15</v>
      </c>
    </row>
    <row r="88" spans="1:6" ht="13.5">
      <c r="A88" s="2449">
        <v>14</v>
      </c>
      <c r="B88" s="5020"/>
      <c r="C88" s="2429" t="s">
        <v>2566</v>
      </c>
      <c r="D88" s="2429" t="s">
        <v>2567</v>
      </c>
      <c r="E88" s="3310">
        <v>0.1</v>
      </c>
      <c r="F88" s="3311">
        <v>15</v>
      </c>
    </row>
    <row r="89" spans="1:6" ht="13.5">
      <c r="A89" s="2449">
        <v>15</v>
      </c>
      <c r="B89" s="5020"/>
      <c r="C89" s="2429" t="s">
        <v>2568</v>
      </c>
      <c r="D89" s="2429" t="s">
        <v>2569</v>
      </c>
      <c r="E89" s="3310">
        <v>0.1</v>
      </c>
      <c r="F89" s="3311">
        <v>15</v>
      </c>
    </row>
    <row r="90" spans="1:6" ht="24">
      <c r="A90" s="2449">
        <v>16</v>
      </c>
      <c r="B90" s="5020"/>
      <c r="C90" s="2429" t="s">
        <v>2570</v>
      </c>
      <c r="D90" s="2429" t="s">
        <v>2571</v>
      </c>
      <c r="E90" s="3310">
        <v>0.1</v>
      </c>
      <c r="F90" s="3311">
        <v>15</v>
      </c>
    </row>
    <row r="91" spans="1:6" ht="24">
      <c r="A91" s="2449">
        <v>17</v>
      </c>
      <c r="B91" s="5026"/>
      <c r="C91" s="2429" t="s">
        <v>2572</v>
      </c>
      <c r="D91" s="2429" t="s">
        <v>2573</v>
      </c>
      <c r="E91" s="3310">
        <v>0.1</v>
      </c>
      <c r="F91" s="3311">
        <v>15</v>
      </c>
    </row>
    <row r="92" spans="1:6" ht="13.5">
      <c r="A92" s="2449">
        <v>18</v>
      </c>
      <c r="B92" s="5021" t="s">
        <v>2574</v>
      </c>
      <c r="C92" s="2429" t="s">
        <v>2575</v>
      </c>
      <c r="D92" s="2429" t="s">
        <v>2576</v>
      </c>
      <c r="E92" s="3310">
        <v>0.2</v>
      </c>
      <c r="F92" s="3311">
        <v>25</v>
      </c>
    </row>
    <row r="93" spans="1:6" ht="24">
      <c r="A93" s="2449">
        <v>19</v>
      </c>
      <c r="B93" s="5020"/>
      <c r="C93" s="2429" t="s">
        <v>2577</v>
      </c>
      <c r="D93" s="2429" t="s">
        <v>2578</v>
      </c>
      <c r="E93" s="3310">
        <v>0.2</v>
      </c>
      <c r="F93" s="3311">
        <v>25</v>
      </c>
    </row>
    <row r="94" spans="1:6" ht="13.5">
      <c r="A94" s="2449">
        <v>20</v>
      </c>
      <c r="B94" s="5020"/>
      <c r="C94" s="2429" t="s">
        <v>2579</v>
      </c>
      <c r="D94" s="2429" t="s">
        <v>2580</v>
      </c>
      <c r="E94" s="3310">
        <v>0.15</v>
      </c>
      <c r="F94" s="3311">
        <v>20</v>
      </c>
    </row>
    <row r="95" spans="1:6" ht="13.5">
      <c r="A95" s="2449">
        <v>21</v>
      </c>
      <c r="B95" s="5020"/>
      <c r="C95" s="2429" t="s">
        <v>2581</v>
      </c>
      <c r="D95" s="2429" t="s">
        <v>2582</v>
      </c>
      <c r="E95" s="3310">
        <v>0.15</v>
      </c>
      <c r="F95" s="3311">
        <v>20</v>
      </c>
    </row>
    <row r="96" spans="1:6" ht="13.5">
      <c r="A96" s="2449">
        <v>22</v>
      </c>
      <c r="B96" s="5020"/>
      <c r="C96" s="2429" t="s">
        <v>2583</v>
      </c>
      <c r="D96" s="2429" t="s">
        <v>2584</v>
      </c>
      <c r="E96" s="3310">
        <v>0.15</v>
      </c>
      <c r="F96" s="3311">
        <v>20</v>
      </c>
    </row>
    <row r="97" spans="1:6" ht="36">
      <c r="A97" s="2449">
        <v>23</v>
      </c>
      <c r="B97" s="5020"/>
      <c r="C97" s="2429" t="s">
        <v>2585</v>
      </c>
      <c r="D97" s="2429" t="s">
        <v>2586</v>
      </c>
      <c r="E97" s="3310">
        <v>0.15</v>
      </c>
      <c r="F97" s="3311">
        <v>20</v>
      </c>
    </row>
    <row r="98" spans="1:6" ht="13.5">
      <c r="A98" s="2449">
        <v>24</v>
      </c>
      <c r="B98" s="5020"/>
      <c r="C98" s="2429" t="s">
        <v>2587</v>
      </c>
      <c r="D98" s="2429" t="s">
        <v>2588</v>
      </c>
      <c r="E98" s="3310">
        <v>0.1</v>
      </c>
      <c r="F98" s="3311">
        <v>15</v>
      </c>
    </row>
    <row r="99" spans="1:6" ht="13.5">
      <c r="A99" s="2449">
        <v>25</v>
      </c>
      <c r="B99" s="5020"/>
      <c r="C99" s="2429" t="s">
        <v>2589</v>
      </c>
      <c r="D99" s="2429" t="s">
        <v>2590</v>
      </c>
      <c r="E99" s="3310">
        <v>0.1</v>
      </c>
      <c r="F99" s="3311">
        <v>15</v>
      </c>
    </row>
    <row r="100" spans="1:6" ht="24">
      <c r="A100" s="2449">
        <v>26</v>
      </c>
      <c r="B100" s="5020"/>
      <c r="C100" s="2429" t="s">
        <v>2591</v>
      </c>
      <c r="D100" s="2429" t="s">
        <v>2592</v>
      </c>
      <c r="E100" s="3310">
        <v>0.1</v>
      </c>
      <c r="F100" s="3311">
        <v>15</v>
      </c>
    </row>
    <row r="101" spans="1:6" ht="24">
      <c r="A101" s="2449">
        <v>27</v>
      </c>
      <c r="B101" s="5020"/>
      <c r="C101" s="2429" t="s">
        <v>2593</v>
      </c>
      <c r="D101" s="2429" t="s">
        <v>2594</v>
      </c>
      <c r="E101" s="3310">
        <v>0.1</v>
      </c>
      <c r="F101" s="3311">
        <v>15</v>
      </c>
    </row>
    <row r="102" spans="1:6" ht="13.5">
      <c r="A102" s="2449">
        <v>28</v>
      </c>
      <c r="B102" s="5020"/>
      <c r="C102" s="2429" t="s">
        <v>2595</v>
      </c>
      <c r="D102" s="2429" t="s">
        <v>2596</v>
      </c>
      <c r="E102" s="3310">
        <v>0.1</v>
      </c>
      <c r="F102" s="3311">
        <v>15</v>
      </c>
    </row>
    <row r="103" spans="1:6" ht="13.5">
      <c r="A103" s="2449">
        <v>29</v>
      </c>
      <c r="B103" s="5020"/>
      <c r="C103" s="2429" t="s">
        <v>2597</v>
      </c>
      <c r="D103" s="2429" t="s">
        <v>2598</v>
      </c>
      <c r="E103" s="3310">
        <v>0.1</v>
      </c>
      <c r="F103" s="3311">
        <v>15</v>
      </c>
    </row>
    <row r="104" spans="1:6" ht="13.5">
      <c r="A104" s="2449">
        <v>30</v>
      </c>
      <c r="B104" s="5020"/>
      <c r="C104" s="2429" t="s">
        <v>2599</v>
      </c>
      <c r="D104" s="2429" t="s">
        <v>2600</v>
      </c>
      <c r="E104" s="3310">
        <v>0.1</v>
      </c>
      <c r="F104" s="3311">
        <v>15</v>
      </c>
    </row>
    <row r="105" spans="1:6" ht="24">
      <c r="A105" s="2449">
        <v>31</v>
      </c>
      <c r="B105" s="5020"/>
      <c r="C105" s="2429" t="s">
        <v>2601</v>
      </c>
      <c r="D105" s="2429" t="s">
        <v>2602</v>
      </c>
      <c r="E105" s="3310">
        <v>0.1</v>
      </c>
      <c r="F105" s="3311">
        <v>15</v>
      </c>
    </row>
    <row r="106" spans="1:6" ht="24">
      <c r="A106" s="2449">
        <v>32</v>
      </c>
      <c r="B106" s="5020"/>
      <c r="C106" s="2429" t="s">
        <v>2603</v>
      </c>
      <c r="D106" s="2429" t="s">
        <v>2604</v>
      </c>
      <c r="E106" s="3310">
        <v>0.1</v>
      </c>
      <c r="F106" s="3311">
        <v>15</v>
      </c>
    </row>
    <row r="107" spans="1:6" ht="24">
      <c r="A107" s="2449">
        <v>33</v>
      </c>
      <c r="B107" s="5020"/>
      <c r="C107" s="2429" t="s">
        <v>2605</v>
      </c>
      <c r="D107" s="2429" t="s">
        <v>2606</v>
      </c>
      <c r="E107" s="3310">
        <v>0.1</v>
      </c>
      <c r="F107" s="3311">
        <v>15</v>
      </c>
    </row>
    <row r="108" spans="1:6" ht="24">
      <c r="A108" s="2449">
        <v>34</v>
      </c>
      <c r="B108" s="5026"/>
      <c r="C108" s="2429" t="s">
        <v>2607</v>
      </c>
      <c r="D108" s="2429" t="s">
        <v>2608</v>
      </c>
      <c r="E108" s="3310">
        <v>0.1</v>
      </c>
      <c r="F108" s="3311">
        <v>15</v>
      </c>
    </row>
    <row r="109" spans="1:6" ht="24">
      <c r="A109" s="2449">
        <v>35</v>
      </c>
      <c r="B109" s="5021" t="s">
        <v>2609</v>
      </c>
      <c r="C109" s="2449" t="s">
        <v>2610</v>
      </c>
      <c r="D109" s="2429" t="s">
        <v>2611</v>
      </c>
      <c r="E109" s="3310">
        <v>0.15</v>
      </c>
      <c r="F109" s="3311">
        <v>20</v>
      </c>
    </row>
    <row r="110" spans="1:6" ht="13.5">
      <c r="A110" s="2449">
        <v>36</v>
      </c>
      <c r="B110" s="5020"/>
      <c r="C110" s="2449" t="s">
        <v>2612</v>
      </c>
      <c r="D110" s="2429" t="s">
        <v>2613</v>
      </c>
      <c r="E110" s="3310">
        <v>0.15</v>
      </c>
      <c r="F110" s="3311">
        <v>20</v>
      </c>
    </row>
    <row r="111" spans="1:6" ht="13.5">
      <c r="A111" s="2449">
        <v>37</v>
      </c>
      <c r="B111" s="5020"/>
      <c r="C111" s="2449" t="s">
        <v>2614</v>
      </c>
      <c r="D111" s="2429" t="s">
        <v>2615</v>
      </c>
      <c r="E111" s="3310">
        <v>0.15</v>
      </c>
      <c r="F111" s="3311">
        <v>20</v>
      </c>
    </row>
    <row r="112" spans="1:6" ht="13.5">
      <c r="A112" s="2449">
        <v>38</v>
      </c>
      <c r="B112" s="5020"/>
      <c r="C112" s="2449" t="s">
        <v>2616</v>
      </c>
      <c r="D112" s="2429" t="s">
        <v>2617</v>
      </c>
      <c r="E112" s="3310">
        <v>0.1</v>
      </c>
      <c r="F112" s="3311">
        <v>15</v>
      </c>
    </row>
    <row r="113" spans="1:6" ht="24">
      <c r="A113" s="2449">
        <v>39</v>
      </c>
      <c r="B113" s="5020"/>
      <c r="C113" s="2449" t="s">
        <v>2618</v>
      </c>
      <c r="D113" s="2429" t="s">
        <v>2619</v>
      </c>
      <c r="E113" s="3310">
        <v>0.1</v>
      </c>
      <c r="F113" s="3311">
        <v>15</v>
      </c>
    </row>
    <row r="114" spans="1:6" ht="24">
      <c r="A114" s="2449">
        <v>40</v>
      </c>
      <c r="B114" s="5026"/>
      <c r="C114" s="2449" t="s">
        <v>2620</v>
      </c>
      <c r="D114" s="2429" t="s">
        <v>2621</v>
      </c>
      <c r="E114" s="3310">
        <v>0.1</v>
      </c>
      <c r="F114" s="3311">
        <v>15</v>
      </c>
    </row>
    <row r="115" spans="1:6" ht="13.5">
      <c r="A115" s="2449">
        <v>41</v>
      </c>
      <c r="B115" s="5014" t="s">
        <v>2622</v>
      </c>
      <c r="C115" s="2449" t="s">
        <v>2623</v>
      </c>
      <c r="D115" s="2429" t="s">
        <v>2624</v>
      </c>
      <c r="E115" s="3310">
        <v>0.1</v>
      </c>
      <c r="F115" s="3311">
        <v>15</v>
      </c>
    </row>
    <row r="116" spans="1:6" ht="13.5">
      <c r="A116" s="2449">
        <v>42</v>
      </c>
      <c r="B116" s="5014"/>
      <c r="C116" s="2449" t="s">
        <v>2625</v>
      </c>
      <c r="D116" s="2429" t="s">
        <v>2626</v>
      </c>
      <c r="E116" s="3310">
        <v>0.1</v>
      </c>
      <c r="F116" s="3311">
        <v>15</v>
      </c>
    </row>
    <row r="117" spans="1:6" ht="24">
      <c r="A117" s="2449">
        <v>43</v>
      </c>
      <c r="B117" s="5014"/>
      <c r="C117" s="2449" t="s">
        <v>2627</v>
      </c>
      <c r="D117" s="2429" t="s">
        <v>2628</v>
      </c>
      <c r="E117" s="3310">
        <v>0.1</v>
      </c>
      <c r="F117" s="3311">
        <v>15</v>
      </c>
    </row>
    <row r="118" spans="1:6" ht="13.5">
      <c r="A118" s="2449">
        <v>44</v>
      </c>
      <c r="B118" s="5021" t="s">
        <v>2629</v>
      </c>
      <c r="C118" s="2449" t="s">
        <v>2630</v>
      </c>
      <c r="D118" s="2429" t="s">
        <v>2631</v>
      </c>
      <c r="E118" s="3310">
        <v>0.1</v>
      </c>
      <c r="F118" s="3311">
        <v>15</v>
      </c>
    </row>
    <row r="119" spans="1:6" ht="24">
      <c r="A119" s="2449">
        <v>45</v>
      </c>
      <c r="B119" s="5026"/>
      <c r="C119" s="2429" t="s">
        <v>2632</v>
      </c>
      <c r="D119" s="2429" t="s">
        <v>2633</v>
      </c>
      <c r="E119" s="3310">
        <v>0.1</v>
      </c>
      <c r="F119" s="3311">
        <v>15</v>
      </c>
    </row>
    <row r="120" spans="1:6" ht="24">
      <c r="A120" s="2449">
        <v>46</v>
      </c>
      <c r="B120" s="5021" t="s">
        <v>2634</v>
      </c>
      <c r="C120" s="2449" t="s">
        <v>2635</v>
      </c>
      <c r="D120" s="2429" t="s">
        <v>2636</v>
      </c>
      <c r="E120" s="3310">
        <v>0.1</v>
      </c>
      <c r="F120" s="3311">
        <v>15</v>
      </c>
    </row>
    <row r="121" spans="1:6" ht="24">
      <c r="A121" s="2449">
        <v>47</v>
      </c>
      <c r="B121" s="5026"/>
      <c r="C121" s="2449" t="s">
        <v>2637</v>
      </c>
      <c r="D121" s="2429" t="s">
        <v>2638</v>
      </c>
      <c r="E121" s="3310">
        <v>0.1</v>
      </c>
      <c r="F121" s="3311">
        <v>15</v>
      </c>
    </row>
    <row r="122" spans="1:6" ht="13.5">
      <c r="A122" s="2449">
        <v>48</v>
      </c>
      <c r="B122" s="5021" t="s">
        <v>2639</v>
      </c>
      <c r="C122" s="2449" t="s">
        <v>2640</v>
      </c>
      <c r="D122" s="2429" t="s">
        <v>2641</v>
      </c>
      <c r="E122" s="3310">
        <v>0.1</v>
      </c>
      <c r="F122" s="3311">
        <v>15</v>
      </c>
    </row>
    <row r="123" spans="1:6" ht="13.5">
      <c r="A123" s="2449">
        <v>49</v>
      </c>
      <c r="B123" s="5026"/>
      <c r="C123" s="2449" t="s">
        <v>2642</v>
      </c>
      <c r="D123" s="2429" t="s">
        <v>2643</v>
      </c>
      <c r="E123" s="3310">
        <v>0.1</v>
      </c>
      <c r="F123" s="3311">
        <v>15</v>
      </c>
    </row>
    <row r="124" spans="1:6" ht="24">
      <c r="A124" s="2449">
        <v>50</v>
      </c>
      <c r="B124" s="5014" t="s">
        <v>2644</v>
      </c>
      <c r="C124" s="2449" t="s">
        <v>2645</v>
      </c>
      <c r="D124" s="2429" t="s">
        <v>2646</v>
      </c>
      <c r="E124" s="3310">
        <v>0.1</v>
      </c>
      <c r="F124" s="3311">
        <v>15</v>
      </c>
    </row>
    <row r="125" spans="1:6" ht="24">
      <c r="A125" s="2449">
        <v>51</v>
      </c>
      <c r="B125" s="5014"/>
      <c r="C125" s="2449" t="s">
        <v>2647</v>
      </c>
      <c r="D125" s="2429" t="s">
        <v>2648</v>
      </c>
      <c r="E125" s="3310">
        <v>0.1</v>
      </c>
      <c r="F125" s="3311">
        <v>15</v>
      </c>
    </row>
    <row r="126" spans="1:6" ht="24">
      <c r="A126" s="2449">
        <v>52</v>
      </c>
      <c r="B126" s="5014" t="s">
        <v>2649</v>
      </c>
      <c r="C126" s="2449" t="s">
        <v>2650</v>
      </c>
      <c r="D126" s="2429" t="s">
        <v>2651</v>
      </c>
      <c r="E126" s="3310">
        <v>0.1</v>
      </c>
      <c r="F126" s="3311">
        <v>15</v>
      </c>
    </row>
    <row r="127" spans="1:6" ht="24">
      <c r="A127" s="2449">
        <v>53</v>
      </c>
      <c r="B127" s="5014"/>
      <c r="C127" s="2449" t="s">
        <v>2652</v>
      </c>
      <c r="D127" s="2429" t="s">
        <v>2653</v>
      </c>
      <c r="E127" s="3310">
        <v>0.1</v>
      </c>
      <c r="F127" s="3311">
        <v>15</v>
      </c>
    </row>
    <row r="128" spans="1:6" ht="13.5">
      <c r="A128" s="2449">
        <v>54</v>
      </c>
      <c r="B128" s="2449" t="s">
        <v>2654</v>
      </c>
      <c r="C128" s="2449" t="s">
        <v>2655</v>
      </c>
      <c r="D128" s="2429" t="s">
        <v>2656</v>
      </c>
      <c r="E128" s="3310">
        <v>0.1</v>
      </c>
      <c r="F128" s="3311">
        <v>15</v>
      </c>
    </row>
    <row r="129" spans="1:6" ht="13.5">
      <c r="A129" s="2449">
        <v>55</v>
      </c>
      <c r="B129" s="5014" t="s">
        <v>2657</v>
      </c>
      <c r="C129" s="2449" t="s">
        <v>2658</v>
      </c>
      <c r="D129" s="2429" t="s">
        <v>2659</v>
      </c>
      <c r="E129" s="3310">
        <v>0.1</v>
      </c>
      <c r="F129" s="3311">
        <v>15</v>
      </c>
    </row>
    <row r="130" spans="1:6" ht="13.5">
      <c r="A130" s="2449">
        <v>56</v>
      </c>
      <c r="B130" s="5014"/>
      <c r="C130" s="2449" t="s">
        <v>2660</v>
      </c>
      <c r="D130" s="2429" t="s">
        <v>2661</v>
      </c>
      <c r="E130" s="3310">
        <v>0.1</v>
      </c>
      <c r="F130" s="3311">
        <v>15</v>
      </c>
    </row>
    <row r="131" spans="1:6" ht="24">
      <c r="A131" s="2449">
        <v>57</v>
      </c>
      <c r="B131" s="5014"/>
      <c r="C131" s="2449" t="s">
        <v>2662</v>
      </c>
      <c r="D131" s="2429" t="s">
        <v>2663</v>
      </c>
      <c r="E131" s="3310">
        <v>0.1</v>
      </c>
      <c r="F131" s="3311">
        <v>15</v>
      </c>
    </row>
    <row r="132" spans="1:6" ht="24">
      <c r="A132" s="2449">
        <v>58</v>
      </c>
      <c r="B132" s="5014" t="s">
        <v>2664</v>
      </c>
      <c r="C132" s="2449" t="s">
        <v>2665</v>
      </c>
      <c r="D132" s="2429" t="s">
        <v>2666</v>
      </c>
      <c r="E132" s="3310">
        <v>0.1</v>
      </c>
      <c r="F132" s="3311">
        <v>15</v>
      </c>
    </row>
    <row r="133" spans="1:6" ht="13.5">
      <c r="A133" s="2449">
        <v>59</v>
      </c>
      <c r="B133" s="5014"/>
      <c r="C133" s="2449" t="s">
        <v>2667</v>
      </c>
      <c r="D133" s="2429" t="s">
        <v>2668</v>
      </c>
      <c r="E133" s="3310">
        <v>0.1</v>
      </c>
      <c r="F133" s="3311">
        <v>15</v>
      </c>
    </row>
    <row r="134" spans="1:6" ht="13.5">
      <c r="A134" s="2449">
        <v>60</v>
      </c>
      <c r="B134" s="5021" t="s">
        <v>2669</v>
      </c>
      <c r="C134" s="2449" t="s">
        <v>2670</v>
      </c>
      <c r="D134" s="2429" t="s">
        <v>2671</v>
      </c>
      <c r="E134" s="3310">
        <v>0.1</v>
      </c>
      <c r="F134" s="3311">
        <v>15</v>
      </c>
    </row>
    <row r="135" spans="1:6" ht="13.5">
      <c r="A135" s="2449">
        <v>61</v>
      </c>
      <c r="B135" s="5026"/>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13.5">
      <c r="A137" s="2449">
        <v>63</v>
      </c>
      <c r="B137" s="5014" t="s">
        <v>2677</v>
      </c>
      <c r="C137" s="2449" t="s">
        <v>2678</v>
      </c>
      <c r="D137" s="2429" t="s">
        <v>2679</v>
      </c>
      <c r="E137" s="3310">
        <v>0.1</v>
      </c>
      <c r="F137" s="3311">
        <v>15</v>
      </c>
    </row>
    <row r="138" spans="1:6" ht="13.5">
      <c r="A138" s="2449">
        <v>64</v>
      </c>
      <c r="B138" s="5014"/>
      <c r="C138" s="2449" t="s">
        <v>2680</v>
      </c>
      <c r="D138" s="2429" t="s">
        <v>2681</v>
      </c>
      <c r="E138" s="3310">
        <v>0.1</v>
      </c>
      <c r="F138" s="3311">
        <v>15</v>
      </c>
    </row>
    <row r="139" spans="1:6" ht="13.5">
      <c r="A139" s="2449">
        <v>65</v>
      </c>
      <c r="B139" s="2449" t="s">
        <v>2682</v>
      </c>
      <c r="C139" s="2449" t="s">
        <v>2683</v>
      </c>
      <c r="D139" s="2429" t="s">
        <v>2684</v>
      </c>
      <c r="E139" s="3310">
        <v>0.1</v>
      </c>
      <c r="F139" s="3311">
        <v>15</v>
      </c>
    </row>
    <row r="140" spans="1:6" ht="13.5">
      <c r="A140" s="2449"/>
      <c r="B140" s="2449"/>
      <c r="C140" s="2449"/>
      <c r="D140" s="2449"/>
      <c r="E140" s="2449" t="s">
        <v>2685</v>
      </c>
      <c r="F140" s="2449"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1.2302</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1.1198999999999999</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23178</v>
      </c>
      <c r="C2" s="2" t="s">
        <v>104</v>
      </c>
      <c r="D2" s="98"/>
      <c r="E2" s="98"/>
      <c r="F2" s="98"/>
      <c r="G2" s="98"/>
    </row>
    <row r="3" spans="1:7" s="99" customFormat="1" ht="18" customHeight="1" thickBot="1">
      <c r="A3" s="102" t="s">
        <v>56</v>
      </c>
      <c r="B3" s="103">
        <f ca="1">ROUND(B2*10000/'数据-汇总表'!E3,0)</f>
        <v>220156</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17</v>
      </c>
      <c r="D10" s="568">
        <f>'数据-汇总表'!E6</f>
        <v>1052.8</v>
      </c>
      <c r="E10" s="124">
        <f>'数据-取费表'!B28</f>
        <v>160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26</v>
      </c>
      <c r="D19" s="572">
        <f>'数据-汇总表'!E3</f>
        <v>1052.8</v>
      </c>
      <c r="E19" s="110">
        <f>'数据-取费表'!B31</f>
        <v>250</v>
      </c>
      <c r="F19" s="130"/>
      <c r="G19" s="1" t="s">
        <v>430</v>
      </c>
    </row>
    <row r="20" spans="1:7" s="113" customFormat="1" ht="13.5" customHeight="1">
      <c r="A20" s="537" t="s">
        <v>413</v>
      </c>
      <c r="B20" s="109" t="s">
        <v>75</v>
      </c>
      <c r="C20" s="131">
        <f>ROUND((C5+C19)*F20,0)</f>
        <v>310</v>
      </c>
      <c r="D20" s="131"/>
      <c r="E20" s="131"/>
      <c r="F20" s="132">
        <f>'数据-取费表'!B38</f>
        <v>1.4999999999999999E-2</v>
      </c>
      <c r="G20" s="743" t="s">
        <v>424</v>
      </c>
    </row>
    <row r="21" spans="1:7" s="113" customFormat="1" ht="13.5" customHeight="1">
      <c r="A21" s="537" t="s">
        <v>415</v>
      </c>
      <c r="B21" s="109" t="s">
        <v>76</v>
      </c>
      <c r="C21" s="134">
        <f>F21</f>
        <v>1.4999999999999999E-2</v>
      </c>
      <c r="D21" s="135" t="s">
        <v>97</v>
      </c>
      <c r="E21" s="131"/>
      <c r="F21" s="132">
        <f>'数据-取费表'!B39</f>
        <v>1.4999999999999999E-2</v>
      </c>
      <c r="G21" s="133" t="s">
        <v>77</v>
      </c>
    </row>
    <row r="22" spans="1:7" s="113" customFormat="1" ht="13.5" customHeight="1">
      <c r="A22" s="537" t="s">
        <v>339</v>
      </c>
      <c r="B22" s="109" t="s">
        <v>78</v>
      </c>
      <c r="C22" s="779">
        <f ca="1">ROUND(SUM(C23:C25),0)</f>
        <v>624</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1</v>
      </c>
      <c r="D24" s="137"/>
      <c r="E24" s="137"/>
      <c r="F24" s="138"/>
      <c r="G24" s="139" t="s">
        <v>80</v>
      </c>
    </row>
    <row r="25" spans="1:7" s="113" customFormat="1" ht="24">
      <c r="A25" s="540" t="s">
        <v>346</v>
      </c>
      <c r="B25" s="114" t="s">
        <v>414</v>
      </c>
      <c r="C25" s="780">
        <f ca="1">ROUND(IF('数据-取费表'!B22&lt;=1,C20*F22*'数据-取费表'!B23/2,C20*(POWER((1+F22),'数据-取费表'!B23/2)-1)),0)</f>
        <v>5</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4.75">
      <c r="A27" s="537" t="s">
        <v>340</v>
      </c>
      <c r="B27" s="143" t="s">
        <v>83</v>
      </c>
      <c r="C27" s="144">
        <f>C28</f>
        <v>1047</v>
      </c>
      <c r="D27" s="134">
        <f>C29</f>
        <v>8.0000000000000004E-4</v>
      </c>
      <c r="E27" s="135" t="s">
        <v>97</v>
      </c>
      <c r="F27" s="145">
        <f>'数据-取费表'!Q16</f>
        <v>0.05</v>
      </c>
      <c r="G27" s="146" t="s">
        <v>425</v>
      </c>
    </row>
    <row r="28" spans="1:7" s="113" customFormat="1" ht="13.5" customHeight="1">
      <c r="A28" s="540" t="s">
        <v>347</v>
      </c>
      <c r="B28" s="147" t="s">
        <v>418</v>
      </c>
      <c r="C28" s="148">
        <f>ROUND((C5+C19+C20)*F27*'数据-取费表'!B21/'数据-取费表'!B20,0)</f>
        <v>1047</v>
      </c>
      <c r="D28" s="134"/>
      <c r="E28" s="135"/>
      <c r="F28" s="145"/>
      <c r="G28" s="146"/>
    </row>
    <row r="29" spans="1:7" s="113" customFormat="1" ht="13.5" customHeight="1">
      <c r="A29" s="540" t="s">
        <v>345</v>
      </c>
      <c r="B29" s="147" t="s">
        <v>419</v>
      </c>
      <c r="C29" s="137">
        <f>ROUND(C21*F27*'数据-取费表'!B21/'数据-取费表'!B20,4)</f>
        <v>8.0000000000000004E-4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22985</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270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232</v>
      </c>
      <c r="D34" s="116"/>
      <c r="E34" s="119"/>
      <c r="F34" s="156">
        <f>IF('数据-取费表'!B24=0,1,'数据-取费表'!N16)</f>
        <v>1</v>
      </c>
      <c r="G34" s="118" t="s">
        <v>87</v>
      </c>
    </row>
    <row r="35" spans="1:7" ht="13.5" customHeight="1">
      <c r="A35" s="540" t="s">
        <v>349</v>
      </c>
      <c r="B35" s="114" t="s">
        <v>31</v>
      </c>
      <c r="C35" s="119">
        <f>ROUND(C34*F35,0)</f>
        <v>12</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21</v>
      </c>
      <c r="D37" s="116">
        <f>'数据-汇总表'!E3</f>
        <v>1052.8</v>
      </c>
      <c r="E37" s="148">
        <f>'数据-取费表'!B35</f>
        <v>200</v>
      </c>
      <c r="F37" s="158"/>
      <c r="G37" s="160" t="s">
        <v>90</v>
      </c>
    </row>
    <row r="38" spans="1:7" ht="13.5" customHeight="1">
      <c r="A38" s="540" t="s">
        <v>352</v>
      </c>
      <c r="B38" s="114" t="s">
        <v>34</v>
      </c>
      <c r="C38" s="119">
        <f>ROUND(C34*F38,0)</f>
        <v>5</v>
      </c>
      <c r="D38" s="119"/>
      <c r="E38" s="119"/>
      <c r="F38" s="158">
        <f>'数据-取费表'!B36</f>
        <v>0.02</v>
      </c>
      <c r="G38" s="118" t="s">
        <v>88</v>
      </c>
    </row>
    <row r="39" spans="1:7" s="113" customFormat="1" ht="13.5" customHeight="1">
      <c r="A39" s="537" t="s">
        <v>336</v>
      </c>
      <c r="B39" s="109" t="s">
        <v>75</v>
      </c>
      <c r="C39" s="131">
        <f>ROUND(C33*F20,0)</f>
        <v>4</v>
      </c>
      <c r="D39" s="131"/>
      <c r="E39" s="131"/>
      <c r="F39" s="132"/>
      <c r="G39" s="743" t="s">
        <v>427</v>
      </c>
    </row>
    <row r="40" spans="1:7" s="113" customFormat="1" ht="13.5" customHeight="1">
      <c r="A40" s="537" t="s">
        <v>337</v>
      </c>
      <c r="B40" s="109" t="s">
        <v>76</v>
      </c>
      <c r="C40" s="161">
        <f>F21</f>
        <v>1.4999999999999999E-2</v>
      </c>
      <c r="D40" s="135" t="s">
        <v>100</v>
      </c>
      <c r="E40" s="131"/>
      <c r="F40" s="132"/>
      <c r="G40" s="133" t="s">
        <v>91</v>
      </c>
    </row>
    <row r="41" spans="1:7" s="113" customFormat="1" ht="13.5" customHeight="1">
      <c r="A41" s="537" t="s">
        <v>338</v>
      </c>
      <c r="B41" s="109" t="s">
        <v>78</v>
      </c>
      <c r="C41" s="131">
        <f ca="1">ROUND(SUM(C42:C43),0)</f>
        <v>4</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4</v>
      </c>
      <c r="D42" s="137"/>
      <c r="E42" s="137"/>
      <c r="F42" s="138"/>
      <c r="G42" s="4831" t="s">
        <v>92</v>
      </c>
    </row>
    <row r="43" spans="1:7" ht="13.5" customHeight="1">
      <c r="A43" s="540" t="s">
        <v>345</v>
      </c>
      <c r="B43" s="114" t="s">
        <v>420</v>
      </c>
      <c r="C43" s="137">
        <f ca="1">ROUND(IF('数据-取费表'!B22&lt;=1,C39*F22*'数据-取费表'!B21/2,C39*(POWER((1+F22),'数据-取费表'!B21/2)-1)),0)</f>
        <v>0</v>
      </c>
      <c r="D43" s="137"/>
      <c r="E43" s="137"/>
      <c r="F43" s="138"/>
      <c r="G43" s="4833"/>
    </row>
    <row r="44" spans="1:7" ht="13.5" customHeight="1">
      <c r="A44" s="540" t="s">
        <v>346</v>
      </c>
      <c r="B44" s="114" t="s">
        <v>422</v>
      </c>
      <c r="C44" s="137">
        <f ca="1">ROUND(IF('数据-取费表'!B22&lt;=1,C40*F22*'数据-取费表'!B21/2,C40*(POWER((1+F22),'数据-取费表'!B21/2)-1)),4)</f>
        <v>2.0000000000000001E-4</v>
      </c>
      <c r="D44" s="137"/>
      <c r="E44" s="137"/>
      <c r="F44" s="138"/>
      <c r="G44" s="4832"/>
    </row>
    <row r="45" spans="1:7" s="113" customFormat="1" ht="13.5" customHeight="1">
      <c r="A45" s="537" t="s">
        <v>339</v>
      </c>
      <c r="B45" s="143" t="s">
        <v>83</v>
      </c>
      <c r="C45" s="144">
        <f>C46</f>
        <v>14</v>
      </c>
      <c r="D45" s="134">
        <f>C47</f>
        <v>8.0000000000000004E-4</v>
      </c>
      <c r="E45" s="135" t="s">
        <v>100</v>
      </c>
      <c r="F45" s="145"/>
      <c r="G45" s="146" t="s">
        <v>428</v>
      </c>
    </row>
    <row r="46" spans="1:7" s="113" customFormat="1" ht="13.5" customHeight="1">
      <c r="A46" s="540" t="s">
        <v>347</v>
      </c>
      <c r="B46" s="147" t="s">
        <v>421</v>
      </c>
      <c r="C46" s="148">
        <f>ROUND((C33+C39)*F27,0)</f>
        <v>14</v>
      </c>
      <c r="D46" s="162"/>
      <c r="E46" s="135"/>
      <c r="F46" s="145"/>
      <c r="G46" s="146"/>
    </row>
    <row r="47" spans="1:7" s="113" customFormat="1" ht="13.5" customHeight="1">
      <c r="A47" s="540" t="s">
        <v>345</v>
      </c>
      <c r="B47" s="147" t="s">
        <v>423</v>
      </c>
      <c r="C47" s="137">
        <f>ROUND(C40*F27,4)</f>
        <v>8.0000000000000004E-4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297</v>
      </c>
      <c r="D49" s="131"/>
      <c r="E49" s="131"/>
      <c r="F49" s="163"/>
      <c r="G49" s="133" t="s">
        <v>429</v>
      </c>
    </row>
    <row r="50" spans="1:7" s="157" customFormat="1" ht="24">
      <c r="A50" s="537" t="s">
        <v>342</v>
      </c>
      <c r="B50" s="109" t="s">
        <v>95</v>
      </c>
      <c r="C50" s="131"/>
      <c r="D50" s="131"/>
      <c r="E50" s="131"/>
      <c r="F50" s="163">
        <f>IF('数据-取费表'!B24=0,'数据-取费表'!N16,1)</f>
        <v>0.65</v>
      </c>
      <c r="G50" s="146" t="s">
        <v>96</v>
      </c>
    </row>
    <row r="51" spans="1:7" ht="16.5" customHeight="1">
      <c r="A51" s="537" t="s">
        <v>343</v>
      </c>
      <c r="B51" s="109" t="s">
        <v>103</v>
      </c>
      <c r="C51" s="131">
        <f ca="1">ROUND(C49*F50,0)</f>
        <v>193</v>
      </c>
      <c r="D51" s="131"/>
      <c r="E51" s="131"/>
      <c r="F51" s="163"/>
      <c r="G51" s="133" t="s">
        <v>35</v>
      </c>
    </row>
    <row r="52" spans="1:7" s="107" customFormat="1" ht="16.5" thickBot="1">
      <c r="A52" s="164" t="s">
        <v>36</v>
      </c>
      <c r="B52" s="165"/>
      <c r="C52" s="166">
        <f ca="1">C31+C51</f>
        <v>23178</v>
      </c>
      <c r="D52" s="165"/>
      <c r="E52" s="165"/>
      <c r="F52" s="165"/>
      <c r="G52" s="167"/>
    </row>
    <row r="55" spans="1:7" ht="15">
      <c r="B55" s="169" t="s">
        <v>37</v>
      </c>
      <c r="C55" s="170"/>
    </row>
    <row r="56" spans="1:7">
      <c r="B56" s="172" t="s">
        <v>38</v>
      </c>
      <c r="C56" s="173">
        <f ca="1">ROUND(C51/C52,3)</f>
        <v>8.0000000000000002E-3</v>
      </c>
    </row>
    <row r="57" spans="1:7">
      <c r="B57" s="172" t="s">
        <v>39</v>
      </c>
      <c r="C57" s="174">
        <f ca="1">1-C56</f>
        <v>0.99199999999999999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27" t="s">
        <v>3069</v>
      </c>
      <c r="B1" s="5027"/>
    </row>
    <row r="2" spans="1:7" ht="14.25" thickBot="1">
      <c r="A2" s="2569"/>
      <c r="B2" s="2569"/>
    </row>
    <row r="3" spans="1:7" ht="14.25" thickBot="1">
      <c r="A3" s="2569"/>
      <c r="B3" s="2569"/>
      <c r="C3" s="2570" t="s">
        <v>2699</v>
      </c>
      <c r="D3" s="2570" t="s">
        <v>2755</v>
      </c>
      <c r="E3" s="2570" t="s">
        <v>2701</v>
      </c>
      <c r="F3" s="2570" t="s">
        <v>2756</v>
      </c>
      <c r="G3" s="2570" t="s">
        <v>2519</v>
      </c>
    </row>
    <row r="4" spans="1:7" ht="14.2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4.2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4.2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4.2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4.2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4.2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4.2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4.2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4.2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4.2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4.2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28" t="s">
        <v>3120</v>
      </c>
      <c r="B1" s="5028"/>
      <c r="C1" s="5028"/>
      <c r="D1" s="5028"/>
      <c r="E1" s="5028"/>
      <c r="F1" s="5029"/>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RowHeight="13.5"/>
  <cols>
    <col min="1" max="1" width="13.875" customWidth="1"/>
    <col min="11" max="17" width="9" customWidth="1"/>
    <col min="25" max="30" width="0" hidden="1" customWidth="1"/>
  </cols>
  <sheetData>
    <row r="1" spans="1:44">
      <c r="A1" s="2539">
        <f>基准地价修正!G23</f>
        <v>46077</v>
      </c>
      <c r="B1" s="2528" t="s">
        <v>3263</v>
      </c>
      <c r="C1" s="2529"/>
      <c r="D1" s="2529"/>
      <c r="E1" s="2529"/>
      <c r="F1" s="2529"/>
      <c r="G1" s="2529"/>
      <c r="H1" s="2529"/>
      <c r="I1" s="2529"/>
      <c r="J1" s="2495"/>
      <c r="K1" s="2529" t="s">
        <v>448</v>
      </c>
      <c r="L1" s="2529"/>
      <c r="M1" s="2529"/>
      <c r="N1" s="2529"/>
      <c r="O1" s="2529"/>
      <c r="P1" s="2529"/>
      <c r="Q1" s="2495"/>
      <c r="R1" s="5030" t="s">
        <v>450</v>
      </c>
      <c r="S1" s="5031"/>
      <c r="T1" s="5031"/>
      <c r="U1" s="5031"/>
      <c r="V1" s="5031"/>
      <c r="W1" s="5031"/>
      <c r="X1" s="2495"/>
      <c r="Y1" s="5030" t="s">
        <v>451</v>
      </c>
      <c r="Z1" s="5031"/>
      <c r="AA1" s="5031"/>
      <c r="AB1" s="5031"/>
      <c r="AC1" s="5031"/>
      <c r="AD1" s="5031"/>
    </row>
    <row r="2" spans="1:44" s="2474" customFormat="1" ht="14.2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2.75">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3266</v>
      </c>
    </row>
    <row r="31" spans="1:44" s="2373" customFormat="1">
      <c r="I31" s="2526" t="s">
        <v>2713</v>
      </c>
    </row>
    <row r="32" spans="1:44" s="2373" customFormat="1"/>
    <row r="33" spans="1:44" s="2527" customFormat="1" ht="12.75">
      <c r="B33" s="2528" t="s">
        <v>3264</v>
      </c>
      <c r="C33" s="2529"/>
      <c r="D33" s="2529"/>
      <c r="E33" s="2529"/>
      <c r="F33" s="2529"/>
      <c r="G33" s="2529"/>
      <c r="H33" s="2529"/>
      <c r="I33" s="2529"/>
      <c r="J33" s="2495"/>
      <c r="K33" s="2529" t="s">
        <v>2714</v>
      </c>
      <c r="L33" s="2529"/>
      <c r="M33" s="2529"/>
      <c r="N33" s="2529"/>
      <c r="O33" s="2529"/>
      <c r="P33" s="2529"/>
      <c r="Q33" s="2495"/>
      <c r="R33" s="5030" t="s">
        <v>2715</v>
      </c>
      <c r="S33" s="5031"/>
      <c r="T33" s="5031"/>
      <c r="U33" s="5031"/>
      <c r="V33" s="5031"/>
      <c r="W33" s="5031"/>
      <c r="X33" s="2495"/>
      <c r="Y33" s="5030" t="s">
        <v>2716</v>
      </c>
      <c r="Z33" s="5031"/>
      <c r="AA33" s="5031"/>
      <c r="AB33" s="5031"/>
      <c r="AC33" s="5031"/>
      <c r="AD33" s="5031"/>
    </row>
    <row r="34" spans="1:44" s="2474" customFormat="1" ht="14.2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2.75">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37" t="s">
        <v>446</v>
      </c>
      <c r="C1" s="5037"/>
      <c r="D1" s="5037"/>
      <c r="E1" s="5037"/>
      <c r="F1" s="5037"/>
      <c r="G1" s="5033" t="s">
        <v>447</v>
      </c>
      <c r="H1" s="5033"/>
      <c r="I1" s="5033"/>
      <c r="J1" s="5033"/>
      <c r="K1" s="5033"/>
      <c r="L1" s="5033"/>
      <c r="N1" s="5033" t="s">
        <v>448</v>
      </c>
      <c r="O1" s="5033"/>
      <c r="P1" s="5033"/>
      <c r="Q1" s="5033"/>
      <c r="S1" s="5033" t="s">
        <v>449</v>
      </c>
      <c r="T1" s="5033"/>
      <c r="U1" s="5033"/>
      <c r="V1" s="5033"/>
      <c r="X1" s="5032" t="s">
        <v>450</v>
      </c>
      <c r="Y1" s="5033"/>
      <c r="Z1" s="5033"/>
      <c r="AA1" s="5033"/>
      <c r="AB1" s="5033"/>
      <c r="AD1" s="5032" t="s">
        <v>451</v>
      </c>
      <c r="AE1" s="5033"/>
      <c r="AF1" s="5033"/>
      <c r="AG1" s="5033"/>
      <c r="AH1" s="5033"/>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5">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5"/>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5"/>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42"/>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38">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5"/>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5"/>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42"/>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38">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5"/>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5"/>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36"/>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4">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5"/>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5"/>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36"/>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4">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5"/>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5"/>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36"/>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39">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40"/>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40"/>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41"/>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4">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5"/>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5"/>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36"/>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4">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5">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5">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36">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4">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5">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5">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36">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4">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5">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5">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36">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4">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5">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5">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36">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4">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5">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5">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36">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4">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5">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5">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36">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4">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5">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5">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36">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4">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5">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5">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36">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4">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5">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5">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36">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4">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5">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5">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36">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45" t="s">
        <v>2727</v>
      </c>
      <c r="B1" s="5045"/>
      <c r="C1" s="5045"/>
      <c r="D1" s="5045"/>
      <c r="E1" s="5045"/>
      <c r="F1" s="5045"/>
      <c r="G1" s="5046"/>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2"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43"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2" thickBot="1">
      <c r="A4" s="5044"/>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2"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2"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2"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2"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46077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2"/>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0" t="str">
        <f>IF(项目基本情况!B9="房地产市场价值","估价结果一览表","结果表-2")</f>
        <v>结果表-2</v>
      </c>
      <c r="B1" s="4630"/>
      <c r="C1" s="4630"/>
      <c r="D1" s="4630"/>
      <c r="E1" s="4630"/>
      <c r="F1" s="4630"/>
      <c r="G1" s="4630"/>
      <c r="H1" s="4630"/>
      <c r="I1" s="4630"/>
    </row>
    <row r="2" spans="1:9" ht="30" customHeight="1" thickTop="1">
      <c r="A2" s="4631" t="s">
        <v>912</v>
      </c>
      <c r="B2" s="4631" t="s">
        <v>913</v>
      </c>
      <c r="C2" s="4631" t="s">
        <v>914</v>
      </c>
      <c r="D2" s="4631" t="str">
        <f>结果表!D116</f>
        <v>出让国有建设用地使用权价值</v>
      </c>
      <c r="E2" s="4631"/>
      <c r="F2" s="4631">
        <f>结果表!F116</f>
        <v>0</v>
      </c>
      <c r="G2" s="4631"/>
      <c r="H2" s="4631" t="str">
        <f>IF(项目基本情况!B9="房地产市场价值","房地产市场价值","房地产价值")</f>
        <v>房地产价值</v>
      </c>
      <c r="I2" s="4631"/>
    </row>
    <row r="3" spans="1:9" ht="15">
      <c r="A3" s="4632"/>
      <c r="B3" s="4632"/>
      <c r="C3" s="4632"/>
      <c r="D3" s="577" t="s">
        <v>909</v>
      </c>
      <c r="E3" s="577" t="s">
        <v>915</v>
      </c>
      <c r="F3" s="577" t="s">
        <v>909</v>
      </c>
      <c r="G3" s="577" t="s">
        <v>910</v>
      </c>
      <c r="H3" s="577" t="s">
        <v>909</v>
      </c>
      <c r="I3" s="577" t="s">
        <v>910</v>
      </c>
    </row>
    <row r="4" spans="1:9" ht="15">
      <c r="A4" s="1111" t="str">
        <f>项目基本情况!S2</f>
        <v>北京市房地产</v>
      </c>
      <c r="B4" s="577">
        <f>项目基本情况!C17</f>
        <v>1052.8</v>
      </c>
      <c r="C4" s="577">
        <f>项目基本情况!C18</f>
        <v>4735.72</v>
      </c>
      <c r="D4" s="577">
        <f ca="1">结果表!D118</f>
        <v>534</v>
      </c>
      <c r="E4" s="577">
        <f ca="1">结果表!E118</f>
        <v>5072</v>
      </c>
      <c r="F4" s="577">
        <f ca="1">结果表!F118</f>
        <v>205</v>
      </c>
      <c r="G4" s="577">
        <f ca="1">结果表!G118</f>
        <v>1947</v>
      </c>
      <c r="H4" s="577">
        <f ca="1">结果表!H118</f>
        <v>739</v>
      </c>
      <c r="I4" s="577">
        <f ca="1">结果表!I118</f>
        <v>7019</v>
      </c>
    </row>
    <row r="5" spans="1:9" ht="30" customHeight="1">
      <c r="A5" s="4632" t="s">
        <v>911</v>
      </c>
      <c r="B5" s="4632"/>
      <c r="C5" s="4632"/>
      <c r="D5" s="4632" t="str">
        <f ca="1">结果表!D119</f>
        <v>伍佰叁拾肆万元整</v>
      </c>
      <c r="E5" s="4632"/>
      <c r="F5" s="4632" t="str">
        <f ca="1">结果表!F119</f>
        <v>贰佰零伍万元整</v>
      </c>
      <c r="G5" s="4632"/>
      <c r="H5" s="4632" t="str">
        <f ca="1">结果表!H119</f>
        <v>柒佰叁拾玖万元整</v>
      </c>
      <c r="I5" s="4632"/>
    </row>
    <row r="6" spans="1:9" ht="15.75">
      <c r="A6" s="4633" t="str">
        <f>结果表!A120</f>
        <v>估价师知悉的法定优先受偿款</v>
      </c>
      <c r="B6" s="4633"/>
      <c r="C6" s="4633"/>
      <c r="D6" s="4633">
        <f>结果表!H120</f>
        <v>0</v>
      </c>
      <c r="E6" s="4633"/>
      <c r="F6" s="4633"/>
      <c r="G6" s="4633"/>
      <c r="H6" s="4633"/>
      <c r="I6" s="4633"/>
    </row>
    <row r="7" spans="1:9" ht="15">
      <c r="A7" s="4632" t="s">
        <v>911</v>
      </c>
      <c r="B7" s="4632"/>
      <c r="C7" s="4632"/>
      <c r="D7" s="4634" t="str">
        <f>结果表!H121</f>
        <v>零元整</v>
      </c>
      <c r="E7" s="4635"/>
      <c r="F7" s="4635"/>
      <c r="G7" s="4635"/>
      <c r="H7" s="4635"/>
      <c r="I7" s="4636"/>
    </row>
    <row r="8" spans="1:9" ht="15.75">
      <c r="A8" s="4633" t="str">
        <f>结果表!A122</f>
        <v>房地产抵押价值</v>
      </c>
      <c r="B8" s="4633"/>
      <c r="C8" s="4633"/>
      <c r="D8" s="4633">
        <f ca="1">结果表!H122</f>
        <v>739</v>
      </c>
      <c r="E8" s="4633"/>
      <c r="F8" s="4633"/>
      <c r="G8" s="4633"/>
      <c r="H8" s="4633"/>
      <c r="I8" s="4633"/>
    </row>
    <row r="9" spans="1:9" ht="15">
      <c r="A9" s="4632" t="s">
        <v>911</v>
      </c>
      <c r="B9" s="4632"/>
      <c r="C9" s="4632"/>
      <c r="D9" s="4632" t="str">
        <f ca="1">结果表!H123</f>
        <v>柒佰叁拾玖万元整</v>
      </c>
      <c r="E9" s="4632"/>
      <c r="F9" s="4632"/>
      <c r="G9" s="4632"/>
      <c r="H9" s="4632"/>
      <c r="I9" s="4632"/>
    </row>
    <row r="10" spans="1:9" ht="15.75">
      <c r="A10" s="4633" t="str">
        <f>结果表!A124</f>
        <v/>
      </c>
      <c r="B10" s="4633"/>
      <c r="C10" s="4633"/>
      <c r="D10" s="4633" t="str">
        <f>结果表!H124</f>
        <v>——</v>
      </c>
      <c r="E10" s="4633"/>
      <c r="F10" s="4633"/>
      <c r="G10" s="4633"/>
      <c r="H10" s="4633"/>
      <c r="I10" s="4633"/>
    </row>
    <row r="11" spans="1:9" ht="15">
      <c r="A11" s="4632" t="s">
        <v>911</v>
      </c>
      <c r="B11" s="4632"/>
      <c r="C11" s="4632"/>
      <c r="D11" s="4632" t="e">
        <f>结果表!H125</f>
        <v>#VALUE!</v>
      </c>
      <c r="E11" s="4632"/>
      <c r="F11" s="4632"/>
      <c r="G11" s="4632"/>
      <c r="H11" s="4632"/>
      <c r="I11" s="4632"/>
    </row>
    <row r="12" spans="1:9" ht="15.75">
      <c r="A12" s="4633" t="str">
        <f>结果表!A126</f>
        <v/>
      </c>
      <c r="B12" s="4633"/>
      <c r="C12" s="4633"/>
      <c r="D12" s="4633" t="str">
        <f>结果表!H126</f>
        <v>——</v>
      </c>
      <c r="E12" s="4633"/>
      <c r="F12" s="4633"/>
      <c r="G12" s="4633"/>
      <c r="H12" s="4633"/>
      <c r="I12" s="4633"/>
    </row>
    <row r="13" spans="1:9" ht="15.75" thickBot="1">
      <c r="A13" s="4637" t="s">
        <v>911</v>
      </c>
      <c r="B13" s="4637"/>
      <c r="C13" s="4637"/>
      <c r="D13" s="4637" t="e">
        <f>结果表!H127</f>
        <v>#VALUE!</v>
      </c>
      <c r="E13" s="4637"/>
      <c r="F13" s="4637"/>
      <c r="G13" s="4637"/>
      <c r="H13" s="4637"/>
      <c r="I13" s="4637"/>
    </row>
    <row r="14" spans="1:9" ht="15" thickTop="1">
      <c r="A14" s="4638" t="s">
        <v>916</v>
      </c>
      <c r="B14" s="4638"/>
      <c r="C14" s="4638"/>
      <c r="D14" s="4638"/>
      <c r="E14" s="4638"/>
      <c r="F14" s="4638"/>
      <c r="G14" s="4638"/>
      <c r="H14" s="4638"/>
      <c r="I14" s="4638"/>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39" t="s">
        <v>933</v>
      </c>
      <c r="B1" s="4639"/>
      <c r="C1" s="4639"/>
      <c r="D1" s="4639"/>
    </row>
    <row r="2" spans="1:4" ht="18">
      <c r="A2" s="4640" t="s">
        <v>917</v>
      </c>
      <c r="B2" s="4640"/>
      <c r="C2" s="4640"/>
      <c r="D2" s="4640"/>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0" t="s">
        <v>923</v>
      </c>
      <c r="B6" s="4640"/>
      <c r="C6" s="4640"/>
      <c r="D6" s="464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1" t="s">
        <v>926</v>
      </c>
      <c r="B11" s="4642"/>
      <c r="C11" s="4642"/>
      <c r="D11" s="4642"/>
    </row>
    <row r="12" spans="1:4" ht="15.75">
      <c r="A12" s="4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43"/>
      <c r="C12" s="4643"/>
      <c r="D12" s="4643"/>
    </row>
    <row r="13" spans="1:4" ht="30" customHeight="1">
      <c r="A13" s="4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43"/>
      <c r="C13" s="4643"/>
      <c r="D13" s="4643"/>
    </row>
    <row r="14" spans="1:4" ht="15.75" customHeight="1">
      <c r="A14" s="4642" t="str">
        <f>IF(项目基本情况!B8="抵押","4.本次评估估价师所知悉的法定优先受偿款情况说明如下：","——")</f>
        <v>4.本次评估估价师所知悉的法定优先受偿款情况说明如下：</v>
      </c>
      <c r="B14" s="4643"/>
      <c r="C14" s="4643"/>
      <c r="D14" s="4643"/>
    </row>
    <row r="15" spans="1:4" ht="42" customHeight="1">
      <c r="A15" s="4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42"/>
      <c r="C15" s="4642"/>
      <c r="D15" s="4642"/>
    </row>
    <row r="16" spans="1:4" ht="30" customHeight="1">
      <c r="A16" s="4645" t="s">
        <v>927</v>
      </c>
      <c r="B16" s="4645"/>
      <c r="C16" s="4645"/>
      <c r="D16" s="4645"/>
    </row>
    <row r="17" spans="1:4" ht="144" customHeight="1">
      <c r="A17" s="4645" t="s">
        <v>928</v>
      </c>
      <c r="B17" s="4645"/>
      <c r="C17" s="4645"/>
      <c r="D17" s="4645"/>
    </row>
    <row r="18" spans="1:4" ht="15.75" customHeight="1">
      <c r="A18" s="4642" t="str">
        <f>IF(项目基本情况!B8="抵押",结果表!K120,"——")</f>
        <v>故，本次评估不存在估价师知悉的法定优先受偿款</v>
      </c>
      <c r="B18" s="4642"/>
      <c r="C18" s="4642"/>
      <c r="D18" s="4642"/>
    </row>
    <row r="19" spans="1:4" ht="46.5" customHeight="1">
      <c r="A19" s="4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42"/>
      <c r="C19" s="4642"/>
      <c r="D19" s="4642"/>
    </row>
    <row r="20" spans="1:4" ht="57.75" customHeight="1">
      <c r="A20" s="4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2"/>
      <c r="C20" s="4642"/>
      <c r="D20" s="4642"/>
    </row>
    <row r="21" spans="1:4" ht="57.75" customHeight="1">
      <c r="A21" s="4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46"/>
      <c r="C21" s="4646"/>
      <c r="D21" s="4646"/>
    </row>
    <row r="22" spans="1:4" ht="18.75" customHeight="1">
      <c r="A22" s="4647" t="s">
        <v>929</v>
      </c>
      <c r="B22" s="4647"/>
      <c r="C22" s="4647"/>
      <c r="D22" s="464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4">
        <v>42551</v>
      </c>
      <c r="D31" s="464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53" t="s">
        <v>940</v>
      </c>
      <c r="B15" s="4648" t="s">
        <v>107</v>
      </c>
      <c r="C15" s="4649"/>
    </row>
    <row r="16" spans="1:7" ht="13.5">
      <c r="A16" s="4654"/>
      <c r="B16" s="4648" t="s">
        <v>40</v>
      </c>
      <c r="C16" s="4649"/>
    </row>
    <row r="17" spans="1:3" ht="13.5">
      <c r="A17" s="4654"/>
      <c r="B17" s="4651" t="s">
        <v>941</v>
      </c>
      <c r="C17" s="1138" t="s">
        <v>940</v>
      </c>
    </row>
    <row r="18" spans="1:3" ht="13.5">
      <c r="A18" s="4654"/>
      <c r="B18" s="4651"/>
      <c r="C18" s="1138" t="s">
        <v>942</v>
      </c>
    </row>
    <row r="19" spans="1:3" ht="13.5">
      <c r="A19" s="4654"/>
      <c r="B19" s="4651"/>
      <c r="C19" s="1138" t="s">
        <v>943</v>
      </c>
    </row>
    <row r="20" spans="1:3" ht="13.5">
      <c r="A20" s="4655"/>
      <c r="B20" s="4650" t="s">
        <v>944</v>
      </c>
      <c r="C20" s="4649"/>
    </row>
    <row r="21" spans="1:3" ht="13.5">
      <c r="A21" s="1139" t="s">
        <v>945</v>
      </c>
      <c r="B21" s="1140"/>
      <c r="C21" s="1141"/>
    </row>
    <row r="22" spans="1:3" ht="13.5">
      <c r="A22" s="4652" t="s">
        <v>946</v>
      </c>
      <c r="B22" s="4650" t="s">
        <v>947</v>
      </c>
      <c r="C22" s="4649"/>
    </row>
    <row r="23" spans="1:3" ht="13.5">
      <c r="A23" s="4652"/>
      <c r="B23" s="4650" t="s">
        <v>948</v>
      </c>
      <c r="C23" s="4649"/>
    </row>
    <row r="24" spans="1:3" ht="13.5">
      <c r="A24" s="4652"/>
      <c r="B24" s="4650" t="s">
        <v>949</v>
      </c>
      <c r="C24" s="4649"/>
    </row>
    <row r="25" spans="1:3" ht="13.5">
      <c r="A25" s="4652"/>
      <c r="B25" s="4651" t="s">
        <v>950</v>
      </c>
      <c r="C25" s="1138" t="s">
        <v>951</v>
      </c>
    </row>
    <row r="26" spans="1:3" ht="13.5">
      <c r="A26" s="4652"/>
      <c r="B26" s="4651"/>
      <c r="C26" s="1138" t="s">
        <v>952</v>
      </c>
    </row>
    <row r="27" spans="1:3" ht="13.5">
      <c r="A27" s="4652"/>
      <c r="B27" s="4651"/>
      <c r="C27" s="1138" t="s">
        <v>953</v>
      </c>
    </row>
    <row r="28" spans="1:3" ht="13.5">
      <c r="A28" s="4652"/>
      <c r="B28" s="4651"/>
      <c r="C28" s="1138" t="s">
        <v>954</v>
      </c>
    </row>
    <row r="29" spans="1:3" ht="13.5">
      <c r="A29" s="4652"/>
      <c r="B29" s="4651"/>
      <c r="C29" s="1138" t="s">
        <v>955</v>
      </c>
    </row>
    <row r="30" spans="1:3" ht="13.5">
      <c r="A30" s="4652"/>
      <c r="B30" s="4651"/>
      <c r="C30" s="1138" t="s">
        <v>956</v>
      </c>
    </row>
    <row r="31" spans="1:3" ht="13.5">
      <c r="A31" s="4652"/>
      <c r="B31" s="4651"/>
      <c r="C31" s="1138" t="s">
        <v>957</v>
      </c>
    </row>
    <row r="32" spans="1:3" ht="13.5">
      <c r="A32" s="4652"/>
      <c r="B32" s="4651"/>
      <c r="C32" s="1138" t="s">
        <v>958</v>
      </c>
    </row>
    <row r="33" spans="1:3" ht="13.5">
      <c r="A33" s="4652"/>
      <c r="B33" s="4651"/>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46077</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13">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13">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13">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13">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13">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4">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4">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13">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4">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13">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4">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2325</v>
      </c>
      <c r="B15" s="3754">
        <v>1120210056</v>
      </c>
      <c r="C15" s="4614">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3975</v>
      </c>
      <c r="B16" s="928">
        <v>1120240051</v>
      </c>
      <c r="C16" s="4613"/>
      <c r="D16" s="1839" t="str">
        <f>A16&amp;"（注册号："&amp;B16&amp;"）"</f>
        <v>赵雯（注册号：1120240051）</v>
      </c>
      <c r="E16" s="1840"/>
      <c r="F16" s="928"/>
      <c r="G16" s="928"/>
      <c r="H16" s="1843" t="str">
        <f t="shared" si="1"/>
        <v>（注册号：）</v>
      </c>
    </row>
    <row r="17" spans="1:8" ht="24" customHeight="1">
      <c r="A17" s="4656" t="s">
        <v>2064</v>
      </c>
      <c r="B17" s="4656"/>
      <c r="C17" s="4656"/>
      <c r="D17" s="4656"/>
      <c r="E17" s="4656"/>
      <c r="F17" s="4656"/>
      <c r="G17" s="4656"/>
      <c r="H17" s="4656"/>
    </row>
    <row r="18" spans="1:8" ht="24" customHeight="1">
      <c r="A18" s="4657" t="s">
        <v>2065</v>
      </c>
      <c r="B18" s="4657"/>
      <c r="C18" s="4657"/>
      <c r="D18" s="1837"/>
      <c r="E18" s="4658" t="s">
        <v>2066</v>
      </c>
      <c r="F18" s="4657"/>
      <c r="G18" s="4657"/>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2026-02-24T09:16:42Z</dcterms:modified>
</cp:coreProperties>
</file>