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2"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C27" i="21"/>
  <c r="C20"/>
  <c r="C18"/>
  <c r="I7" i="6"/>
  <c r="A3" i="3"/>
  <c r="I7" i="21" l="1"/>
  <c r="G7"/>
  <c r="K39"/>
  <c r="K23"/>
  <c r="K21"/>
  <c r="K19"/>
  <c r="K17"/>
  <c r="K15"/>
  <c r="C12" i="39"/>
  <c r="C40" l="1"/>
  <c r="J30" i="68"/>
  <c r="K27"/>
  <c r="M27"/>
  <c r="L29"/>
  <c r="O13" i="3" s="1"/>
  <c r="F22" i="6" s="1"/>
  <c r="K29" i="68"/>
  <c r="M29" s="1"/>
  <c r="K13" i="3" s="1"/>
  <c r="F20" i="6" s="1"/>
  <c r="K28" i="68"/>
  <c r="K30" s="1"/>
  <c r="K26"/>
  <c r="L26" s="1"/>
  <c r="M26" s="1"/>
  <c r="K24"/>
  <c r="L24" s="1"/>
  <c r="M24" s="1"/>
  <c r="K23"/>
  <c r="L23" s="1"/>
  <c r="L25" s="1"/>
  <c r="K19"/>
  <c r="L19" s="1"/>
  <c r="M19" s="1"/>
  <c r="K20"/>
  <c r="L20" s="1"/>
  <c r="M20" s="1"/>
  <c r="K21"/>
  <c r="L21" s="1"/>
  <c r="M21" s="1"/>
  <c r="K18"/>
  <c r="K22" s="1"/>
  <c r="K14"/>
  <c r="L14" s="1"/>
  <c r="M14" s="1"/>
  <c r="K15"/>
  <c r="L15" s="1"/>
  <c r="M15" s="1"/>
  <c r="K16"/>
  <c r="L16" s="1"/>
  <c r="M16" s="1"/>
  <c r="K13"/>
  <c r="L13" s="1"/>
  <c r="L17" s="1"/>
  <c r="K7"/>
  <c r="L7" s="1"/>
  <c r="M7" s="1"/>
  <c r="K8"/>
  <c r="L8" s="1"/>
  <c r="M8" s="1"/>
  <c r="K9"/>
  <c r="L9" s="1"/>
  <c r="M9" s="1"/>
  <c r="K10"/>
  <c r="L10" s="1"/>
  <c r="M10" s="1"/>
  <c r="K11"/>
  <c r="L11" s="1"/>
  <c r="M11" s="1"/>
  <c r="K6"/>
  <c r="K3"/>
  <c r="L3" s="1"/>
  <c r="M3" s="1"/>
  <c r="K4"/>
  <c r="K2"/>
  <c r="L2" s="1"/>
  <c r="M2" s="1"/>
  <c r="M5" s="1"/>
  <c r="L4"/>
  <c r="M4" s="1"/>
  <c r="J25"/>
  <c r="J22"/>
  <c r="J27"/>
  <c r="J17"/>
  <c r="J12"/>
  <c r="J5"/>
  <c r="J33" s="1"/>
  <c r="J47"/>
  <c r="Q24"/>
  <c r="Q23"/>
  <c r="Q16"/>
  <c r="Q15"/>
  <c r="Q4"/>
  <c r="Q11"/>
  <c r="Q14"/>
  <c r="Q13"/>
  <c r="Q10"/>
  <c r="Q9"/>
  <c r="Q8"/>
  <c r="Q7"/>
  <c r="Q6"/>
  <c r="Q20"/>
  <c r="Q19"/>
  <c r="Q21"/>
  <c r="Q26"/>
  <c r="Q18"/>
  <c r="Q3"/>
  <c r="Q2"/>
  <c r="M23" l="1"/>
  <c r="M25" s="1"/>
  <c r="K5"/>
  <c r="K17"/>
  <c r="K25"/>
  <c r="L18"/>
  <c r="L22" s="1"/>
  <c r="L5"/>
  <c r="K12"/>
  <c r="L28"/>
  <c r="L30" s="1"/>
  <c r="L27"/>
  <c r="L6"/>
  <c r="L12" s="1"/>
  <c r="M28"/>
  <c r="M30" s="1"/>
  <c r="M13"/>
  <c r="M17" s="1"/>
  <c r="M18" l="1"/>
  <c r="M22" s="1"/>
  <c r="L33"/>
  <c r="K33"/>
  <c r="M6"/>
  <c r="M12" s="1"/>
  <c r="M33" l="1"/>
  <c r="I5" i="59" l="1"/>
  <c r="I4" s="1"/>
  <c r="N4" s="1"/>
  <c r="L5"/>
  <c r="L4" s="1"/>
  <c r="Q4" s="1"/>
  <c r="K5"/>
  <c r="K4" s="1"/>
  <c r="P4" s="1"/>
  <c r="J5"/>
  <c r="J4" s="1"/>
  <c r="O4" s="1"/>
  <c r="N5" l="1"/>
  <c r="Q5"/>
  <c r="P5"/>
  <c r="O5"/>
  <c r="K59" i="15" l="1"/>
  <c r="P62" s="1"/>
  <c r="P75" l="1"/>
  <c r="Q74" i="44" l="1"/>
  <c r="Q61"/>
  <c r="Q60"/>
  <c r="Q53"/>
  <c r="J51"/>
  <c r="J52" s="1"/>
  <c r="M48"/>
  <c r="A16" i="55" l="1"/>
  <c r="A15"/>
  <c r="A10"/>
  <c r="A9"/>
  <c r="A8"/>
  <c r="A6" i="54"/>
  <c r="A8"/>
  <c r="A7"/>
  <c r="A28" i="51"/>
  <c r="A27"/>
  <c r="D5" i="46" l="1"/>
  <c r="Q6" i="59" l="1"/>
  <c r="O6"/>
  <c r="N7"/>
  <c r="O7"/>
  <c r="P7"/>
  <c r="Q7"/>
  <c r="N6"/>
  <c r="P6"/>
  <c r="F10" i="67"/>
  <c r="E9"/>
  <c r="B10"/>
  <c r="B13"/>
  <c r="E8"/>
  <c r="E12"/>
  <c r="F12"/>
  <c r="F11"/>
  <c r="B8"/>
  <c r="F14"/>
  <c r="B12"/>
  <c r="F13"/>
  <c r="B11"/>
  <c r="E14"/>
  <c r="F9"/>
  <c r="E10"/>
  <c r="E13"/>
  <c r="E11"/>
  <c r="B14"/>
  <c r="B9"/>
  <c r="F8"/>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D18"/>
  <c r="AE18"/>
  <c r="AF18"/>
  <c r="AG18"/>
  <c r="AH18"/>
  <c r="AH19"/>
  <c r="AG19"/>
  <c r="AE19"/>
  <c r="AF19" s="1"/>
  <c r="AD19"/>
  <c r="AD20"/>
  <c r="AE20"/>
  <c r="AF20" s="1"/>
  <c r="AG20"/>
  <c r="AH20"/>
  <c r="S2" i="31" l="1"/>
  <c r="M2"/>
  <c r="N2"/>
  <c r="O2"/>
  <c r="P2"/>
  <c r="Q2"/>
  <c r="R2"/>
  <c r="C3" i="65" l="1"/>
  <c r="C1"/>
  <c r="N1" s="1"/>
  <c r="N7"/>
  <c r="H1" l="1"/>
  <c r="B76" i="63"/>
  <c r="N3" i="65"/>
  <c r="N4"/>
  <c r="N6"/>
  <c r="N5"/>
  <c r="I7"/>
  <c r="C4" l="1"/>
  <c r="B39" i="1" s="1"/>
  <c r="J6" i="65"/>
  <c r="I3"/>
  <c r="J7"/>
  <c r="I5"/>
  <c r="J5"/>
  <c r="J3"/>
  <c r="I6"/>
  <c r="I4"/>
  <c r="J4"/>
  <c r="E20" i="46" l="1"/>
  <c r="J1" i="65"/>
  <c r="M5" i="54"/>
  <c r="A23" i="51"/>
  <c r="E3" i="65"/>
  <c r="F17" i="11" l="1"/>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8" i="64"/>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F8" s="1"/>
  <c r="P8"/>
  <c r="E8" s="1"/>
  <c r="O8"/>
  <c r="C8" s="1"/>
  <c r="N8"/>
  <c r="B8" s="1"/>
  <c r="D69"/>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B47"/>
  <c r="Q45"/>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AB18" s="1"/>
  <c r="P18"/>
  <c r="AA18" s="1"/>
  <c r="O18"/>
  <c r="Y18" s="1"/>
  <c r="N18"/>
  <c r="X18" s="1"/>
  <c r="Q17"/>
  <c r="P17"/>
  <c r="O17"/>
  <c r="N17"/>
  <c r="D17"/>
  <c r="Q16"/>
  <c r="AB16" s="1"/>
  <c r="P16"/>
  <c r="AA16" s="1"/>
  <c r="O16"/>
  <c r="Y16" s="1"/>
  <c r="Z16" s="1"/>
  <c r="N16"/>
  <c r="X16" s="1"/>
  <c r="Q15"/>
  <c r="AB15" s="1"/>
  <c r="P15"/>
  <c r="AA15" s="1"/>
  <c r="O15"/>
  <c r="Y15" s="1"/>
  <c r="Z15" s="1"/>
  <c r="N15"/>
  <c r="X15" s="1"/>
  <c r="Q14"/>
  <c r="AB14" s="1"/>
  <c r="P14"/>
  <c r="AA14" s="1"/>
  <c r="O14"/>
  <c r="Y14" s="1"/>
  <c r="Z14" s="1"/>
  <c r="N14"/>
  <c r="X14" s="1"/>
  <c r="Q13"/>
  <c r="P13"/>
  <c r="O13"/>
  <c r="N13"/>
  <c r="D13"/>
  <c r="Q12"/>
  <c r="AB12" s="1"/>
  <c r="P12"/>
  <c r="AA12" s="1"/>
  <c r="O12"/>
  <c r="Y12" s="1"/>
  <c r="Z12" s="1"/>
  <c r="N12"/>
  <c r="X12" s="1"/>
  <c r="Q11"/>
  <c r="AB11" s="1"/>
  <c r="P11"/>
  <c r="AA11" s="1"/>
  <c r="O11"/>
  <c r="Y11" s="1"/>
  <c r="Z11" s="1"/>
  <c r="N11"/>
  <c r="X11" s="1"/>
  <c r="Q10"/>
  <c r="AB10" s="1"/>
  <c r="P10"/>
  <c r="AA10" s="1"/>
  <c r="O10"/>
  <c r="Y10" s="1"/>
  <c r="Z10" s="1"/>
  <c r="N10"/>
  <c r="X10" s="1"/>
  <c r="Q9"/>
  <c r="P9"/>
  <c r="AA9" s="1"/>
  <c r="O9"/>
  <c r="N9"/>
  <c r="D9"/>
  <c r="C14" l="1"/>
  <c r="Y13"/>
  <c r="Z13" s="1"/>
  <c r="F14"/>
  <c r="AB13"/>
  <c r="B18"/>
  <c r="B19" s="1"/>
  <c r="B20" s="1"/>
  <c r="S20" s="1"/>
  <c r="X17"/>
  <c r="E18"/>
  <c r="E19" s="1"/>
  <c r="E20" s="1"/>
  <c r="U20" s="1"/>
  <c r="AA17"/>
  <c r="S8"/>
  <c r="B7"/>
  <c r="B6" s="1"/>
  <c r="B5" s="1"/>
  <c r="B4" s="1"/>
  <c r="U8"/>
  <c r="E7"/>
  <c r="E6" s="1"/>
  <c r="E5" s="1"/>
  <c r="E4" s="1"/>
  <c r="B10"/>
  <c r="X9"/>
  <c r="C10"/>
  <c r="Y9"/>
  <c r="Z9" s="1"/>
  <c r="F10"/>
  <c r="AB9"/>
  <c r="B14"/>
  <c r="B15" s="1"/>
  <c r="B16" s="1"/>
  <c r="S16" s="1"/>
  <c r="X13"/>
  <c r="E14"/>
  <c r="E15" s="1"/>
  <c r="E16" s="1"/>
  <c r="U16" s="1"/>
  <c r="AA13"/>
  <c r="C18"/>
  <c r="Y17"/>
  <c r="Z17" s="1"/>
  <c r="F18"/>
  <c r="AB17"/>
  <c r="D8"/>
  <c r="T8"/>
  <c r="C7"/>
  <c r="V8"/>
  <c r="F7"/>
  <c r="F6" s="1"/>
  <c r="F5" s="1"/>
  <c r="F4" s="1"/>
  <c r="X3"/>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D7" i="59" l="1"/>
  <c r="C6"/>
  <c r="P45"/>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D6" i="59" l="1"/>
  <c r="C5"/>
  <c r="T40"/>
  <c r="D40"/>
  <c r="T12"/>
  <c r="D12"/>
  <c r="T20"/>
  <c r="D20"/>
  <c r="T24"/>
  <c r="D24"/>
  <c r="T32"/>
  <c r="D32"/>
  <c r="T36"/>
  <c r="D36"/>
  <c r="T44"/>
  <c r="D44"/>
  <c r="T16"/>
  <c r="D16"/>
  <c r="O46"/>
  <c r="D46"/>
  <c r="O45"/>
  <c r="D5" l="1"/>
  <c r="C4"/>
  <c r="D4" s="1"/>
  <c r="O27" i="6"/>
  <c r="N27"/>
  <c r="P26"/>
  <c r="L26"/>
  <c r="P25"/>
  <c r="L25"/>
  <c r="P24"/>
  <c r="L24"/>
  <c r="P23"/>
  <c r="L23"/>
  <c r="P22"/>
  <c r="L22"/>
  <c r="P21"/>
  <c r="L21"/>
  <c r="P20"/>
  <c r="P19"/>
  <c r="P27" s="1"/>
  <c r="Z18" i="36" l="1"/>
  <c r="Q18"/>
  <c r="C18"/>
  <c r="D66"/>
  <c r="F18" s="1"/>
  <c r="AA18" s="1"/>
  <c r="Q18" i="35"/>
  <c r="Z18" s="1"/>
  <c r="F18"/>
  <c r="AA18" s="1"/>
  <c r="C18"/>
  <c r="D68"/>
  <c r="E68" s="1"/>
  <c r="F68" s="1"/>
  <c r="G68" s="1"/>
  <c r="Q21" i="37"/>
  <c r="Z21" s="1"/>
  <c r="F21"/>
  <c r="AA21" s="1"/>
  <c r="C21"/>
  <c r="E77"/>
  <c r="F77" s="1"/>
  <c r="G77" s="1"/>
  <c r="D77"/>
  <c r="Z21" i="34"/>
  <c r="Q21"/>
  <c r="C21"/>
  <c r="D84"/>
  <c r="F21" s="1"/>
  <c r="AA21" s="1"/>
  <c r="Q21" i="33"/>
  <c r="Z21" s="1"/>
  <c r="C21"/>
  <c r="D83"/>
  <c r="E83" s="1"/>
  <c r="F83" s="1"/>
  <c r="G83" s="1"/>
  <c r="Q21" i="21"/>
  <c r="Z21" s="1"/>
  <c r="D83"/>
  <c r="E83" s="1"/>
  <c r="F21"/>
  <c r="AA21" s="1"/>
  <c r="C21"/>
  <c r="Z27" i="40"/>
  <c r="Q27"/>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J51" s="1"/>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2" i="1"/>
  <c r="AP12" s="1"/>
  <c r="F13"/>
  <c r="AP13" s="1"/>
  <c r="D11"/>
  <c r="D12"/>
  <c r="D13"/>
  <c r="D6"/>
  <c r="D7"/>
  <c r="D8"/>
  <c r="D9"/>
  <c r="D10"/>
  <c r="B2"/>
  <c r="C42" s="1"/>
  <c r="A12"/>
  <c r="R12" s="1"/>
  <c r="A13"/>
  <c r="B13" s="1"/>
  <c r="E13" s="1"/>
  <c r="A7"/>
  <c r="A8"/>
  <c r="A9"/>
  <c r="A10"/>
  <c r="A11"/>
  <c r="A6"/>
  <c r="T4"/>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s="1"/>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X109"/>
  <c r="AW109"/>
  <c r="AV109"/>
  <c r="AC109"/>
  <c r="H109"/>
  <c r="G109" s="1"/>
  <c r="BT108"/>
  <c r="BS108"/>
  <c r="BR108"/>
  <c r="BQ108"/>
  <c r="BP108"/>
  <c r="BO108"/>
  <c r="BN108"/>
  <c r="BM108"/>
  <c r="BL108"/>
  <c r="BK108"/>
  <c r="BJ108"/>
  <c r="BI108"/>
  <c r="BH108"/>
  <c r="BG108"/>
  <c r="BF108"/>
  <c r="BE108"/>
  <c r="BD108"/>
  <c r="BC108"/>
  <c r="BB108"/>
  <c r="BA108" s="1"/>
  <c r="AZ108" s="1"/>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c r="BT106"/>
  <c r="BS106"/>
  <c r="BR106"/>
  <c r="BQ106"/>
  <c r="BP106"/>
  <c r="BO106"/>
  <c r="BN106"/>
  <c r="BM106"/>
  <c r="BL106" s="1"/>
  <c r="BK106"/>
  <c r="BJ106"/>
  <c r="BI106"/>
  <c r="BH106"/>
  <c r="BG106"/>
  <c r="BF106"/>
  <c r="BE106"/>
  <c r="BD106"/>
  <c r="BC106"/>
  <c r="BB106"/>
  <c r="BA106"/>
  <c r="AX106"/>
  <c r="AW106"/>
  <c r="AV106"/>
  <c r="AC106"/>
  <c r="H106"/>
  <c r="G106"/>
  <c r="BT105"/>
  <c r="BS105"/>
  <c r="BR105"/>
  <c r="BQ105"/>
  <c r="BP105"/>
  <c r="BO105"/>
  <c r="BN105"/>
  <c r="BM105"/>
  <c r="BL105" s="1"/>
  <c r="BK105"/>
  <c r="BJ105"/>
  <c r="BI105"/>
  <c r="BH105"/>
  <c r="BG105"/>
  <c r="BF105"/>
  <c r="BE105"/>
  <c r="BD105"/>
  <c r="BC105"/>
  <c r="BB105"/>
  <c r="BA105"/>
  <c r="AZ105" s="1"/>
  <c r="AX105"/>
  <c r="AW105"/>
  <c r="AV105"/>
  <c r="AC105"/>
  <c r="H105"/>
  <c r="G105" s="1"/>
  <c r="BT104"/>
  <c r="BS104"/>
  <c r="BR104"/>
  <c r="BQ104"/>
  <c r="BP104"/>
  <c r="BO104"/>
  <c r="BN104"/>
  <c r="BM104"/>
  <c r="BL104"/>
  <c r="BK104"/>
  <c r="BJ104"/>
  <c r="BI104"/>
  <c r="BH104"/>
  <c r="BG104"/>
  <c r="BF104"/>
  <c r="BE104"/>
  <c r="BD104"/>
  <c r="BC104"/>
  <c r="BB104"/>
  <c r="BA104" s="1"/>
  <c r="AZ104" s="1"/>
  <c r="AX104"/>
  <c r="AW104"/>
  <c r="AV104"/>
  <c r="AC104"/>
  <c r="H104"/>
  <c r="G104"/>
  <c r="BT103"/>
  <c r="BS103"/>
  <c r="BR103"/>
  <c r="BQ103"/>
  <c r="BP103"/>
  <c r="BO103"/>
  <c r="BN103"/>
  <c r="BM103"/>
  <c r="BL103" s="1"/>
  <c r="BK103"/>
  <c r="BJ103"/>
  <c r="BI103"/>
  <c r="BH103"/>
  <c r="BG103"/>
  <c r="BF103"/>
  <c r="BE103"/>
  <c r="BD103"/>
  <c r="BC103"/>
  <c r="BB103"/>
  <c r="BA103"/>
  <c r="AX103"/>
  <c r="AW103"/>
  <c r="AV103"/>
  <c r="AC103"/>
  <c r="H103"/>
  <c r="G103" s="1"/>
  <c r="BT102"/>
  <c r="BS102"/>
  <c r="BR102"/>
  <c r="BQ102"/>
  <c r="BP102"/>
  <c r="BO102"/>
  <c r="BN102"/>
  <c r="BM102"/>
  <c r="BL102"/>
  <c r="BK102"/>
  <c r="BJ102"/>
  <c r="BI102"/>
  <c r="BH102"/>
  <c r="BG102"/>
  <c r="BF102"/>
  <c r="BE102"/>
  <c r="BD102"/>
  <c r="BC102"/>
  <c r="BB102"/>
  <c r="BA102" s="1"/>
  <c r="AX102"/>
  <c r="AW102"/>
  <c r="AV102"/>
  <c r="AC102"/>
  <c r="H102"/>
  <c r="G102" s="1"/>
  <c r="BT101"/>
  <c r="BS101"/>
  <c r="BR101"/>
  <c r="BQ101"/>
  <c r="BP101"/>
  <c r="BO101"/>
  <c r="BN101"/>
  <c r="BM101"/>
  <c r="BL101"/>
  <c r="BK101"/>
  <c r="BJ101"/>
  <c r="BI101"/>
  <c r="BH101"/>
  <c r="BG101"/>
  <c r="BF101"/>
  <c r="BE101"/>
  <c r="BD101"/>
  <c r="BC101"/>
  <c r="BB101"/>
  <c r="BA101" s="1"/>
  <c r="AZ101" s="1"/>
  <c r="AX101"/>
  <c r="AW101"/>
  <c r="AV101"/>
  <c r="AC101"/>
  <c r="H101"/>
  <c r="G101"/>
  <c r="BT100"/>
  <c r="BS100"/>
  <c r="BR100"/>
  <c r="BQ100"/>
  <c r="BP100"/>
  <c r="BO100"/>
  <c r="BN100"/>
  <c r="BM100"/>
  <c r="BL100" s="1"/>
  <c r="BK100"/>
  <c r="BJ100"/>
  <c r="BI100"/>
  <c r="BH100"/>
  <c r="BG100"/>
  <c r="BF100"/>
  <c r="BE100"/>
  <c r="BD100"/>
  <c r="BC100"/>
  <c r="BB100"/>
  <c r="BA100"/>
  <c r="AX100"/>
  <c r="AW100"/>
  <c r="AV100"/>
  <c r="AC100"/>
  <c r="H100"/>
  <c r="G100" s="1"/>
  <c r="BT99"/>
  <c r="BS99"/>
  <c r="BR99"/>
  <c r="BQ99"/>
  <c r="BP99"/>
  <c r="BO99"/>
  <c r="BN99"/>
  <c r="BM99"/>
  <c r="BL99"/>
  <c r="BK99"/>
  <c r="BJ99"/>
  <c r="BI99"/>
  <c r="BH99"/>
  <c r="BG99"/>
  <c r="BF99"/>
  <c r="BE99"/>
  <c r="BD99"/>
  <c r="BC99"/>
  <c r="BB99"/>
  <c r="BA99" s="1"/>
  <c r="AX99"/>
  <c r="AW99"/>
  <c r="AV99"/>
  <c r="AC99"/>
  <c r="H99"/>
  <c r="G99" s="1"/>
  <c r="BT98"/>
  <c r="BS98"/>
  <c r="BR98"/>
  <c r="BQ98"/>
  <c r="BP98"/>
  <c r="BO98"/>
  <c r="BN98"/>
  <c r="BM98"/>
  <c r="BL98"/>
  <c r="BK98"/>
  <c r="BJ98"/>
  <c r="BI98"/>
  <c r="BH98"/>
  <c r="BG98"/>
  <c r="BF98"/>
  <c r="BE98"/>
  <c r="BD98"/>
  <c r="BC98"/>
  <c r="BB98"/>
  <c r="BA98" s="1"/>
  <c r="AX98"/>
  <c r="AW98"/>
  <c r="AV98"/>
  <c r="AC98"/>
  <c r="H98"/>
  <c r="G98" s="1"/>
  <c r="BT97"/>
  <c r="BS97"/>
  <c r="BR97"/>
  <c r="BQ97"/>
  <c r="BP97"/>
  <c r="BO97"/>
  <c r="BN97"/>
  <c r="BM97"/>
  <c r="BL97"/>
  <c r="BK97"/>
  <c r="BJ97"/>
  <c r="BI97"/>
  <c r="BH97"/>
  <c r="BG97"/>
  <c r="BF97"/>
  <c r="BE97"/>
  <c r="BD97"/>
  <c r="BC97"/>
  <c r="BB97"/>
  <c r="BA97" s="1"/>
  <c r="AZ97" s="1"/>
  <c r="AX97"/>
  <c r="AW97"/>
  <c r="AV97"/>
  <c r="AC97"/>
  <c r="H97"/>
  <c r="G97"/>
  <c r="BT96"/>
  <c r="BS96"/>
  <c r="BR96"/>
  <c r="BQ96"/>
  <c r="BP96"/>
  <c r="BO96"/>
  <c r="BN96"/>
  <c r="BM96"/>
  <c r="BL96" s="1"/>
  <c r="BK96"/>
  <c r="BJ96"/>
  <c r="BI96"/>
  <c r="BH96"/>
  <c r="BG96"/>
  <c r="BF96"/>
  <c r="BE96"/>
  <c r="BD96"/>
  <c r="BC96"/>
  <c r="BB96"/>
  <c r="BA96"/>
  <c r="AX96"/>
  <c r="AW96"/>
  <c r="AV96"/>
  <c r="AC96"/>
  <c r="H96"/>
  <c r="G96" s="1"/>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Z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X91"/>
  <c r="AW91"/>
  <c r="AV91"/>
  <c r="AC91"/>
  <c r="H91"/>
  <c r="G91"/>
  <c r="BT90"/>
  <c r="BS90"/>
  <c r="BR90"/>
  <c r="BQ90"/>
  <c r="BP90"/>
  <c r="BO90"/>
  <c r="BN90"/>
  <c r="BM90"/>
  <c r="BL90" s="1"/>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c r="AX89"/>
  <c r="AW89"/>
  <c r="AV89"/>
  <c r="AC89"/>
  <c r="H89"/>
  <c r="G89" s="1"/>
  <c r="BT88"/>
  <c r="BS88"/>
  <c r="BR88"/>
  <c r="BQ88"/>
  <c r="BP88"/>
  <c r="BO88"/>
  <c r="BN88"/>
  <c r="BM88"/>
  <c r="BL88"/>
  <c r="BK88"/>
  <c r="BJ88"/>
  <c r="BI88"/>
  <c r="BH88"/>
  <c r="BG88"/>
  <c r="BF88"/>
  <c r="BE88"/>
  <c r="BD88"/>
  <c r="BC88"/>
  <c r="BB88"/>
  <c r="BA88" s="1"/>
  <c r="AZ88" s="1"/>
  <c r="AX88"/>
  <c r="AW88"/>
  <c r="AV88"/>
  <c r="AC88"/>
  <c r="H88"/>
  <c r="G88"/>
  <c r="BT87"/>
  <c r="BS87"/>
  <c r="BR87"/>
  <c r="BQ87"/>
  <c r="BP87"/>
  <c r="BO87"/>
  <c r="BN87"/>
  <c r="BM87"/>
  <c r="BL87" s="1"/>
  <c r="BK87"/>
  <c r="BJ87"/>
  <c r="BI87"/>
  <c r="BH87"/>
  <c r="BG87"/>
  <c r="BF87"/>
  <c r="BE87"/>
  <c r="BD87"/>
  <c r="BC87"/>
  <c r="BB87"/>
  <c r="BA87"/>
  <c r="AZ87" s="1"/>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Z85"/>
  <c r="AX85"/>
  <c r="AW85"/>
  <c r="AV85"/>
  <c r="AC85"/>
  <c r="H85"/>
  <c r="G85"/>
  <c r="BT84"/>
  <c r="BS84"/>
  <c r="BR84"/>
  <c r="BQ84"/>
  <c r="BP84"/>
  <c r="BO84"/>
  <c r="BN84"/>
  <c r="BM84"/>
  <c r="BL84" s="1"/>
  <c r="BK84"/>
  <c r="BJ84"/>
  <c r="BI84"/>
  <c r="BH84"/>
  <c r="BG84"/>
  <c r="BF84"/>
  <c r="BE84"/>
  <c r="BD84"/>
  <c r="BC84"/>
  <c r="BB84"/>
  <c r="BA84"/>
  <c r="AX84"/>
  <c r="AW84"/>
  <c r="AV84"/>
  <c r="AC84"/>
  <c r="H84"/>
  <c r="G84"/>
  <c r="BT83"/>
  <c r="BS83"/>
  <c r="BR83"/>
  <c r="BQ83"/>
  <c r="BP83"/>
  <c r="BO83"/>
  <c r="BN83"/>
  <c r="BM83"/>
  <c r="BL83" s="1"/>
  <c r="BK83"/>
  <c r="BJ83"/>
  <c r="BI83"/>
  <c r="BH83"/>
  <c r="BG83"/>
  <c r="BF83"/>
  <c r="BE83"/>
  <c r="BD83"/>
  <c r="BC83"/>
  <c r="BB83"/>
  <c r="BA83"/>
  <c r="AZ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c r="AX81"/>
  <c r="AW81"/>
  <c r="AV81"/>
  <c r="AC81"/>
  <c r="H81"/>
  <c r="G81"/>
  <c r="BT80"/>
  <c r="BS80"/>
  <c r="BR80"/>
  <c r="BQ80"/>
  <c r="BP80"/>
  <c r="BO80"/>
  <c r="BN80"/>
  <c r="BM80"/>
  <c r="BL80" s="1"/>
  <c r="BK80"/>
  <c r="BJ80"/>
  <c r="BI80"/>
  <c r="BH80"/>
  <c r="BG80"/>
  <c r="BF80"/>
  <c r="BE80"/>
  <c r="BD80"/>
  <c r="BC80"/>
  <c r="BB80"/>
  <c r="BA80"/>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X78"/>
  <c r="AW78"/>
  <c r="AV78"/>
  <c r="AC78"/>
  <c r="H78"/>
  <c r="G78" s="1"/>
  <c r="BT77"/>
  <c r="BS77"/>
  <c r="BR77"/>
  <c r="BQ77"/>
  <c r="BP77"/>
  <c r="BO77"/>
  <c r="BN77"/>
  <c r="BM77"/>
  <c r="BL77"/>
  <c r="BK77"/>
  <c r="BJ77"/>
  <c r="BI77"/>
  <c r="BH77"/>
  <c r="BG77"/>
  <c r="BF77"/>
  <c r="BE77"/>
  <c r="BD77"/>
  <c r="BC77"/>
  <c r="BB77"/>
  <c r="BA77" s="1"/>
  <c r="AZ77"/>
  <c r="AX77"/>
  <c r="AW77"/>
  <c r="AV77"/>
  <c r="AC77"/>
  <c r="H77"/>
  <c r="G77"/>
  <c r="BT76"/>
  <c r="BS76"/>
  <c r="BR76"/>
  <c r="BQ76"/>
  <c r="BP76"/>
  <c r="BO76"/>
  <c r="BN76"/>
  <c r="BM76"/>
  <c r="BL76" s="1"/>
  <c r="BK76"/>
  <c r="BJ76"/>
  <c r="BI76"/>
  <c r="BH76"/>
  <c r="BG76"/>
  <c r="BF76"/>
  <c r="BE76"/>
  <c r="BD76"/>
  <c r="BC76"/>
  <c r="BB76"/>
  <c r="BA76"/>
  <c r="AX76"/>
  <c r="AW76"/>
  <c r="AV76"/>
  <c r="AC76"/>
  <c r="H76"/>
  <c r="G76" s="1"/>
  <c r="BT75"/>
  <c r="BS75"/>
  <c r="BR75"/>
  <c r="BQ75"/>
  <c r="BP75"/>
  <c r="BO75"/>
  <c r="BN75"/>
  <c r="BM75"/>
  <c r="BL75"/>
  <c r="BK75"/>
  <c r="BJ75"/>
  <c r="BI75"/>
  <c r="BH75"/>
  <c r="BG75"/>
  <c r="BF75"/>
  <c r="BE75"/>
  <c r="BD75"/>
  <c r="BC75"/>
  <c r="BB75"/>
  <c r="BA75" s="1"/>
  <c r="AZ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Z73" s="1"/>
  <c r="AX73"/>
  <c r="AW73"/>
  <c r="AV73"/>
  <c r="AC73"/>
  <c r="H73"/>
  <c r="G73" s="1"/>
  <c r="BT72"/>
  <c r="BS72"/>
  <c r="BR72"/>
  <c r="BQ72"/>
  <c r="BP72"/>
  <c r="BO72"/>
  <c r="BN72"/>
  <c r="BM72"/>
  <c r="BL72"/>
  <c r="BK72"/>
  <c r="BJ72"/>
  <c r="BI72"/>
  <c r="BH72"/>
  <c r="BG72"/>
  <c r="BF72"/>
  <c r="BE72"/>
  <c r="BD72"/>
  <c r="BC72"/>
  <c r="BB72"/>
  <c r="BA72" s="1"/>
  <c r="AZ72" s="1"/>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X70"/>
  <c r="AW70"/>
  <c r="AV70"/>
  <c r="AC70"/>
  <c r="H70"/>
  <c r="G70"/>
  <c r="BT69"/>
  <c r="BS69"/>
  <c r="BR69"/>
  <c r="BQ69"/>
  <c r="BP69"/>
  <c r="BO69"/>
  <c r="BN69"/>
  <c r="BM69"/>
  <c r="BL69" s="1"/>
  <c r="BK69"/>
  <c r="BJ69"/>
  <c r="BI69"/>
  <c r="BH69"/>
  <c r="BG69"/>
  <c r="BF69"/>
  <c r="BE69"/>
  <c r="BD69"/>
  <c r="BC69"/>
  <c r="BB69"/>
  <c r="BA69"/>
  <c r="AZ69" s="1"/>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Z67" s="1"/>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X62"/>
  <c r="AW62"/>
  <c r="AV62"/>
  <c r="AC62"/>
  <c r="H62"/>
  <c r="G62" s="1"/>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c r="AZ60" s="1"/>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Z58" s="1"/>
  <c r="AX58"/>
  <c r="AW58"/>
  <c r="AV58"/>
  <c r="AC58"/>
  <c r="H58"/>
  <c r="G58"/>
  <c r="BT57"/>
  <c r="BS57"/>
  <c r="BR57"/>
  <c r="BQ57"/>
  <c r="BP57"/>
  <c r="BO57"/>
  <c r="BN57"/>
  <c r="BM57"/>
  <c r="BL57" s="1"/>
  <c r="BK57"/>
  <c r="BJ57"/>
  <c r="BI57"/>
  <c r="BH57"/>
  <c r="BG57"/>
  <c r="BF57"/>
  <c r="BE57"/>
  <c r="BD57"/>
  <c r="BC57"/>
  <c r="BB57"/>
  <c r="BA57"/>
  <c r="AX57"/>
  <c r="AW57"/>
  <c r="AV57"/>
  <c r="AC57"/>
  <c r="H57"/>
  <c r="G57" s="1"/>
  <c r="BT56"/>
  <c r="BS56"/>
  <c r="BR56"/>
  <c r="BQ56"/>
  <c r="BP56"/>
  <c r="BO56"/>
  <c r="BN56"/>
  <c r="BM56"/>
  <c r="BL56"/>
  <c r="BK56"/>
  <c r="BJ56"/>
  <c r="BI56"/>
  <c r="BH56"/>
  <c r="BG56"/>
  <c r="BF56"/>
  <c r="BE56"/>
  <c r="BD56"/>
  <c r="BC56"/>
  <c r="BB56"/>
  <c r="BA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Z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Z50" s="1"/>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X46"/>
  <c r="AW46"/>
  <c r="AV46"/>
  <c r="AC46"/>
  <c r="H46"/>
  <c r="G46" s="1"/>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c r="AZ44" s="1"/>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Z42" s="1"/>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Z37" s="1"/>
  <c r="AX37"/>
  <c r="AW37"/>
  <c r="AV37"/>
  <c r="AC37"/>
  <c r="H37"/>
  <c r="G37" s="1"/>
  <c r="BT36"/>
  <c r="BS36"/>
  <c r="BR36"/>
  <c r="BQ36"/>
  <c r="BP36"/>
  <c r="BO36"/>
  <c r="BN36"/>
  <c r="BM36"/>
  <c r="BL36"/>
  <c r="BK36"/>
  <c r="BJ36"/>
  <c r="BI36"/>
  <c r="BH36"/>
  <c r="BG36"/>
  <c r="BF36"/>
  <c r="BE36"/>
  <c r="BD36"/>
  <c r="BC36"/>
  <c r="BB36"/>
  <c r="BA36" s="1"/>
  <c r="AZ36" s="1"/>
  <c r="AX36"/>
  <c r="AW36"/>
  <c r="AV36"/>
  <c r="AC36"/>
  <c r="H36"/>
  <c r="G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c r="AZ34" s="1"/>
  <c r="AX34"/>
  <c r="AW34"/>
  <c r="AV34"/>
  <c r="AC34"/>
  <c r="H34"/>
  <c r="G34" s="1"/>
  <c r="BT33"/>
  <c r="BS33"/>
  <c r="BR33"/>
  <c r="BQ33"/>
  <c r="BP33"/>
  <c r="BO33"/>
  <c r="BN33"/>
  <c r="BM33"/>
  <c r="BL33"/>
  <c r="BK33"/>
  <c r="BJ33"/>
  <c r="BI33"/>
  <c r="BH33"/>
  <c r="BG33"/>
  <c r="BF33"/>
  <c r="BE33"/>
  <c r="BD33"/>
  <c r="BC33"/>
  <c r="BB33"/>
  <c r="BA33" s="1"/>
  <c r="AZ33" s="1"/>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X30"/>
  <c r="AW30"/>
  <c r="AV30"/>
  <c r="AC30"/>
  <c r="H30"/>
  <c r="G30" s="1"/>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c r="AZ28" s="1"/>
  <c r="AX28"/>
  <c r="AW28"/>
  <c r="AV28"/>
  <c r="AC28"/>
  <c r="H28"/>
  <c r="G28" s="1"/>
  <c r="BT27"/>
  <c r="BS27"/>
  <c r="BR27"/>
  <c r="BQ27"/>
  <c r="BP27"/>
  <c r="BO27"/>
  <c r="BN27"/>
  <c r="BM27"/>
  <c r="BL27"/>
  <c r="BK27"/>
  <c r="BJ27"/>
  <c r="BI27"/>
  <c r="BH27"/>
  <c r="BG27"/>
  <c r="BF27"/>
  <c r="BE27"/>
  <c r="BD27"/>
  <c r="BC27"/>
  <c r="BB27"/>
  <c r="BA27" s="1"/>
  <c r="AX27"/>
  <c r="AW27"/>
  <c r="AV27"/>
  <c r="AC27"/>
  <c r="H27"/>
  <c r="G27" s="1"/>
  <c r="BT26"/>
  <c r="BS26"/>
  <c r="BR26"/>
  <c r="BQ26"/>
  <c r="BP26"/>
  <c r="BO26"/>
  <c r="BN26"/>
  <c r="BM26"/>
  <c r="BL26"/>
  <c r="BK26"/>
  <c r="BJ26"/>
  <c r="BI26"/>
  <c r="BH26"/>
  <c r="BG26"/>
  <c r="BF26"/>
  <c r="BE26"/>
  <c r="BD26"/>
  <c r="BC26"/>
  <c r="BB26"/>
  <c r="BA26" s="1"/>
  <c r="AZ26" s="1"/>
  <c r="AX26"/>
  <c r="AW26"/>
  <c r="AV26"/>
  <c r="AC26"/>
  <c r="H26"/>
  <c r="G26"/>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s="1"/>
  <c r="BK23"/>
  <c r="BJ23"/>
  <c r="BI23"/>
  <c r="BH23"/>
  <c r="BG23"/>
  <c r="BF23"/>
  <c r="BE23"/>
  <c r="BD23"/>
  <c r="BC23"/>
  <c r="BB23"/>
  <c r="BA23"/>
  <c r="AX23"/>
  <c r="AW23"/>
  <c r="AV23"/>
  <c r="AC23"/>
  <c r="H23"/>
  <c r="G23"/>
  <c r="BT22"/>
  <c r="BS22"/>
  <c r="BR22"/>
  <c r="BQ22"/>
  <c r="BP22"/>
  <c r="BO22"/>
  <c r="BN22"/>
  <c r="BM22"/>
  <c r="BL22" s="1"/>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s="1"/>
  <c r="BK204"/>
  <c r="BJ204"/>
  <c r="BI204"/>
  <c r="BH204"/>
  <c r="BG204"/>
  <c r="BF204"/>
  <c r="BE204"/>
  <c r="BD204"/>
  <c r="BC204"/>
  <c r="BB204"/>
  <c r="BA204"/>
  <c r="AZ204" s="1"/>
  <c r="AX204"/>
  <c r="AW204"/>
  <c r="AV204"/>
  <c r="AC204"/>
  <c r="H204"/>
  <c r="G204" s="1"/>
  <c r="BT203"/>
  <c r="BS203"/>
  <c r="BR203"/>
  <c r="BQ203"/>
  <c r="BP203"/>
  <c r="BO203"/>
  <c r="BN203"/>
  <c r="BM203"/>
  <c r="BL203"/>
  <c r="BK203"/>
  <c r="BJ203"/>
  <c r="BI203"/>
  <c r="BH203"/>
  <c r="BG203"/>
  <c r="BF203"/>
  <c r="BE203"/>
  <c r="BD203"/>
  <c r="BC203"/>
  <c r="BB203"/>
  <c r="BA203" s="1"/>
  <c r="AX203"/>
  <c r="AW203"/>
  <c r="AV203"/>
  <c r="AC203"/>
  <c r="H203"/>
  <c r="G203" s="1"/>
  <c r="BT202"/>
  <c r="BS202"/>
  <c r="BR202"/>
  <c r="BQ202"/>
  <c r="BP202"/>
  <c r="BO202"/>
  <c r="BN202"/>
  <c r="BM202"/>
  <c r="BL202"/>
  <c r="BK202"/>
  <c r="BJ202"/>
  <c r="BI202"/>
  <c r="BH202"/>
  <c r="BG202"/>
  <c r="BF202"/>
  <c r="BE202"/>
  <c r="BD202"/>
  <c r="BC202"/>
  <c r="BB202"/>
  <c r="BA202" s="1"/>
  <c r="AZ202" s="1"/>
  <c r="AX202"/>
  <c r="AW202"/>
  <c r="AV202"/>
  <c r="AC202"/>
  <c r="H202"/>
  <c r="G202"/>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c r="BT198"/>
  <c r="BS198"/>
  <c r="BR198"/>
  <c r="BQ198"/>
  <c r="BP198"/>
  <c r="BO198"/>
  <c r="BN198"/>
  <c r="BM198"/>
  <c r="BL198" s="1"/>
  <c r="BK198"/>
  <c r="BJ198"/>
  <c r="BI198"/>
  <c r="BH198"/>
  <c r="BG198"/>
  <c r="BF198"/>
  <c r="BE198"/>
  <c r="BD198"/>
  <c r="BC198"/>
  <c r="BB198"/>
  <c r="BA198"/>
  <c r="AZ198" s="1"/>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s="1"/>
  <c r="BK195"/>
  <c r="BJ195"/>
  <c r="BI195"/>
  <c r="BH195"/>
  <c r="BG195"/>
  <c r="BF195"/>
  <c r="BE195"/>
  <c r="BD195"/>
  <c r="BC195"/>
  <c r="BB195"/>
  <c r="BA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c r="BT190"/>
  <c r="BS190"/>
  <c r="BR190"/>
  <c r="BQ190"/>
  <c r="BP190"/>
  <c r="BO190"/>
  <c r="BN190"/>
  <c r="BM190"/>
  <c r="BL190" s="1"/>
  <c r="BK190"/>
  <c r="BJ190"/>
  <c r="BI190"/>
  <c r="BH190"/>
  <c r="BG190"/>
  <c r="BF190"/>
  <c r="BE190"/>
  <c r="BD190"/>
  <c r="BC190"/>
  <c r="BB190"/>
  <c r="BA190"/>
  <c r="AZ190" s="1"/>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s="1"/>
  <c r="BK187"/>
  <c r="BJ187"/>
  <c r="BI187"/>
  <c r="BH187"/>
  <c r="BG187"/>
  <c r="BF187"/>
  <c r="BE187"/>
  <c r="BD187"/>
  <c r="BC187"/>
  <c r="BB187"/>
  <c r="BA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c r="BT182"/>
  <c r="BS182"/>
  <c r="BR182"/>
  <c r="BQ182"/>
  <c r="BP182"/>
  <c r="BO182"/>
  <c r="BN182"/>
  <c r="BM182"/>
  <c r="BL182" s="1"/>
  <c r="BK182"/>
  <c r="BJ182"/>
  <c r="BI182"/>
  <c r="BH182"/>
  <c r="BG182"/>
  <c r="BF182"/>
  <c r="BE182"/>
  <c r="BD182"/>
  <c r="BC182"/>
  <c r="BB182"/>
  <c r="BA182"/>
  <c r="AZ182" s="1"/>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L180"/>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c r="BT176"/>
  <c r="BS176"/>
  <c r="BR176"/>
  <c r="BQ176"/>
  <c r="BP176"/>
  <c r="BO176"/>
  <c r="BN176"/>
  <c r="BM176"/>
  <c r="BL176" s="1"/>
  <c r="BK176"/>
  <c r="BJ176"/>
  <c r="BI176"/>
  <c r="BH176"/>
  <c r="BG176"/>
  <c r="BF176"/>
  <c r="BE176"/>
  <c r="BD176"/>
  <c r="BC176"/>
  <c r="BB176"/>
  <c r="BA176"/>
  <c r="AZ176" s="1"/>
  <c r="AX176"/>
  <c r="AW176"/>
  <c r="AV176"/>
  <c r="AC176"/>
  <c r="H176"/>
  <c r="G176" s="1"/>
  <c r="BT175"/>
  <c r="BS175"/>
  <c r="BR175"/>
  <c r="BQ175"/>
  <c r="BP175"/>
  <c r="BO175"/>
  <c r="BN175"/>
  <c r="BM175"/>
  <c r="BL175"/>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c r="BK172"/>
  <c r="BJ172"/>
  <c r="BI172"/>
  <c r="BH172"/>
  <c r="BG172"/>
  <c r="BF172"/>
  <c r="BE172"/>
  <c r="BD172"/>
  <c r="BC172"/>
  <c r="BB172"/>
  <c r="BA172" s="1"/>
  <c r="AZ172" s="1"/>
  <c r="AX172"/>
  <c r="AW172"/>
  <c r="AV172"/>
  <c r="AC172"/>
  <c r="H172"/>
  <c r="G172"/>
  <c r="BT171"/>
  <c r="BS171"/>
  <c r="BR171"/>
  <c r="BQ171"/>
  <c r="BP171"/>
  <c r="BO171"/>
  <c r="BN171"/>
  <c r="BM171"/>
  <c r="BL171" s="1"/>
  <c r="BK171"/>
  <c r="BJ171"/>
  <c r="BI171"/>
  <c r="BH171"/>
  <c r="BG171"/>
  <c r="BF171"/>
  <c r="BE171"/>
  <c r="BD171"/>
  <c r="BC171"/>
  <c r="BB171"/>
  <c r="BA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s="1"/>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BA163"/>
  <c r="AZ163" s="1"/>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Z160" s="1"/>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c r="BT155"/>
  <c r="BS155"/>
  <c r="BR155"/>
  <c r="BQ155"/>
  <c r="BP155"/>
  <c r="BO155"/>
  <c r="BN155"/>
  <c r="BM155"/>
  <c r="BL155" s="1"/>
  <c r="BK155"/>
  <c r="BJ155"/>
  <c r="BI155"/>
  <c r="BH155"/>
  <c r="BG155"/>
  <c r="BF155"/>
  <c r="BE155"/>
  <c r="BD155"/>
  <c r="BC155"/>
  <c r="BB155"/>
  <c r="BA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s="1"/>
  <c r="BK149"/>
  <c r="BJ149"/>
  <c r="BI149"/>
  <c r="BH149"/>
  <c r="BG149"/>
  <c r="BF149"/>
  <c r="BE149"/>
  <c r="BD149"/>
  <c r="BC149"/>
  <c r="BB149"/>
  <c r="BA149"/>
  <c r="AZ149" s="1"/>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c r="BT144"/>
  <c r="BS144"/>
  <c r="BR144"/>
  <c r="BQ144"/>
  <c r="BP144"/>
  <c r="BO144"/>
  <c r="BN144"/>
  <c r="BM144"/>
  <c r="BL144" s="1"/>
  <c r="BK144"/>
  <c r="BJ144"/>
  <c r="BI144"/>
  <c r="BH144"/>
  <c r="BG144"/>
  <c r="BF144"/>
  <c r="BE144"/>
  <c r="BD144"/>
  <c r="BC144"/>
  <c r="BB144"/>
  <c r="BA144"/>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Z133" s="1"/>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c r="AX125"/>
  <c r="AW125"/>
  <c r="AV125"/>
  <c r="AC125"/>
  <c r="H125"/>
  <c r="G125" s="1"/>
  <c r="BT124"/>
  <c r="BS124"/>
  <c r="BR124"/>
  <c r="BQ124"/>
  <c r="BP124"/>
  <c r="BO124"/>
  <c r="BN124"/>
  <c r="BM124"/>
  <c r="BL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G121"/>
  <c r="BT120"/>
  <c r="BS120"/>
  <c r="BR120"/>
  <c r="BQ120"/>
  <c r="BP120"/>
  <c r="BO120"/>
  <c r="BN120"/>
  <c r="BM120"/>
  <c r="BL120" s="1"/>
  <c r="BK120"/>
  <c r="BJ120"/>
  <c r="BI120"/>
  <c r="BH120"/>
  <c r="BG120"/>
  <c r="BF120"/>
  <c r="BE120"/>
  <c r="BD120"/>
  <c r="BC120"/>
  <c r="BB120"/>
  <c r="BA120"/>
  <c r="AZ120" s="1"/>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s="1"/>
  <c r="BK117"/>
  <c r="BJ117"/>
  <c r="BI117"/>
  <c r="BH117"/>
  <c r="BG117"/>
  <c r="BF117"/>
  <c r="BE117"/>
  <c r="BD117"/>
  <c r="BC117"/>
  <c r="BB117"/>
  <c r="BA117"/>
  <c r="AZ117" s="1"/>
  <c r="AX117"/>
  <c r="AW117"/>
  <c r="AV117"/>
  <c r="AC117"/>
  <c r="H117"/>
  <c r="G117" s="1"/>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s="1"/>
  <c r="BT287"/>
  <c r="BS287"/>
  <c r="BR287"/>
  <c r="BQ287"/>
  <c r="BP287"/>
  <c r="BO287"/>
  <c r="BN287"/>
  <c r="BM287"/>
  <c r="BL287"/>
  <c r="BK287"/>
  <c r="BJ287"/>
  <c r="BI287"/>
  <c r="BH287"/>
  <c r="BG287"/>
  <c r="BF287"/>
  <c r="BE287"/>
  <c r="BD287"/>
  <c r="BC287"/>
  <c r="BB287"/>
  <c r="BA287" s="1"/>
  <c r="AZ287" s="1"/>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X284"/>
  <c r="AW284"/>
  <c r="AV284"/>
  <c r="AC284"/>
  <c r="H284"/>
  <c r="G284" s="1"/>
  <c r="BT283"/>
  <c r="BS283"/>
  <c r="BR283"/>
  <c r="BQ283"/>
  <c r="BP283"/>
  <c r="BO283"/>
  <c r="BN283"/>
  <c r="BM283"/>
  <c r="BL283"/>
  <c r="BK283"/>
  <c r="BJ283"/>
  <c r="BI283"/>
  <c r="BH283"/>
  <c r="BG283"/>
  <c r="BF283"/>
  <c r="BE283"/>
  <c r="BD283"/>
  <c r="BC283"/>
  <c r="BB283"/>
  <c r="BA283" s="1"/>
  <c r="AZ283" s="1"/>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c r="BT280"/>
  <c r="BS280"/>
  <c r="BR280"/>
  <c r="BQ280"/>
  <c r="BP280"/>
  <c r="BO280"/>
  <c r="BN280"/>
  <c r="BM280"/>
  <c r="BL280" s="1"/>
  <c r="BK280"/>
  <c r="BJ280"/>
  <c r="BI280"/>
  <c r="BH280"/>
  <c r="BG280"/>
  <c r="BF280"/>
  <c r="BE280"/>
  <c r="BD280"/>
  <c r="BC280"/>
  <c r="BB280"/>
  <c r="BA280"/>
  <c r="AZ280" s="1"/>
  <c r="AX280"/>
  <c r="AW280"/>
  <c r="AV280"/>
  <c r="AC280"/>
  <c r="H280"/>
  <c r="G280" s="1"/>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X276"/>
  <c r="AW276"/>
  <c r="AV276"/>
  <c r="AC276"/>
  <c r="H276"/>
  <c r="G276"/>
  <c r="BT275"/>
  <c r="BS275"/>
  <c r="BR275"/>
  <c r="BQ275"/>
  <c r="BP275"/>
  <c r="BO275"/>
  <c r="BN275"/>
  <c r="BM275"/>
  <c r="BL275" s="1"/>
  <c r="BK275"/>
  <c r="BJ275"/>
  <c r="BI275"/>
  <c r="BH275"/>
  <c r="BG275"/>
  <c r="BF275"/>
  <c r="BE275"/>
  <c r="BD275"/>
  <c r="BC275"/>
  <c r="BB275"/>
  <c r="BA275"/>
  <c r="AZ275" s="1"/>
  <c r="AX275"/>
  <c r="AW275"/>
  <c r="AV275"/>
  <c r="AC275"/>
  <c r="H275"/>
  <c r="G275" s="1"/>
  <c r="BT274"/>
  <c r="BS274"/>
  <c r="BR274"/>
  <c r="BQ274"/>
  <c r="BP274"/>
  <c r="BO274"/>
  <c r="BN274"/>
  <c r="BM274"/>
  <c r="BL274"/>
  <c r="BK274"/>
  <c r="BJ274"/>
  <c r="BI274"/>
  <c r="BH274"/>
  <c r="BG274"/>
  <c r="BF274"/>
  <c r="BE274"/>
  <c r="BD274"/>
  <c r="BC274"/>
  <c r="BB274"/>
  <c r="BA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s="1"/>
  <c r="BT270"/>
  <c r="BS270"/>
  <c r="BR270"/>
  <c r="BQ270"/>
  <c r="BP270"/>
  <c r="BO270"/>
  <c r="BN270"/>
  <c r="BM270"/>
  <c r="BL270"/>
  <c r="BK270"/>
  <c r="BJ270"/>
  <c r="BI270"/>
  <c r="BH270"/>
  <c r="BG270"/>
  <c r="BF270"/>
  <c r="BE270"/>
  <c r="BD270"/>
  <c r="BC270"/>
  <c r="BB270"/>
  <c r="BA270" s="1"/>
  <c r="AX270"/>
  <c r="AW270"/>
  <c r="AV270"/>
  <c r="AC270"/>
  <c r="H270"/>
  <c r="G270" s="1"/>
  <c r="BT269"/>
  <c r="BS269"/>
  <c r="BR269"/>
  <c r="BQ269"/>
  <c r="BP269"/>
  <c r="BO269"/>
  <c r="BN269"/>
  <c r="BM269"/>
  <c r="BL269"/>
  <c r="BK269"/>
  <c r="BJ269"/>
  <c r="BI269"/>
  <c r="BH269"/>
  <c r="BG269"/>
  <c r="BF269"/>
  <c r="BE269"/>
  <c r="BD269"/>
  <c r="BC269"/>
  <c r="BB269"/>
  <c r="BA269" s="1"/>
  <c r="AZ269" s="1"/>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c r="BT267"/>
  <c r="BS267"/>
  <c r="BR267"/>
  <c r="BQ267"/>
  <c r="BP267"/>
  <c r="BO267"/>
  <c r="BN267"/>
  <c r="BM267"/>
  <c r="BL267" s="1"/>
  <c r="BK267"/>
  <c r="BJ267"/>
  <c r="BI267"/>
  <c r="BH267"/>
  <c r="BG267"/>
  <c r="BF267"/>
  <c r="BE267"/>
  <c r="BD267"/>
  <c r="BC267"/>
  <c r="BB267"/>
  <c r="BA267"/>
  <c r="AX267"/>
  <c r="AW267"/>
  <c r="AV267"/>
  <c r="AC267"/>
  <c r="H267"/>
  <c r="G267" s="1"/>
  <c r="BT266"/>
  <c r="BS266"/>
  <c r="BR266"/>
  <c r="BQ266"/>
  <c r="BP266"/>
  <c r="BO266"/>
  <c r="BN266"/>
  <c r="BM266"/>
  <c r="BL266"/>
  <c r="BK266"/>
  <c r="BJ266"/>
  <c r="BI266"/>
  <c r="BH266"/>
  <c r="BG266"/>
  <c r="BF266"/>
  <c r="BE266"/>
  <c r="BD266"/>
  <c r="BC266"/>
  <c r="BB266"/>
  <c r="BA266" s="1"/>
  <c r="AZ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s="1"/>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c r="BT259"/>
  <c r="BS259"/>
  <c r="BR259"/>
  <c r="BQ259"/>
  <c r="BP259"/>
  <c r="BO259"/>
  <c r="BN259"/>
  <c r="BM259"/>
  <c r="BL259" s="1"/>
  <c r="BK259"/>
  <c r="BJ259"/>
  <c r="BI259"/>
  <c r="BH259"/>
  <c r="BG259"/>
  <c r="BF259"/>
  <c r="BE259"/>
  <c r="BD259"/>
  <c r="BC259"/>
  <c r="BB259"/>
  <c r="BA259"/>
  <c r="AZ259" s="1"/>
  <c r="AX259"/>
  <c r="AW259"/>
  <c r="AV259"/>
  <c r="AC259"/>
  <c r="H259"/>
  <c r="G259" s="1"/>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c r="AZ256" s="1"/>
  <c r="AX256"/>
  <c r="AW256"/>
  <c r="AV256"/>
  <c r="AC256"/>
  <c r="H256"/>
  <c r="G256" s="1"/>
  <c r="BT255"/>
  <c r="BS255"/>
  <c r="BR255"/>
  <c r="BQ255"/>
  <c r="BP255"/>
  <c r="BO255"/>
  <c r="BN255"/>
  <c r="BM255"/>
  <c r="BL255"/>
  <c r="BK255"/>
  <c r="BJ255"/>
  <c r="BI255"/>
  <c r="BH255"/>
  <c r="BG255"/>
  <c r="BF255"/>
  <c r="BE255"/>
  <c r="BD255"/>
  <c r="BC255"/>
  <c r="BB255"/>
  <c r="BA255" s="1"/>
  <c r="AX255"/>
  <c r="AW255"/>
  <c r="AV255"/>
  <c r="AC255"/>
  <c r="H255"/>
  <c r="G255" s="1"/>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c r="AX253"/>
  <c r="AW253"/>
  <c r="AV253"/>
  <c r="AC253"/>
  <c r="H253"/>
  <c r="G253"/>
  <c r="BT252"/>
  <c r="BS252"/>
  <c r="BR252"/>
  <c r="BQ252"/>
  <c r="BP252"/>
  <c r="BO252"/>
  <c r="BN252"/>
  <c r="BM252"/>
  <c r="BL252" s="1"/>
  <c r="BK252"/>
  <c r="BJ252"/>
  <c r="BI252"/>
  <c r="BH252"/>
  <c r="BG252"/>
  <c r="BF252"/>
  <c r="BE252"/>
  <c r="BD252"/>
  <c r="BC252"/>
  <c r="BB252"/>
  <c r="BA252"/>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s="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c r="AX248"/>
  <c r="AW248"/>
  <c r="AV248"/>
  <c r="AC248"/>
  <c r="H248"/>
  <c r="G248" s="1"/>
  <c r="BT247"/>
  <c r="BS247"/>
  <c r="BR247"/>
  <c r="BQ247"/>
  <c r="BP247"/>
  <c r="BO247"/>
  <c r="BN247"/>
  <c r="BM247"/>
  <c r="BL247"/>
  <c r="BK247"/>
  <c r="BJ247"/>
  <c r="BI247"/>
  <c r="BH247"/>
  <c r="BG247"/>
  <c r="BF247"/>
  <c r="BE247"/>
  <c r="BD247"/>
  <c r="BC247"/>
  <c r="BB247"/>
  <c r="BA247" s="1"/>
  <c r="AX247"/>
  <c r="AW247"/>
  <c r="AV247"/>
  <c r="AC247"/>
  <c r="H247"/>
  <c r="G247" s="1"/>
  <c r="BT246"/>
  <c r="BS246"/>
  <c r="BR246"/>
  <c r="BQ246"/>
  <c r="BP246"/>
  <c r="BO246"/>
  <c r="BN246"/>
  <c r="BM246"/>
  <c r="BL246"/>
  <c r="BK246"/>
  <c r="BJ246"/>
  <c r="BI246"/>
  <c r="BH246"/>
  <c r="BG246"/>
  <c r="BF246"/>
  <c r="BE246"/>
  <c r="BD246"/>
  <c r="BC246"/>
  <c r="BB246"/>
  <c r="BA246" s="1"/>
  <c r="AZ246" s="1"/>
  <c r="AX246"/>
  <c r="AW246"/>
  <c r="AV246"/>
  <c r="AC246"/>
  <c r="H246"/>
  <c r="G246"/>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c r="BT243"/>
  <c r="BS243"/>
  <c r="BR243"/>
  <c r="BQ243"/>
  <c r="BP243"/>
  <c r="BO243"/>
  <c r="BN243"/>
  <c r="BM243"/>
  <c r="BL243" s="1"/>
  <c r="BK243"/>
  <c r="BJ243"/>
  <c r="BI243"/>
  <c r="BH243"/>
  <c r="BG243"/>
  <c r="BF243"/>
  <c r="BE243"/>
  <c r="BD243"/>
  <c r="BC243"/>
  <c r="BB243"/>
  <c r="BA243"/>
  <c r="AZ243" s="1"/>
  <c r="AX243"/>
  <c r="AW243"/>
  <c r="AV243"/>
  <c r="AC243"/>
  <c r="H243"/>
  <c r="G243" s="1"/>
  <c r="BT242"/>
  <c r="BS242"/>
  <c r="BR242"/>
  <c r="BQ242"/>
  <c r="BP242"/>
  <c r="BO242"/>
  <c r="BN242"/>
  <c r="BM242"/>
  <c r="BL242"/>
  <c r="BK242"/>
  <c r="BJ242"/>
  <c r="BI242"/>
  <c r="BH242"/>
  <c r="BG242"/>
  <c r="BF242"/>
  <c r="BE242"/>
  <c r="BD242"/>
  <c r="BC242"/>
  <c r="BB242"/>
  <c r="BA242" s="1"/>
  <c r="AZ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c r="AZ240" s="1"/>
  <c r="AX240"/>
  <c r="AW240"/>
  <c r="AV240"/>
  <c r="AC240"/>
  <c r="H240"/>
  <c r="G240" s="1"/>
  <c r="BT239"/>
  <c r="BS239"/>
  <c r="BR239"/>
  <c r="BQ239"/>
  <c r="BP239"/>
  <c r="BO239"/>
  <c r="BN239"/>
  <c r="BM239"/>
  <c r="BL239"/>
  <c r="BK239"/>
  <c r="BJ239"/>
  <c r="BI239"/>
  <c r="BH239"/>
  <c r="BG239"/>
  <c r="BF239"/>
  <c r="BE239"/>
  <c r="BD239"/>
  <c r="BC239"/>
  <c r="BB239"/>
  <c r="BA239" s="1"/>
  <c r="AX239"/>
  <c r="AW239"/>
  <c r="AV239"/>
  <c r="AC239"/>
  <c r="H239"/>
  <c r="G239" s="1"/>
  <c r="BT238"/>
  <c r="BS238"/>
  <c r="BR238"/>
  <c r="BQ238"/>
  <c r="BP238"/>
  <c r="BO238"/>
  <c r="BN238"/>
  <c r="BM238"/>
  <c r="BL238"/>
  <c r="BK238"/>
  <c r="BJ238"/>
  <c r="BI238"/>
  <c r="BH238"/>
  <c r="BG238"/>
  <c r="BF238"/>
  <c r="BE238"/>
  <c r="BD238"/>
  <c r="BC238"/>
  <c r="BB238"/>
  <c r="BA238" s="1"/>
  <c r="AZ238" s="1"/>
  <c r="AX238"/>
  <c r="AW238"/>
  <c r="AV238"/>
  <c r="AC238"/>
  <c r="H238"/>
  <c r="G238"/>
  <c r="BT237"/>
  <c r="BS237"/>
  <c r="BR237"/>
  <c r="BQ237"/>
  <c r="BP237"/>
  <c r="BO237"/>
  <c r="BN237"/>
  <c r="BM237"/>
  <c r="BL237" s="1"/>
  <c r="BK237"/>
  <c r="BJ237"/>
  <c r="BI237"/>
  <c r="BH237"/>
  <c r="BG237"/>
  <c r="BF237"/>
  <c r="BE237"/>
  <c r="BD237"/>
  <c r="BC237"/>
  <c r="BB237"/>
  <c r="BA237"/>
  <c r="AX237"/>
  <c r="AW237"/>
  <c r="AV237"/>
  <c r="AC237"/>
  <c r="H237"/>
  <c r="G237"/>
  <c r="BT236"/>
  <c r="BS236"/>
  <c r="BR236"/>
  <c r="BQ236"/>
  <c r="BP236"/>
  <c r="BO236"/>
  <c r="BN236"/>
  <c r="BM236"/>
  <c r="BL236" s="1"/>
  <c r="BK236"/>
  <c r="BJ236"/>
  <c r="BI236"/>
  <c r="BH236"/>
  <c r="BG236"/>
  <c r="BF236"/>
  <c r="BE236"/>
  <c r="BD236"/>
  <c r="BC236"/>
  <c r="BB236"/>
  <c r="BA236"/>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s="1"/>
  <c r="BT234"/>
  <c r="BS234"/>
  <c r="BR234"/>
  <c r="BQ234"/>
  <c r="BP234"/>
  <c r="BO234"/>
  <c r="BN234"/>
  <c r="BM234"/>
  <c r="BL234"/>
  <c r="BK234"/>
  <c r="BJ234"/>
  <c r="BI234"/>
  <c r="BH234"/>
  <c r="BG234"/>
  <c r="BF234"/>
  <c r="BE234"/>
  <c r="BD234"/>
  <c r="BC234"/>
  <c r="BB234"/>
  <c r="BA234" s="1"/>
  <c r="AZ234" s="1"/>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s="1"/>
  <c r="BT231"/>
  <c r="BS231"/>
  <c r="BR231"/>
  <c r="BQ231"/>
  <c r="BP231"/>
  <c r="BO231"/>
  <c r="BN231"/>
  <c r="BM231"/>
  <c r="BL231"/>
  <c r="BK231"/>
  <c r="BJ231"/>
  <c r="BI231"/>
  <c r="BH231"/>
  <c r="BG231"/>
  <c r="BF231"/>
  <c r="BE231"/>
  <c r="BD231"/>
  <c r="BC231"/>
  <c r="BB231"/>
  <c r="BA231" s="1"/>
  <c r="AX231"/>
  <c r="AW231"/>
  <c r="AV231"/>
  <c r="AC231"/>
  <c r="H231"/>
  <c r="G231" s="1"/>
  <c r="BT230"/>
  <c r="BS230"/>
  <c r="BR230"/>
  <c r="BQ230"/>
  <c r="BP230"/>
  <c r="BO230"/>
  <c r="BN230"/>
  <c r="BM230"/>
  <c r="BL230"/>
  <c r="BK230"/>
  <c r="BJ230"/>
  <c r="BI230"/>
  <c r="BH230"/>
  <c r="BG230"/>
  <c r="BF230"/>
  <c r="BE230"/>
  <c r="BD230"/>
  <c r="BC230"/>
  <c r="BB230"/>
  <c r="BA230" s="1"/>
  <c r="AZ230" s="1"/>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c r="AX228"/>
  <c r="AW228"/>
  <c r="AV228"/>
  <c r="AC228"/>
  <c r="H228"/>
  <c r="G228"/>
  <c r="BT227"/>
  <c r="BS227"/>
  <c r="BR227"/>
  <c r="BQ227"/>
  <c r="BP227"/>
  <c r="BO227"/>
  <c r="BN227"/>
  <c r="BM227"/>
  <c r="BL227" s="1"/>
  <c r="BK227"/>
  <c r="BJ227"/>
  <c r="BI227"/>
  <c r="BH227"/>
  <c r="BG227"/>
  <c r="BF227"/>
  <c r="BE227"/>
  <c r="BD227"/>
  <c r="BC227"/>
  <c r="BB227"/>
  <c r="BA227"/>
  <c r="AZ227" s="1"/>
  <c r="AX227"/>
  <c r="AW227"/>
  <c r="AV227"/>
  <c r="AC227"/>
  <c r="H227"/>
  <c r="G227" s="1"/>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c r="AX225"/>
  <c r="AW225"/>
  <c r="AV225"/>
  <c r="AC225"/>
  <c r="H225"/>
  <c r="G225"/>
  <c r="BT224"/>
  <c r="BS224"/>
  <c r="BR224"/>
  <c r="BQ224"/>
  <c r="BP224"/>
  <c r="BO224"/>
  <c r="BN224"/>
  <c r="BM224"/>
  <c r="BL224" s="1"/>
  <c r="BK224"/>
  <c r="BJ224"/>
  <c r="BI224"/>
  <c r="BH224"/>
  <c r="BG224"/>
  <c r="BF224"/>
  <c r="BE224"/>
  <c r="BD224"/>
  <c r="BC224"/>
  <c r="BB224"/>
  <c r="BA224"/>
  <c r="AZ224" s="1"/>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Z222" s="1"/>
  <c r="AX222"/>
  <c r="AW222"/>
  <c r="AV222"/>
  <c r="AC222"/>
  <c r="H222"/>
  <c r="G222"/>
  <c r="BT221"/>
  <c r="BS221"/>
  <c r="BR221"/>
  <c r="BQ221"/>
  <c r="BP221"/>
  <c r="BO221"/>
  <c r="BN221"/>
  <c r="BM221"/>
  <c r="BL221" s="1"/>
  <c r="BK221"/>
  <c r="BJ221"/>
  <c r="BI221"/>
  <c r="BH221"/>
  <c r="BG221"/>
  <c r="BF221"/>
  <c r="BE221"/>
  <c r="BD221"/>
  <c r="BC221"/>
  <c r="BB221"/>
  <c r="BA221"/>
  <c r="AX221"/>
  <c r="AW221"/>
  <c r="AV221"/>
  <c r="AC221"/>
  <c r="H221"/>
  <c r="G221"/>
  <c r="BT220"/>
  <c r="BS220"/>
  <c r="BR220"/>
  <c r="BQ220"/>
  <c r="BP220"/>
  <c r="BO220"/>
  <c r="BN220"/>
  <c r="BM220"/>
  <c r="BL220" s="1"/>
  <c r="BK220"/>
  <c r="BJ220"/>
  <c r="BI220"/>
  <c r="BH220"/>
  <c r="BG220"/>
  <c r="BF220"/>
  <c r="BE220"/>
  <c r="BD220"/>
  <c r="BC220"/>
  <c r="BB220"/>
  <c r="BA220"/>
  <c r="AX220"/>
  <c r="AW220"/>
  <c r="AV220"/>
  <c r="AC220"/>
  <c r="H220"/>
  <c r="G220"/>
  <c r="BT219"/>
  <c r="BS219"/>
  <c r="BR219"/>
  <c r="BQ219"/>
  <c r="BP219"/>
  <c r="BO219"/>
  <c r="BN219"/>
  <c r="BM219"/>
  <c r="BL219" s="1"/>
  <c r="BK219"/>
  <c r="BJ219"/>
  <c r="BI219"/>
  <c r="BH219"/>
  <c r="BG219"/>
  <c r="BF219"/>
  <c r="BE219"/>
  <c r="BD219"/>
  <c r="BC219"/>
  <c r="BB219"/>
  <c r="BA219"/>
  <c r="AX219"/>
  <c r="AW219"/>
  <c r="AV219"/>
  <c r="AC219"/>
  <c r="H219"/>
  <c r="G219" s="1"/>
  <c r="BT218"/>
  <c r="BS218"/>
  <c r="BR218"/>
  <c r="BQ218"/>
  <c r="BP218"/>
  <c r="BO218"/>
  <c r="BN218"/>
  <c r="BM218"/>
  <c r="BL218"/>
  <c r="BK218"/>
  <c r="BJ218"/>
  <c r="BI218"/>
  <c r="BH218"/>
  <c r="BG218"/>
  <c r="BF218"/>
  <c r="BE218"/>
  <c r="BD218"/>
  <c r="BC218"/>
  <c r="BB218"/>
  <c r="BA218" s="1"/>
  <c r="AZ218" s="1"/>
  <c r="AX218"/>
  <c r="AW218"/>
  <c r="AV218"/>
  <c r="AC218"/>
  <c r="H218"/>
  <c r="G218"/>
  <c r="BT217"/>
  <c r="BS217"/>
  <c r="BR217"/>
  <c r="BQ217"/>
  <c r="BP217"/>
  <c r="BO217"/>
  <c r="BN217"/>
  <c r="BM217"/>
  <c r="BL217" s="1"/>
  <c r="BK217"/>
  <c r="BJ217"/>
  <c r="BI217"/>
  <c r="BH217"/>
  <c r="BG217"/>
  <c r="BF217"/>
  <c r="BE217"/>
  <c r="BD217"/>
  <c r="BC217"/>
  <c r="BB217"/>
  <c r="BA217"/>
  <c r="AX217"/>
  <c r="AW217"/>
  <c r="AV217"/>
  <c r="AC217"/>
  <c r="H217"/>
  <c r="G217"/>
  <c r="BT216"/>
  <c r="BS216"/>
  <c r="BR216"/>
  <c r="BQ216"/>
  <c r="BP216"/>
  <c r="BO216"/>
  <c r="BN216"/>
  <c r="BM216"/>
  <c r="BL216" s="1"/>
  <c r="BK216"/>
  <c r="BJ216"/>
  <c r="BI216"/>
  <c r="BH216"/>
  <c r="BG216"/>
  <c r="BF216"/>
  <c r="BE216"/>
  <c r="BD216"/>
  <c r="BC216"/>
  <c r="BB216"/>
  <c r="BA216"/>
  <c r="AX216"/>
  <c r="AW216"/>
  <c r="AV216"/>
  <c r="AC216"/>
  <c r="H216"/>
  <c r="G216" s="1"/>
  <c r="BT215"/>
  <c r="BS215"/>
  <c r="BR215"/>
  <c r="BQ215"/>
  <c r="BP215"/>
  <c r="BO215"/>
  <c r="BN215"/>
  <c r="BM215"/>
  <c r="BL215"/>
  <c r="BK215"/>
  <c r="BJ215"/>
  <c r="BI215"/>
  <c r="BH215"/>
  <c r="BG215"/>
  <c r="BF215"/>
  <c r="BE215"/>
  <c r="BD215"/>
  <c r="BC215"/>
  <c r="BB215"/>
  <c r="BA215" s="1"/>
  <c r="AX215"/>
  <c r="AW215"/>
  <c r="AV215"/>
  <c r="AC215"/>
  <c r="H215"/>
  <c r="G215" s="1"/>
  <c r="BT214"/>
  <c r="BS214"/>
  <c r="BR214"/>
  <c r="BQ214"/>
  <c r="BP214"/>
  <c r="BO214"/>
  <c r="BN214"/>
  <c r="BM214"/>
  <c r="BL214"/>
  <c r="BK214"/>
  <c r="BJ214"/>
  <c r="BI214"/>
  <c r="BH214"/>
  <c r="BG214"/>
  <c r="BF214"/>
  <c r="BE214"/>
  <c r="BD214"/>
  <c r="BC214"/>
  <c r="BB214"/>
  <c r="BA214" s="1"/>
  <c r="AZ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c r="BT212"/>
  <c r="BS212"/>
  <c r="BR212"/>
  <c r="BQ212"/>
  <c r="BP212"/>
  <c r="BO212"/>
  <c r="BN212"/>
  <c r="BM212"/>
  <c r="BL212" s="1"/>
  <c r="BK212"/>
  <c r="BJ212"/>
  <c r="BI212"/>
  <c r="BH212"/>
  <c r="BG212"/>
  <c r="BF212"/>
  <c r="BE212"/>
  <c r="BD212"/>
  <c r="BC212"/>
  <c r="BB212"/>
  <c r="BA212"/>
  <c r="AX212"/>
  <c r="AW212"/>
  <c r="AV212"/>
  <c r="AC212"/>
  <c r="H212"/>
  <c r="G212"/>
  <c r="BT211"/>
  <c r="BS211"/>
  <c r="BR211"/>
  <c r="BQ211"/>
  <c r="BP211"/>
  <c r="BO211"/>
  <c r="BN211"/>
  <c r="BM211"/>
  <c r="BL211" s="1"/>
  <c r="BK211"/>
  <c r="BJ211"/>
  <c r="BI211"/>
  <c r="BH211"/>
  <c r="BG211"/>
  <c r="BF211"/>
  <c r="BE211"/>
  <c r="BD211"/>
  <c r="BC211"/>
  <c r="BB211"/>
  <c r="BA211"/>
  <c r="AX211"/>
  <c r="AW211"/>
  <c r="AV211"/>
  <c r="AC211"/>
  <c r="H211"/>
  <c r="G211" s="1"/>
  <c r="BT210"/>
  <c r="BS210"/>
  <c r="BR210"/>
  <c r="BQ210"/>
  <c r="BP210"/>
  <c r="BO210"/>
  <c r="BN210"/>
  <c r="BM210"/>
  <c r="BL210"/>
  <c r="BK210"/>
  <c r="BJ210"/>
  <c r="BI210"/>
  <c r="BH210"/>
  <c r="BG210"/>
  <c r="BF210"/>
  <c r="BE210"/>
  <c r="BD210"/>
  <c r="BC210"/>
  <c r="BB210"/>
  <c r="BA210" s="1"/>
  <c r="AZ210"/>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Z208" s="1"/>
  <c r="AX208"/>
  <c r="AW208"/>
  <c r="AV208"/>
  <c r="AC208"/>
  <c r="H208"/>
  <c r="G208" s="1"/>
  <c r="BT207"/>
  <c r="BS207"/>
  <c r="BR207"/>
  <c r="BQ207"/>
  <c r="BP207"/>
  <c r="BO207"/>
  <c r="BN207"/>
  <c r="BM207"/>
  <c r="BL207"/>
  <c r="BK207"/>
  <c r="BJ207"/>
  <c r="BI207"/>
  <c r="BH207"/>
  <c r="BG207"/>
  <c r="BF207"/>
  <c r="BE207"/>
  <c r="BD207"/>
  <c r="BC207"/>
  <c r="BB207"/>
  <c r="BA207" s="1"/>
  <c r="AX207"/>
  <c r="AW207"/>
  <c r="AV207"/>
  <c r="AC207"/>
  <c r="H207"/>
  <c r="G207" s="1"/>
  <c r="BT206"/>
  <c r="BS206"/>
  <c r="BR206"/>
  <c r="BQ206"/>
  <c r="BP206"/>
  <c r="BO206"/>
  <c r="BN206"/>
  <c r="BM206"/>
  <c r="BL206"/>
  <c r="BK206"/>
  <c r="BJ206"/>
  <c r="BI206"/>
  <c r="BH206"/>
  <c r="BG206"/>
  <c r="BF206"/>
  <c r="BE206"/>
  <c r="BD206"/>
  <c r="BC206"/>
  <c r="BB206"/>
  <c r="BA206" s="1"/>
  <c r="AZ206" s="1"/>
  <c r="AX206"/>
  <c r="AW206"/>
  <c r="AV206"/>
  <c r="AC206"/>
  <c r="H206"/>
  <c r="G206"/>
  <c r="BT205"/>
  <c r="BS205"/>
  <c r="BR205"/>
  <c r="BQ205"/>
  <c r="BP205"/>
  <c r="BO205"/>
  <c r="BN205"/>
  <c r="BM205"/>
  <c r="BL205" s="1"/>
  <c r="BK205"/>
  <c r="BJ205"/>
  <c r="BI205"/>
  <c r="BH205"/>
  <c r="BG205"/>
  <c r="BF205"/>
  <c r="BE205"/>
  <c r="BD205"/>
  <c r="BC205"/>
  <c r="BB205"/>
  <c r="BA205"/>
  <c r="AX205"/>
  <c r="AW205"/>
  <c r="AV205"/>
  <c r="AC205"/>
  <c r="H205"/>
  <c r="G205"/>
  <c r="BT388"/>
  <c r="BS388"/>
  <c r="BR388"/>
  <c r="BQ388"/>
  <c r="BP388"/>
  <c r="BO388"/>
  <c r="BN388"/>
  <c r="BM388"/>
  <c r="BL388" s="1"/>
  <c r="BK388"/>
  <c r="BJ388"/>
  <c r="BI388"/>
  <c r="BH388"/>
  <c r="BG388"/>
  <c r="BF388"/>
  <c r="BE388"/>
  <c r="BD388"/>
  <c r="BC388"/>
  <c r="BB388"/>
  <c r="BA388"/>
  <c r="AX388"/>
  <c r="AW388"/>
  <c r="AV388"/>
  <c r="AC388"/>
  <c r="H388"/>
  <c r="G388"/>
  <c r="BT387"/>
  <c r="BS387"/>
  <c r="BR387"/>
  <c r="BQ387"/>
  <c r="BP387"/>
  <c r="BO387"/>
  <c r="BN387"/>
  <c r="BM387"/>
  <c r="BL387" s="1"/>
  <c r="BK387"/>
  <c r="BJ387"/>
  <c r="BI387"/>
  <c r="BH387"/>
  <c r="BG387"/>
  <c r="BF387"/>
  <c r="BE387"/>
  <c r="BD387"/>
  <c r="BC387"/>
  <c r="BB387"/>
  <c r="BA387"/>
  <c r="AZ387" s="1"/>
  <c r="AX387"/>
  <c r="AW387"/>
  <c r="AV387"/>
  <c r="AC387"/>
  <c r="H387"/>
  <c r="G387" s="1"/>
  <c r="BT386"/>
  <c r="BS386"/>
  <c r="BR386"/>
  <c r="BQ386"/>
  <c r="BP386"/>
  <c r="BO386"/>
  <c r="BN386"/>
  <c r="BM386"/>
  <c r="BL386"/>
  <c r="BK386"/>
  <c r="BJ386"/>
  <c r="BI386"/>
  <c r="BH386"/>
  <c r="BG386"/>
  <c r="BF386"/>
  <c r="BE386"/>
  <c r="BD386"/>
  <c r="BC386"/>
  <c r="BB386"/>
  <c r="BA386" s="1"/>
  <c r="AZ386"/>
  <c r="AX386"/>
  <c r="AW386"/>
  <c r="AV386"/>
  <c r="AC386"/>
  <c r="H386"/>
  <c r="G386"/>
  <c r="BT385"/>
  <c r="BS385"/>
  <c r="BR385"/>
  <c r="BQ385"/>
  <c r="BP385"/>
  <c r="BO385"/>
  <c r="BN385"/>
  <c r="BM385"/>
  <c r="BL385" s="1"/>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s="1"/>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s="1"/>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s="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s="1"/>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s="1"/>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s="1"/>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s="1"/>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s="1"/>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L351"/>
  <c r="BK351"/>
  <c r="BJ351"/>
  <c r="BI351"/>
  <c r="BH351"/>
  <c r="BG351"/>
  <c r="BF351"/>
  <c r="BE351"/>
  <c r="BD351"/>
  <c r="BC351"/>
  <c r="BB351"/>
  <c r="BA351" s="1"/>
  <c r="AX351"/>
  <c r="AW351"/>
  <c r="AV351"/>
  <c r="AC351"/>
  <c r="H351"/>
  <c r="BT350"/>
  <c r="BS350"/>
  <c r="BR350"/>
  <c r="BQ350"/>
  <c r="BP350"/>
  <c r="BO350"/>
  <c r="BN350"/>
  <c r="BM350"/>
  <c r="BL350" s="1"/>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N335"/>
  <c r="BM335"/>
  <c r="BL335"/>
  <c r="BK335"/>
  <c r="BJ335"/>
  <c r="BI335"/>
  <c r="BH335"/>
  <c r="BG335"/>
  <c r="BF335"/>
  <c r="BE335"/>
  <c r="BD335"/>
  <c r="BC335"/>
  <c r="BB335"/>
  <c r="BA335" s="1"/>
  <c r="AX335"/>
  <c r="AW335"/>
  <c r="AV335"/>
  <c r="AC335"/>
  <c r="H335"/>
  <c r="BT334"/>
  <c r="BS334"/>
  <c r="BR334"/>
  <c r="BQ334"/>
  <c r="BP334"/>
  <c r="BO334"/>
  <c r="BN334"/>
  <c r="BM334"/>
  <c r="BL334" s="1"/>
  <c r="BK334"/>
  <c r="BJ334"/>
  <c r="BI334"/>
  <c r="BH334"/>
  <c r="BG334"/>
  <c r="BF334"/>
  <c r="BE334"/>
  <c r="BD334"/>
  <c r="BC334"/>
  <c r="BB334"/>
  <c r="BA334"/>
  <c r="AX334"/>
  <c r="AW334"/>
  <c r="AV334"/>
  <c r="AC334"/>
  <c r="H334"/>
  <c r="BT333"/>
  <c r="BS333"/>
  <c r="BR333"/>
  <c r="BQ333"/>
  <c r="BP333"/>
  <c r="BO333"/>
  <c r="BN333"/>
  <c r="BM333"/>
  <c r="BK333"/>
  <c r="BJ333"/>
  <c r="BI333"/>
  <c r="BH333"/>
  <c r="BG333"/>
  <c r="BF333"/>
  <c r="BE333"/>
  <c r="BD333"/>
  <c r="BC333"/>
  <c r="BB333"/>
  <c r="BA333" s="1"/>
  <c r="AX333"/>
  <c r="AW333"/>
  <c r="AV333"/>
  <c r="AC333"/>
  <c r="H333"/>
  <c r="G333" s="1"/>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c r="BK319"/>
  <c r="BJ319"/>
  <c r="BI319"/>
  <c r="BH319"/>
  <c r="BG319"/>
  <c r="BF319"/>
  <c r="BE319"/>
  <c r="BD319"/>
  <c r="BC319"/>
  <c r="BB319"/>
  <c r="BA319" s="1"/>
  <c r="AX319"/>
  <c r="AW319"/>
  <c r="AV319"/>
  <c r="AC319"/>
  <c r="H319"/>
  <c r="BT318"/>
  <c r="BS318"/>
  <c r="BR318"/>
  <c r="BQ318"/>
  <c r="BP318"/>
  <c r="BO318"/>
  <c r="BN318"/>
  <c r="BM318"/>
  <c r="BL318" s="1"/>
  <c r="BK318"/>
  <c r="BJ318"/>
  <c r="BI318"/>
  <c r="BH318"/>
  <c r="BG318"/>
  <c r="BF318"/>
  <c r="BE318"/>
  <c r="BD318"/>
  <c r="BC318"/>
  <c r="BB318"/>
  <c r="BA318"/>
  <c r="AX318"/>
  <c r="AW318"/>
  <c r="AV318"/>
  <c r="AC318"/>
  <c r="H318"/>
  <c r="BT317"/>
  <c r="BS317"/>
  <c r="BR317"/>
  <c r="BQ317"/>
  <c r="BP317"/>
  <c r="BO317"/>
  <c r="BN317"/>
  <c r="BM317"/>
  <c r="BK317"/>
  <c r="BJ317"/>
  <c r="BI317"/>
  <c r="BH317"/>
  <c r="BG317"/>
  <c r="BF317"/>
  <c r="BE317"/>
  <c r="BD317"/>
  <c r="BC317"/>
  <c r="BB317"/>
  <c r="BA317" s="1"/>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BA480"/>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Z472" s="1"/>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s="1"/>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M451"/>
  <c r="BL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X429"/>
  <c r="AW429"/>
  <c r="AV429"/>
  <c r="AC429"/>
  <c r="H429"/>
  <c r="G429" s="1"/>
  <c r="BT428"/>
  <c r="BS428"/>
  <c r="BR428"/>
  <c r="BQ428"/>
  <c r="BP428"/>
  <c r="BO428"/>
  <c r="BN428"/>
  <c r="BM428"/>
  <c r="BL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Z419" s="1"/>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Z409" s="1"/>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H407"/>
  <c r="G407"/>
  <c r="BT406"/>
  <c r="BS406"/>
  <c r="BR406"/>
  <c r="BQ406"/>
  <c r="BP406"/>
  <c r="BO406"/>
  <c r="BN406"/>
  <c r="BM406"/>
  <c r="BL406" s="1"/>
  <c r="BK406"/>
  <c r="BJ406"/>
  <c r="BI406"/>
  <c r="BH406"/>
  <c r="BG406"/>
  <c r="BF406"/>
  <c r="BE406"/>
  <c r="BD406"/>
  <c r="BC406"/>
  <c r="BB406"/>
  <c r="BA406"/>
  <c r="AZ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Z402" s="1"/>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c r="BT400"/>
  <c r="BS400"/>
  <c r="BR400"/>
  <c r="BQ400"/>
  <c r="BP400"/>
  <c r="BO400"/>
  <c r="BN400"/>
  <c r="BM400"/>
  <c r="BL400" s="1"/>
  <c r="BK400"/>
  <c r="BJ400"/>
  <c r="BI400"/>
  <c r="BH400"/>
  <c r="BG400"/>
  <c r="BF400"/>
  <c r="BE400"/>
  <c r="BD400"/>
  <c r="BC400"/>
  <c r="BB400"/>
  <c r="BA400"/>
  <c r="AX400"/>
  <c r="AW400"/>
  <c r="AV400"/>
  <c r="AC400"/>
  <c r="H400"/>
  <c r="G400" s="1"/>
  <c r="BT399"/>
  <c r="BS399"/>
  <c r="BR399"/>
  <c r="BQ399"/>
  <c r="BP399"/>
  <c r="BO399"/>
  <c r="BN399"/>
  <c r="BM399"/>
  <c r="BL399"/>
  <c r="BK399"/>
  <c r="BJ399"/>
  <c r="BI399"/>
  <c r="BH399"/>
  <c r="BG399"/>
  <c r="BF399"/>
  <c r="BE399"/>
  <c r="BD399"/>
  <c r="BC399"/>
  <c r="BB399"/>
  <c r="BA399" s="1"/>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L394" s="1"/>
  <c r="BK394"/>
  <c r="BJ394"/>
  <c r="BI394"/>
  <c r="BH394"/>
  <c r="BG394"/>
  <c r="BF394"/>
  <c r="BE394"/>
  <c r="BD394"/>
  <c r="BC394"/>
  <c r="BB394"/>
  <c r="BA394"/>
  <c r="AX394"/>
  <c r="AW394"/>
  <c r="AV394"/>
  <c r="AC394"/>
  <c r="H394"/>
  <c r="G394"/>
  <c r="BT393"/>
  <c r="BS393"/>
  <c r="BR393"/>
  <c r="BQ393"/>
  <c r="BP393"/>
  <c r="BO393"/>
  <c r="BN393"/>
  <c r="BM393"/>
  <c r="BL393" s="1"/>
  <c r="BK393"/>
  <c r="BJ393"/>
  <c r="BI393"/>
  <c r="BH393"/>
  <c r="BG393"/>
  <c r="BF393"/>
  <c r="BE393"/>
  <c r="BD393"/>
  <c r="BC393"/>
  <c r="BB393"/>
  <c r="BA393"/>
  <c r="AZ393" s="1"/>
  <c r="AX393"/>
  <c r="AW393"/>
  <c r="AV393"/>
  <c r="AC393"/>
  <c r="H393"/>
  <c r="G393" s="1"/>
  <c r="BT392"/>
  <c r="BS392"/>
  <c r="BR392"/>
  <c r="BQ392"/>
  <c r="BP392"/>
  <c r="BO392"/>
  <c r="BN392"/>
  <c r="BM392"/>
  <c r="BL392"/>
  <c r="BK392"/>
  <c r="BJ392"/>
  <c r="BI392"/>
  <c r="BH392"/>
  <c r="BG392"/>
  <c r="BF392"/>
  <c r="BE392"/>
  <c r="BD392"/>
  <c r="BC392"/>
  <c r="BB392"/>
  <c r="BA392" s="1"/>
  <c r="AZ392" s="1"/>
  <c r="AX392"/>
  <c r="AW392"/>
  <c r="AV392"/>
  <c r="AC392"/>
  <c r="H392"/>
  <c r="G392"/>
  <c r="BT391"/>
  <c r="BS391"/>
  <c r="BR391"/>
  <c r="BQ391"/>
  <c r="BP391"/>
  <c r="BO391"/>
  <c r="BN391"/>
  <c r="BM391"/>
  <c r="BL391" s="1"/>
  <c r="BK391"/>
  <c r="BJ391"/>
  <c r="BI391"/>
  <c r="BH391"/>
  <c r="BG391"/>
  <c r="BF391"/>
  <c r="BE391"/>
  <c r="BD391"/>
  <c r="BC391"/>
  <c r="BB391"/>
  <c r="BA391"/>
  <c r="AX391"/>
  <c r="AW391"/>
  <c r="AV391"/>
  <c r="AC391"/>
  <c r="H391"/>
  <c r="G391"/>
  <c r="BT390"/>
  <c r="BS390"/>
  <c r="BR390"/>
  <c r="BQ390"/>
  <c r="BP390"/>
  <c r="BO390"/>
  <c r="BN390"/>
  <c r="BM390"/>
  <c r="BL390" s="1"/>
  <c r="BK390"/>
  <c r="BJ390"/>
  <c r="BI390"/>
  <c r="BH390"/>
  <c r="BG390"/>
  <c r="BF390"/>
  <c r="BE390"/>
  <c r="BD390"/>
  <c r="BC390"/>
  <c r="BB390"/>
  <c r="BA390"/>
  <c r="AX390"/>
  <c r="AW390"/>
  <c r="AV390"/>
  <c r="AC390"/>
  <c r="H390"/>
  <c r="G390"/>
  <c r="BT389"/>
  <c r="BS389"/>
  <c r="BR389"/>
  <c r="BQ389"/>
  <c r="BP389"/>
  <c r="BO389"/>
  <c r="BN389"/>
  <c r="BM389"/>
  <c r="BL389" s="1"/>
  <c r="BK389"/>
  <c r="BJ389"/>
  <c r="BI389"/>
  <c r="BH389"/>
  <c r="BG389"/>
  <c r="BF389"/>
  <c r="BE389"/>
  <c r="BD389"/>
  <c r="BC389"/>
  <c r="BB389"/>
  <c r="BA389"/>
  <c r="AX389"/>
  <c r="AW389"/>
  <c r="AV389"/>
  <c r="AC389"/>
  <c r="H389"/>
  <c r="G389" s="1"/>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s="1"/>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A2" i="9"/>
  <c r="T16" i="4"/>
  <c r="D14"/>
  <c r="M4" i="9"/>
  <c r="L4"/>
  <c r="G36" i="4"/>
  <c r="K2" i="54"/>
  <c r="B23" i="63" s="1"/>
  <c r="A3" i="51"/>
  <c r="R41" i="4"/>
  <c r="Q41"/>
  <c r="P41"/>
  <c r="O41"/>
  <c r="N41"/>
  <c r="M41"/>
  <c r="L41"/>
  <c r="K40"/>
  <c r="T40" s="1"/>
  <c r="F23"/>
  <c r="D19"/>
  <c r="I19"/>
  <c r="H19"/>
  <c r="G19"/>
  <c r="F19"/>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I73"/>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2" i="1"/>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E54"/>
  <c r="F54" s="1"/>
  <c r="H14" i="3"/>
  <c r="AC14"/>
  <c r="H15"/>
  <c r="AC15"/>
  <c r="H16"/>
  <c r="AC16"/>
  <c r="H17"/>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s="1"/>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s="1"/>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5" i="31"/>
  <c r="S517"/>
  <c r="S519"/>
  <c r="S521"/>
  <c r="S523"/>
  <c r="F41" i="21"/>
  <c r="S41" s="1"/>
  <c r="J41"/>
  <c r="AC41" s="1"/>
  <c r="H41"/>
  <c r="U41" s="1"/>
  <c r="D83" i="39"/>
  <c r="E83" s="1"/>
  <c r="F83" s="1"/>
  <c r="G83" s="1"/>
  <c r="H83" s="1"/>
  <c r="I83" s="1"/>
  <c r="J83" s="1"/>
  <c r="K83" s="1"/>
  <c r="L83" s="1"/>
  <c r="M83" s="1"/>
  <c r="D78" i="40"/>
  <c r="F13"/>
  <c r="S13" s="1"/>
  <c r="B122"/>
  <c r="F42" s="1"/>
  <c r="AA42" s="1"/>
  <c r="B120"/>
  <c r="B118"/>
  <c r="F40"/>
  <c r="AA40" s="1"/>
  <c r="D117"/>
  <c r="E117" s="1"/>
  <c r="F117" s="1"/>
  <c r="G117" s="1"/>
  <c r="H117" s="1"/>
  <c r="I117" s="1"/>
  <c r="J117" s="1"/>
  <c r="K117" s="1"/>
  <c r="L117" s="1"/>
  <c r="M117" s="1"/>
  <c r="D115"/>
  <c r="J38"/>
  <c r="AC38" s="1"/>
  <c r="E115"/>
  <c r="F115" s="1"/>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F100" s="1"/>
  <c r="D98"/>
  <c r="E98" s="1"/>
  <c r="B97"/>
  <c r="D94"/>
  <c r="D92"/>
  <c r="D90"/>
  <c r="H21"/>
  <c r="AB21" s="1"/>
  <c r="D88"/>
  <c r="E88" s="1"/>
  <c r="D86"/>
  <c r="E86"/>
  <c r="J17" s="1"/>
  <c r="B83"/>
  <c r="F16"/>
  <c r="AA16" s="1"/>
  <c r="B81"/>
  <c r="B79"/>
  <c r="F14" s="1"/>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E103" s="1"/>
  <c r="D101"/>
  <c r="E101" s="1"/>
  <c r="F101" s="1"/>
  <c r="G101" s="1"/>
  <c r="Q41"/>
  <c r="Z41" s="1"/>
  <c r="Q42"/>
  <c r="Z42" s="1"/>
  <c r="Q43"/>
  <c r="Z43" s="1"/>
  <c r="Q44"/>
  <c r="Z44" s="1"/>
  <c r="Q45"/>
  <c r="Z45" s="1"/>
  <c r="Q46"/>
  <c r="Z46" s="1"/>
  <c r="Q47"/>
  <c r="Z47" s="1"/>
  <c r="Q40"/>
  <c r="Z40"/>
  <c r="Q38"/>
  <c r="Z38" s="1"/>
  <c r="Q39"/>
  <c r="Z39" s="1"/>
  <c r="M118"/>
  <c r="L118"/>
  <c r="K118"/>
  <c r="J118"/>
  <c r="I118"/>
  <c r="H118"/>
  <c r="G118"/>
  <c r="F118"/>
  <c r="E118"/>
  <c r="D118"/>
  <c r="C118"/>
  <c r="B133"/>
  <c r="F47" s="1"/>
  <c r="B131"/>
  <c r="B129"/>
  <c r="D128"/>
  <c r="D124"/>
  <c r="E124" s="1"/>
  <c r="F124" s="1"/>
  <c r="G124" s="1"/>
  <c r="H124" s="1"/>
  <c r="I124" s="1"/>
  <c r="J124" s="1"/>
  <c r="K124" s="1"/>
  <c r="L124" s="1"/>
  <c r="M124" s="1"/>
  <c r="B106"/>
  <c r="H33" s="1"/>
  <c r="U33" s="1"/>
  <c r="D99"/>
  <c r="E99" s="1"/>
  <c r="F99" s="1"/>
  <c r="G99" s="1"/>
  <c r="D97"/>
  <c r="D95"/>
  <c r="E95" s="1"/>
  <c r="F95" s="1"/>
  <c r="G95" s="1"/>
  <c r="D93"/>
  <c r="E93" s="1"/>
  <c r="F93" s="1"/>
  <c r="G93" s="1"/>
  <c r="D91"/>
  <c r="E91" s="1"/>
  <c r="B88"/>
  <c r="B86"/>
  <c r="H15" s="1"/>
  <c r="U15" s="1"/>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s="1"/>
  <c r="D94"/>
  <c r="M90"/>
  <c r="L90"/>
  <c r="K90"/>
  <c r="J90"/>
  <c r="I90"/>
  <c r="H90"/>
  <c r="G90"/>
  <c r="F90"/>
  <c r="E90"/>
  <c r="D90"/>
  <c r="C90"/>
  <c r="D89"/>
  <c r="B86"/>
  <c r="B84"/>
  <c r="H27" s="1"/>
  <c r="U27" s="1"/>
  <c r="B82"/>
  <c r="J26" s="1"/>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c r="H29"/>
  <c r="U29" s="1"/>
  <c r="Q28"/>
  <c r="Z28" s="1"/>
  <c r="Q27"/>
  <c r="Z27" s="1"/>
  <c r="Q26"/>
  <c r="Z26" s="1"/>
  <c r="H26"/>
  <c r="AB26" s="1"/>
  <c r="Q25"/>
  <c r="Z25" s="1"/>
  <c r="J25"/>
  <c r="W25" s="1"/>
  <c r="F25"/>
  <c r="AA25" s="1"/>
  <c r="Q23"/>
  <c r="Z23" s="1"/>
  <c r="Q19"/>
  <c r="Z19" s="1"/>
  <c r="Q17"/>
  <c r="Z17"/>
  <c r="Q15"/>
  <c r="Z15"/>
  <c r="Q14"/>
  <c r="Z14"/>
  <c r="Q13"/>
  <c r="Z13"/>
  <c r="Q12"/>
  <c r="Z12"/>
  <c r="Q11"/>
  <c r="Z11"/>
  <c r="Q10"/>
  <c r="Z10"/>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H9" s="1"/>
  <c r="AB9" s="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s="1"/>
  <c r="B99"/>
  <c r="B97"/>
  <c r="B77"/>
  <c r="B75"/>
  <c r="J24"/>
  <c r="AC24" s="1"/>
  <c r="B73"/>
  <c r="B57"/>
  <c r="B61"/>
  <c r="B59"/>
  <c r="H12" s="1"/>
  <c r="B131" i="34"/>
  <c r="B129"/>
  <c r="B127"/>
  <c r="B99"/>
  <c r="B97"/>
  <c r="B95"/>
  <c r="B93"/>
  <c r="B75"/>
  <c r="B73"/>
  <c r="B71"/>
  <c r="B130" i="33"/>
  <c r="B128"/>
  <c r="H45" s="1"/>
  <c r="B126"/>
  <c r="B98"/>
  <c r="F31"/>
  <c r="AA31" s="1"/>
  <c r="B96"/>
  <c r="B94"/>
  <c r="B74"/>
  <c r="B72"/>
  <c r="B70"/>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s="1"/>
  <c r="Q24"/>
  <c r="Z24" s="1"/>
  <c r="Q23"/>
  <c r="Z23" s="1"/>
  <c r="J23"/>
  <c r="AC23" s="1"/>
  <c r="Q22"/>
  <c r="Z22"/>
  <c r="Q20"/>
  <c r="Z20"/>
  <c r="Q16"/>
  <c r="Z16" s="1"/>
  <c r="Q14"/>
  <c r="Z14" s="1"/>
  <c r="Q13"/>
  <c r="Z13" s="1"/>
  <c r="Q12"/>
  <c r="Z12" s="1"/>
  <c r="F12"/>
  <c r="AA12" s="1"/>
  <c r="Q11"/>
  <c r="Z11" s="1"/>
  <c r="Q10"/>
  <c r="Z10" s="1"/>
  <c r="Q9"/>
  <c r="Z9" s="1"/>
  <c r="J9"/>
  <c r="W9" s="1"/>
  <c r="F9"/>
  <c r="AA9" s="1"/>
  <c r="J8"/>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s="1"/>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s="1"/>
  <c r="Q42"/>
  <c r="Z42" s="1"/>
  <c r="J42"/>
  <c r="AC42" s="1"/>
  <c r="W41"/>
  <c r="Q41"/>
  <c r="Z41"/>
  <c r="Q40"/>
  <c r="Z40"/>
  <c r="J40"/>
  <c r="AC40" s="1"/>
  <c r="H40"/>
  <c r="AA40"/>
  <c r="Q39"/>
  <c r="Z39" s="1"/>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J12"/>
  <c r="W12" s="1"/>
  <c r="H12"/>
  <c r="U12" s="1"/>
  <c r="F12"/>
  <c r="S12" s="1"/>
  <c r="Q11"/>
  <c r="Z11" s="1"/>
  <c r="Q10"/>
  <c r="Z10" s="1"/>
  <c r="Q9"/>
  <c r="Z9" s="1"/>
  <c r="H9"/>
  <c r="AB9" s="1"/>
  <c r="J8"/>
  <c r="W8" s="1"/>
  <c r="H8"/>
  <c r="F8"/>
  <c r="C7"/>
  <c r="C58" s="1"/>
  <c r="D58" s="1"/>
  <c r="E58" s="1"/>
  <c r="F58" s="1"/>
  <c r="G58" s="1"/>
  <c r="H58" s="1"/>
  <c r="I58" s="1"/>
  <c r="J58" s="1"/>
  <c r="K58" s="1"/>
  <c r="L58" s="1"/>
  <c r="M58" s="1"/>
  <c r="N58" s="1"/>
  <c r="O58" s="1"/>
  <c r="M102" i="21"/>
  <c r="D102"/>
  <c r="E102"/>
  <c r="F102"/>
  <c r="G102"/>
  <c r="H102"/>
  <c r="I102"/>
  <c r="J102"/>
  <c r="K102"/>
  <c r="L102"/>
  <c r="C102"/>
  <c r="C63"/>
  <c r="F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D119"/>
  <c r="D117"/>
  <c r="E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s="1"/>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c r="Q36"/>
  <c r="Z36"/>
  <c r="Q37"/>
  <c r="Z37" s="1"/>
  <c r="J38"/>
  <c r="W38" s="1"/>
  <c r="Q38"/>
  <c r="Z38" s="1"/>
  <c r="Q39"/>
  <c r="Z39" s="1"/>
  <c r="Q40"/>
  <c r="Z40" s="1"/>
  <c r="Q41"/>
  <c r="Z41" s="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s="1"/>
  <c r="BG13"/>
  <c r="BH13"/>
  <c r="BI13"/>
  <c r="BJ13"/>
  <c r="BK13"/>
  <c r="BM13"/>
  <c r="BN13"/>
  <c r="BO13"/>
  <c r="BP13"/>
  <c r="BS13"/>
  <c r="BT13"/>
  <c r="BB570"/>
  <c r="BC570"/>
  <c r="BD570"/>
  <c r="BE570"/>
  <c r="BA570" s="1"/>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S32" s="1"/>
  <c r="F38"/>
  <c r="S38" s="1"/>
  <c r="F36"/>
  <c r="S36" s="1"/>
  <c r="J40"/>
  <c r="W40" s="1"/>
  <c r="H35"/>
  <c r="AB35" s="1"/>
  <c r="J8"/>
  <c r="AC8" s="1"/>
  <c r="J9"/>
  <c r="AC9" s="1"/>
  <c r="H8"/>
  <c r="AB8" s="1"/>
  <c r="H9"/>
  <c r="AB9" s="1"/>
  <c r="H10"/>
  <c r="U10" s="1"/>
  <c r="J34"/>
  <c r="W34" s="1"/>
  <c r="H36"/>
  <c r="U36" s="1"/>
  <c r="F35"/>
  <c r="AA35" s="1"/>
  <c r="J10"/>
  <c r="AC10" s="1"/>
  <c r="H26"/>
  <c r="U26" s="1"/>
  <c r="J12"/>
  <c r="W12" s="1"/>
  <c r="J26"/>
  <c r="W26" s="1"/>
  <c r="F26"/>
  <c r="AA26" s="1"/>
  <c r="AB41"/>
  <c r="AA41"/>
  <c r="W41"/>
  <c r="S10" i="39"/>
  <c r="U30" i="37"/>
  <c r="E103"/>
  <c r="F103"/>
  <c r="F39"/>
  <c r="S39" s="1"/>
  <c r="W39"/>
  <c r="F29" i="36"/>
  <c r="AA29" s="1"/>
  <c r="F16"/>
  <c r="AA16" s="1"/>
  <c r="U22"/>
  <c r="W23"/>
  <c r="W22"/>
  <c r="U26"/>
  <c r="AC31"/>
  <c r="J33"/>
  <c r="W33" s="1"/>
  <c r="AC27" i="35"/>
  <c r="U31"/>
  <c r="S34"/>
  <c r="W24"/>
  <c r="S31"/>
  <c r="W31"/>
  <c r="U34"/>
  <c r="F36" i="34"/>
  <c r="S36" s="1"/>
  <c r="W9"/>
  <c r="S34"/>
  <c r="W39"/>
  <c r="H39" i="33"/>
  <c r="AB39" s="1"/>
  <c r="F26"/>
  <c r="AA26" s="1"/>
  <c r="U33"/>
  <c r="W38"/>
  <c r="S40"/>
  <c r="W33"/>
  <c r="W8" i="21"/>
  <c r="H39" i="37"/>
  <c r="AB39" s="1"/>
  <c r="AB27" i="35"/>
  <c r="S10" i="40"/>
  <c r="W10"/>
  <c r="S11"/>
  <c r="U11"/>
  <c r="S36"/>
  <c r="U36"/>
  <c r="S40" i="39"/>
  <c r="S36"/>
  <c r="C29"/>
  <c r="C23"/>
  <c r="U36"/>
  <c r="H32" i="33"/>
  <c r="AB32" s="1"/>
  <c r="F86" i="40"/>
  <c r="G86" s="1"/>
  <c r="AA12" i="33"/>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s="1"/>
  <c r="G101" s="1"/>
  <c r="H101" s="1"/>
  <c r="I101" s="1"/>
  <c r="J101" s="1"/>
  <c r="K101" s="1"/>
  <c r="L101" s="1"/>
  <c r="M101" s="1"/>
  <c r="J34"/>
  <c r="W34" s="1"/>
  <c r="AA39"/>
  <c r="H43" i="34"/>
  <c r="U42"/>
  <c r="E114"/>
  <c r="H36"/>
  <c r="U36" s="1"/>
  <c r="F37"/>
  <c r="AA37" s="1"/>
  <c r="F33"/>
  <c r="S33" s="1"/>
  <c r="F19"/>
  <c r="AA19" s="1"/>
  <c r="J10"/>
  <c r="AC10" s="1"/>
  <c r="U9"/>
  <c r="W8"/>
  <c r="J28"/>
  <c r="W28" s="1"/>
  <c r="S38" i="33"/>
  <c r="E113"/>
  <c r="F36"/>
  <c r="S36" s="1"/>
  <c r="F19"/>
  <c r="S19" s="1"/>
  <c r="J19"/>
  <c r="W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4" i="34"/>
  <c r="AC44" s="1"/>
  <c r="F44"/>
  <c r="S44" s="1"/>
  <c r="J10" i="35"/>
  <c r="W10" s="1"/>
  <c r="AL5" i="3"/>
  <c r="BQ13"/>
  <c r="BL572"/>
  <c r="J14" i="21"/>
  <c r="W14" s="1"/>
  <c r="F14"/>
  <c r="AA14" s="1"/>
  <c r="H14"/>
  <c r="U14" s="1"/>
  <c r="H28"/>
  <c r="AB28" s="1"/>
  <c r="F28"/>
  <c r="AA28" s="1"/>
  <c r="J28"/>
  <c r="AC28" s="1"/>
  <c r="H30"/>
  <c r="U30" s="1"/>
  <c r="F30"/>
  <c r="S30" s="1"/>
  <c r="J30"/>
  <c r="AC30" s="1"/>
  <c r="J44"/>
  <c r="AC44" s="1"/>
  <c r="H44"/>
  <c r="U44" s="1"/>
  <c r="F44"/>
  <c r="AA44" s="1"/>
  <c r="H46"/>
  <c r="AB46" s="1"/>
  <c r="J46"/>
  <c r="W46" s="1"/>
  <c r="F46"/>
  <c r="AA46" s="1"/>
  <c r="H26" i="33"/>
  <c r="U26" s="1"/>
  <c r="H28"/>
  <c r="F28"/>
  <c r="AA28" s="1"/>
  <c r="J28"/>
  <c r="W28" s="1"/>
  <c r="F33" i="35"/>
  <c r="S33" s="1"/>
  <c r="J33"/>
  <c r="W33" s="1"/>
  <c r="F30"/>
  <c r="AA30" s="1"/>
  <c r="E89"/>
  <c r="F89" s="1"/>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G105" s="1"/>
  <c r="AB36"/>
  <c r="F107"/>
  <c r="G107" s="1"/>
  <c r="H107" s="1"/>
  <c r="I107" s="1"/>
  <c r="J107" s="1"/>
  <c r="K107" s="1"/>
  <c r="L107" s="1"/>
  <c r="M107" s="1"/>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AB28" i="36"/>
  <c r="AB31" i="21"/>
  <c r="AB13"/>
  <c r="U46"/>
  <c r="S28"/>
  <c r="AC14"/>
  <c r="S46" i="33"/>
  <c r="U36" i="37"/>
  <c r="AC13" i="36"/>
  <c r="AB31" i="33"/>
  <c r="AA27"/>
  <c r="AC28"/>
  <c r="U28" i="21"/>
  <c r="AB44"/>
  <c r="G529" i="3"/>
  <c r="G521"/>
  <c r="G517"/>
  <c r="G513"/>
  <c r="G508"/>
  <c r="G499"/>
  <c r="G493"/>
  <c r="G485"/>
  <c r="G17"/>
  <c r="G565"/>
  <c r="G561"/>
  <c r="G557"/>
  <c r="G549"/>
  <c r="G545"/>
  <c r="G539"/>
  <c r="BL569"/>
  <c r="BL561"/>
  <c r="BL557"/>
  <c r="BL553"/>
  <c r="BL545"/>
  <c r="BL535"/>
  <c r="BL527"/>
  <c r="BL519"/>
  <c r="BL511"/>
  <c r="BL501"/>
  <c r="BL491"/>
  <c r="BL483"/>
  <c r="G16"/>
  <c r="BL563"/>
  <c r="BL559"/>
  <c r="AZ559"/>
  <c r="BL555"/>
  <c r="BL551"/>
  <c r="BL541"/>
  <c r="BL533"/>
  <c r="BL525"/>
  <c r="G518"/>
  <c r="G514"/>
  <c r="G510"/>
  <c r="BL503"/>
  <c r="BL495"/>
  <c r="BL485"/>
  <c r="G18"/>
  <c r="BA569"/>
  <c r="AZ569" s="1"/>
  <c r="BA565"/>
  <c r="BA561"/>
  <c r="AZ561"/>
  <c r="BA559"/>
  <c r="BA557"/>
  <c r="AZ557" s="1"/>
  <c r="BA555"/>
  <c r="AZ555" s="1"/>
  <c r="BA551"/>
  <c r="AZ551" s="1"/>
  <c r="BA545"/>
  <c r="AZ545" s="1"/>
  <c r="BA543"/>
  <c r="BA541"/>
  <c r="AZ541" s="1"/>
  <c r="BA531"/>
  <c r="BA521"/>
  <c r="BA509"/>
  <c r="BA505"/>
  <c r="BA501"/>
  <c r="BA493"/>
  <c r="AZ493"/>
  <c r="BA487"/>
  <c r="BA19"/>
  <c r="BA572"/>
  <c r="AZ572" s="1"/>
  <c r="BA566"/>
  <c r="BA562"/>
  <c r="BA560"/>
  <c r="BA558"/>
  <c r="BA556"/>
  <c r="AZ556" s="1"/>
  <c r="BA554"/>
  <c r="BA550"/>
  <c r="AZ550" s="1"/>
  <c r="BA546"/>
  <c r="BA544"/>
  <c r="BA540"/>
  <c r="BA536"/>
  <c r="BA532"/>
  <c r="BA528"/>
  <c r="BA524"/>
  <c r="BA520"/>
  <c r="BA516"/>
  <c r="BA512"/>
  <c r="BA508"/>
  <c r="BA502"/>
  <c r="AZ502" s="1"/>
  <c r="BA498"/>
  <c r="BA492"/>
  <c r="BA488"/>
  <c r="BA484"/>
  <c r="BA20"/>
  <c r="G566"/>
  <c r="G562"/>
  <c r="G560"/>
  <c r="G558"/>
  <c r="G556"/>
  <c r="G554"/>
  <c r="G550"/>
  <c r="G546"/>
  <c r="BL543"/>
  <c r="AZ543" s="1"/>
  <c r="BA542"/>
  <c r="AZ542" s="1"/>
  <c r="AC542"/>
  <c r="G542"/>
  <c r="BQ542"/>
  <c r="BL542"/>
  <c r="BQ568"/>
  <c r="BQ566"/>
  <c r="BQ564"/>
  <c r="BL564" s="1"/>
  <c r="BQ562"/>
  <c r="BL562" s="1"/>
  <c r="AZ562" s="1"/>
  <c r="BQ560"/>
  <c r="BL560"/>
  <c r="BQ558"/>
  <c r="BL558"/>
  <c r="BQ556"/>
  <c r="BL556"/>
  <c r="BQ554"/>
  <c r="BQ552"/>
  <c r="BL552"/>
  <c r="BQ550"/>
  <c r="BL550"/>
  <c r="BQ548"/>
  <c r="BQ546"/>
  <c r="BL546" s="1"/>
  <c r="BQ544"/>
  <c r="BL544" s="1"/>
  <c r="AZ544" s="1"/>
  <c r="G544"/>
  <c r="G538"/>
  <c r="G534"/>
  <c r="G530"/>
  <c r="G526"/>
  <c r="G522"/>
  <c r="BQ540"/>
  <c r="BL540"/>
  <c r="BQ538"/>
  <c r="BL538"/>
  <c r="BQ536"/>
  <c r="BQ534"/>
  <c r="BL534" s="1"/>
  <c r="BQ532"/>
  <c r="BL532" s="1"/>
  <c r="BQ530"/>
  <c r="BQ528"/>
  <c r="BQ526"/>
  <c r="BL526" s="1"/>
  <c r="BQ524"/>
  <c r="BL524" s="1"/>
  <c r="BQ522"/>
  <c r="BQ520"/>
  <c r="BL520"/>
  <c r="AZ520" s="1"/>
  <c r="BQ518"/>
  <c r="BQ516"/>
  <c r="BL516" s="1"/>
  <c r="BQ514"/>
  <c r="BL514" s="1"/>
  <c r="BQ512"/>
  <c r="BQ510"/>
  <c r="BL510"/>
  <c r="BQ508"/>
  <c r="BL508"/>
  <c r="AC506"/>
  <c r="G506"/>
  <c r="BQ506"/>
  <c r="G502"/>
  <c r="G498"/>
  <c r="BQ504"/>
  <c r="BQ502"/>
  <c r="BL502"/>
  <c r="BQ500"/>
  <c r="BL500"/>
  <c r="BQ498"/>
  <c r="BQ496"/>
  <c r="AC494"/>
  <c r="BQ494"/>
  <c r="BL493"/>
  <c r="G492"/>
  <c r="G488"/>
  <c r="G484"/>
  <c r="G20"/>
  <c r="BQ492"/>
  <c r="BL492" s="1"/>
  <c r="AZ492" s="1"/>
  <c r="BQ490"/>
  <c r="BQ488"/>
  <c r="BL488"/>
  <c r="BQ486"/>
  <c r="BQ484"/>
  <c r="BL484" s="1"/>
  <c r="BQ482"/>
  <c r="BL482" s="1"/>
  <c r="BQ20"/>
  <c r="BL20" s="1"/>
  <c r="AZ20" s="1"/>
  <c r="BQ18"/>
  <c r="AZ501"/>
  <c r="S505" i="31"/>
  <c r="S503"/>
  <c r="S501"/>
  <c r="S499"/>
  <c r="O27"/>
  <c r="O28"/>
  <c r="O26"/>
  <c r="M27"/>
  <c r="M28"/>
  <c r="M26"/>
  <c r="I26"/>
  <c r="I25"/>
  <c r="S25"/>
  <c r="Q26"/>
  <c r="K26"/>
  <c r="I27"/>
  <c r="Q27"/>
  <c r="K27"/>
  <c r="I28"/>
  <c r="Q28"/>
  <c r="K28"/>
  <c r="AC28" i="34"/>
  <c r="H25" i="21"/>
  <c r="U25" s="1"/>
  <c r="F25"/>
  <c r="S25" s="1"/>
  <c r="J25"/>
  <c r="AC25" s="1"/>
  <c r="E125" i="33"/>
  <c r="F125" s="1"/>
  <c r="G125" s="1"/>
  <c r="H43"/>
  <c r="H17" i="37"/>
  <c r="U17" s="1"/>
  <c r="F23"/>
  <c r="S23" s="1"/>
  <c r="F79"/>
  <c r="AB27"/>
  <c r="F39" i="33"/>
  <c r="AA39" s="1"/>
  <c r="E123"/>
  <c r="F123" s="1"/>
  <c r="G123" s="1"/>
  <c r="H123" s="1"/>
  <c r="I123" s="1"/>
  <c r="J123" s="1"/>
  <c r="K123" s="1"/>
  <c r="L123" s="1"/>
  <c r="M123" s="1"/>
  <c r="F42"/>
  <c r="AA42" s="1"/>
  <c r="H28" i="34"/>
  <c r="AB28" s="1"/>
  <c r="F22" i="36"/>
  <c r="S22" s="1"/>
  <c r="H35" i="34"/>
  <c r="U35" s="1"/>
  <c r="F41"/>
  <c r="S41" s="1"/>
  <c r="H41"/>
  <c r="U41" s="1"/>
  <c r="J41"/>
  <c r="W41" s="1"/>
  <c r="F10" i="35"/>
  <c r="F24"/>
  <c r="AA24" s="1"/>
  <c r="H24"/>
  <c r="AB24" s="1"/>
  <c r="H23" i="37"/>
  <c r="AB23" s="1"/>
  <c r="J32"/>
  <c r="AC32" s="1"/>
  <c r="F36"/>
  <c r="S36" s="1"/>
  <c r="F37"/>
  <c r="AA37" s="1"/>
  <c r="U23"/>
  <c r="AC41" i="34"/>
  <c r="H42" i="33"/>
  <c r="U42" s="1"/>
  <c r="J43"/>
  <c r="AC43" s="1"/>
  <c r="G79" i="37"/>
  <c r="J23"/>
  <c r="W23" s="1"/>
  <c r="F17"/>
  <c r="AA17" s="1"/>
  <c r="D3" i="21"/>
  <c r="AC33" i="36"/>
  <c r="W23" i="35"/>
  <c r="AC23" i="37"/>
  <c r="S27"/>
  <c r="U39"/>
  <c r="AC8"/>
  <c r="S25"/>
  <c r="AC36" i="34"/>
  <c r="AB8"/>
  <c r="AC37" i="33"/>
  <c r="AA13"/>
  <c r="AC45"/>
  <c r="S39"/>
  <c r="F43"/>
  <c r="AA43" s="1"/>
  <c r="AA23" i="37"/>
  <c r="AB44" i="33"/>
  <c r="F37" i="21"/>
  <c r="S37" s="1"/>
  <c r="J37"/>
  <c r="W37" s="1"/>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J15"/>
  <c r="W15" s="1"/>
  <c r="U12"/>
  <c r="AB10"/>
  <c r="J11"/>
  <c r="W11" s="1"/>
  <c r="E90" i="40"/>
  <c r="F21"/>
  <c r="S21" s="1"/>
  <c r="W36"/>
  <c r="U40" i="39"/>
  <c r="F90" i="40"/>
  <c r="J21"/>
  <c r="AC21" s="1"/>
  <c r="G90"/>
  <c r="S27" i="31"/>
  <c r="AZ558" i="3"/>
  <c r="AZ540"/>
  <c r="AZ560"/>
  <c r="G483"/>
  <c r="G515"/>
  <c r="G507"/>
  <c r="G501"/>
  <c r="BA15"/>
  <c r="BL17"/>
  <c r="BL15"/>
  <c r="BA14"/>
  <c r="AZ14" s="1"/>
  <c r="BT5"/>
  <c r="J57" i="39"/>
  <c r="H13" i="40"/>
  <c r="U13" s="1"/>
  <c r="H12" i="48"/>
  <c r="I4" i="4"/>
  <c r="K141" i="21"/>
  <c r="K143"/>
  <c r="K144"/>
  <c r="I59" i="40"/>
  <c r="C59" s="1"/>
  <c r="I60"/>
  <c r="C60" s="1"/>
  <c r="G297" i="3"/>
  <c r="BL298"/>
  <c r="G299"/>
  <c r="BL300"/>
  <c r="BA302"/>
  <c r="AZ302" s="1"/>
  <c r="BA303"/>
  <c r="BL303"/>
  <c r="G304"/>
  <c r="BA305"/>
  <c r="G321"/>
  <c r="BL322"/>
  <c r="G323"/>
  <c r="BL324"/>
  <c r="BA326"/>
  <c r="AZ326"/>
  <c r="BA327"/>
  <c r="BL327"/>
  <c r="AZ327" s="1"/>
  <c r="G328"/>
  <c r="BA329"/>
  <c r="AZ329"/>
  <c r="G337"/>
  <c r="BL338"/>
  <c r="G339"/>
  <c r="BL340"/>
  <c r="BA342"/>
  <c r="AZ342"/>
  <c r="BA343"/>
  <c r="BL343"/>
  <c r="AZ343" s="1"/>
  <c r="G344"/>
  <c r="BA345"/>
  <c r="G353"/>
  <c r="BL354"/>
  <c r="G355"/>
  <c r="BL356"/>
  <c r="G357"/>
  <c r="BL358"/>
  <c r="G359"/>
  <c r="BA360"/>
  <c r="AZ360"/>
  <c r="BA361"/>
  <c r="BL361"/>
  <c r="AZ361" s="1"/>
  <c r="G362"/>
  <c r="BA363"/>
  <c r="AZ363" s="1"/>
  <c r="G371"/>
  <c r="BL372"/>
  <c r="G373"/>
  <c r="BL374"/>
  <c r="BA376"/>
  <c r="AZ376"/>
  <c r="BA377"/>
  <c r="AZ377"/>
  <c r="BL377"/>
  <c r="G378"/>
  <c r="BA379"/>
  <c r="BA114"/>
  <c r="AZ114" s="1"/>
  <c r="BL115"/>
  <c r="AZ115" s="1"/>
  <c r="G116"/>
  <c r="BA118"/>
  <c r="AZ118"/>
  <c r="BL119"/>
  <c r="AZ119"/>
  <c r="G120"/>
  <c r="BA122"/>
  <c r="AZ122" s="1"/>
  <c r="BL123"/>
  <c r="AZ123" s="1"/>
  <c r="G124"/>
  <c r="BA126"/>
  <c r="AZ126"/>
  <c r="BL127"/>
  <c r="G128"/>
  <c r="BA130"/>
  <c r="AZ130"/>
  <c r="BL131"/>
  <c r="AZ131"/>
  <c r="G132"/>
  <c r="BA134"/>
  <c r="AZ134" s="1"/>
  <c r="BL135"/>
  <c r="AZ135" s="1"/>
  <c r="G136"/>
  <c r="BA138"/>
  <c r="AZ138"/>
  <c r="BL139"/>
  <c r="AZ139"/>
  <c r="G140"/>
  <c r="BA142"/>
  <c r="AZ142" s="1"/>
  <c r="BL143"/>
  <c r="G144"/>
  <c r="BA146"/>
  <c r="AZ146" s="1"/>
  <c r="BL147"/>
  <c r="AZ147" s="1"/>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s="1"/>
  <c r="G182"/>
  <c r="BA184"/>
  <c r="AZ184"/>
  <c r="BL185"/>
  <c r="G186"/>
  <c r="BA188"/>
  <c r="AZ188"/>
  <c r="BL189"/>
  <c r="AZ189"/>
  <c r="G190"/>
  <c r="BA192"/>
  <c r="AZ192" s="1"/>
  <c r="BL193"/>
  <c r="AZ193"/>
  <c r="G194"/>
  <c r="BA196"/>
  <c r="AZ196" s="1"/>
  <c r="BL197"/>
  <c r="AZ197" s="1"/>
  <c r="G198"/>
  <c r="BA200"/>
  <c r="AZ200"/>
  <c r="BL201"/>
  <c r="AZ66"/>
  <c r="AZ70"/>
  <c r="AZ74"/>
  <c r="AZ78"/>
  <c r="AZ82"/>
  <c r="AZ185"/>
  <c r="AZ201"/>
  <c r="AZ84"/>
  <c r="AZ86"/>
  <c r="AZ90"/>
  <c r="AZ94"/>
  <c r="AZ98"/>
  <c r="AZ102"/>
  <c r="AZ106"/>
  <c r="AZ110"/>
  <c r="G491"/>
  <c r="BA298"/>
  <c r="AZ298" s="1"/>
  <c r="BA299"/>
  <c r="AZ299" s="1"/>
  <c r="BL299"/>
  <c r="G300"/>
  <c r="G303"/>
  <c r="BL304"/>
  <c r="BA306"/>
  <c r="AZ306" s="1"/>
  <c r="BA307"/>
  <c r="BL307"/>
  <c r="AZ307"/>
  <c r="G308"/>
  <c r="G319"/>
  <c r="BL320"/>
  <c r="BA322"/>
  <c r="BA323"/>
  <c r="AZ323"/>
  <c r="BL323"/>
  <c r="G324"/>
  <c r="G327"/>
  <c r="BL328"/>
  <c r="BA330"/>
  <c r="AZ330"/>
  <c r="BA331"/>
  <c r="BL331"/>
  <c r="G332"/>
  <c r="G335"/>
  <c r="BL336"/>
  <c r="BA338"/>
  <c r="AZ338" s="1"/>
  <c r="BA339"/>
  <c r="BL339"/>
  <c r="G340"/>
  <c r="G343"/>
  <c r="BL344"/>
  <c r="BA346"/>
  <c r="AZ346"/>
  <c r="BA347"/>
  <c r="BL347"/>
  <c r="AZ347" s="1"/>
  <c r="G348"/>
  <c r="G351"/>
  <c r="BL352"/>
  <c r="BA354"/>
  <c r="BA355"/>
  <c r="AZ355"/>
  <c r="BL355"/>
  <c r="G356"/>
  <c r="AZ127"/>
  <c r="AZ143"/>
  <c r="BA358"/>
  <c r="AZ358" s="1"/>
  <c r="BA359"/>
  <c r="BL359"/>
  <c r="AZ359"/>
  <c r="G360"/>
  <c r="G361"/>
  <c r="BL362"/>
  <c r="BA364"/>
  <c r="AZ364" s="1"/>
  <c r="BA365"/>
  <c r="AZ365" s="1"/>
  <c r="BL365"/>
  <c r="G366"/>
  <c r="G369"/>
  <c r="BL370"/>
  <c r="BA372"/>
  <c r="AZ372"/>
  <c r="BA373"/>
  <c r="BL373"/>
  <c r="AZ373" s="1"/>
  <c r="G374"/>
  <c r="G377"/>
  <c r="BL378"/>
  <c r="BA380"/>
  <c r="AZ380"/>
  <c r="BA381"/>
  <c r="AZ381"/>
  <c r="BL381"/>
  <c r="G382"/>
  <c r="G385"/>
  <c r="AZ154"/>
  <c r="AZ158"/>
  <c r="AZ162"/>
  <c r="AZ166"/>
  <c r="AZ170"/>
  <c r="AZ174"/>
  <c r="AZ179"/>
  <c r="AZ183"/>
  <c r="AZ187"/>
  <c r="AZ191"/>
  <c r="AZ195"/>
  <c r="AZ199"/>
  <c r="AZ203"/>
  <c r="G523"/>
  <c r="BL297"/>
  <c r="AZ297" s="1"/>
  <c r="G298"/>
  <c r="BA300"/>
  <c r="BL301"/>
  <c r="AZ301" s="1"/>
  <c r="G302"/>
  <c r="BA304"/>
  <c r="AZ304"/>
  <c r="BL305"/>
  <c r="AZ305" s="1"/>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AZ345" s="1"/>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7"/>
  <c r="G368"/>
  <c r="BA370"/>
  <c r="AZ370" s="1"/>
  <c r="BL371"/>
  <c r="AZ371"/>
  <c r="G372"/>
  <c r="BA374"/>
  <c r="AZ374" s="1"/>
  <c r="BL375"/>
  <c r="G376"/>
  <c r="BA378"/>
  <c r="AZ378" s="1"/>
  <c r="BL379"/>
  <c r="AZ379" s="1"/>
  <c r="G380"/>
  <c r="BA382"/>
  <c r="AZ382"/>
  <c r="BL383"/>
  <c r="G384"/>
  <c r="AZ249"/>
  <c r="AZ253"/>
  <c r="AZ257"/>
  <c r="AZ261"/>
  <c r="AZ265"/>
  <c r="AZ375"/>
  <c r="AZ383"/>
  <c r="AZ270"/>
  <c r="AZ274"/>
  <c r="AZ278"/>
  <c r="AZ282"/>
  <c r="AZ286"/>
  <c r="AZ290"/>
  <c r="AZ295"/>
  <c r="AZ303"/>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AA13" i="40"/>
  <c r="E78"/>
  <c r="F78" s="1"/>
  <c r="G78" s="1"/>
  <c r="H78" s="1"/>
  <c r="I78" s="1"/>
  <c r="J78" s="1"/>
  <c r="K78" s="1"/>
  <c r="L78" s="1"/>
  <c r="M78" s="1"/>
  <c r="BH5" i="3"/>
  <c r="R16" i="4"/>
  <c r="P16"/>
  <c r="D3" i="35"/>
  <c r="G4" i="4"/>
  <c r="S37" i="34"/>
  <c r="J16" i="35"/>
  <c r="W16" s="1"/>
  <c r="AC26" i="36"/>
  <c r="W25" i="35"/>
  <c r="AZ300" i="3"/>
  <c r="AZ354"/>
  <c r="AZ322"/>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G103" i="37"/>
  <c r="H103"/>
  <c r="I103" s="1"/>
  <c r="J103" s="1"/>
  <c r="K103" s="1"/>
  <c r="L103" s="1"/>
  <c r="M103" s="1"/>
  <c r="H35"/>
  <c r="AB35" s="1"/>
  <c r="H32" i="21"/>
  <c r="U32" s="1"/>
  <c r="AB26"/>
  <c r="J32"/>
  <c r="AC32" s="1"/>
  <c r="AC5" i="3"/>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U19" s="1"/>
  <c r="J19"/>
  <c r="W19" s="1"/>
  <c r="F43"/>
  <c r="S43" s="1"/>
  <c r="H43"/>
  <c r="U43" s="1"/>
  <c r="J43"/>
  <c r="W43" s="1"/>
  <c r="F99" i="37"/>
  <c r="AC27"/>
  <c r="U25" i="35"/>
  <c r="S45" i="34"/>
  <c r="U31"/>
  <c r="AC40" i="37"/>
  <c r="W40"/>
  <c r="W27" i="33"/>
  <c r="AC45" i="21"/>
  <c r="S28" i="33"/>
  <c r="S14" i="21"/>
  <c r="AA44" i="34"/>
  <c r="AB29" i="35"/>
  <c r="U29"/>
  <c r="AC19" i="33"/>
  <c r="W19"/>
  <c r="U43" i="34"/>
  <c r="AB43"/>
  <c r="AC34" i="37"/>
  <c r="S35"/>
  <c r="AA35"/>
  <c r="AB10" i="35"/>
  <c r="U38" i="21"/>
  <c r="AB34"/>
  <c r="BL571" i="3"/>
  <c r="BA571"/>
  <c r="AZ571"/>
  <c r="BL570"/>
  <c r="AZ570"/>
  <c r="BE5"/>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s="1"/>
  <c r="G78" s="1"/>
  <c r="H78" s="1"/>
  <c r="I78" s="1"/>
  <c r="J78" s="1"/>
  <c r="K78" s="1"/>
  <c r="L78" s="1"/>
  <c r="M78" s="1"/>
  <c r="F26"/>
  <c r="S26" s="1"/>
  <c r="U34"/>
  <c r="AB34"/>
  <c r="H33"/>
  <c r="U33" s="1"/>
  <c r="F33"/>
  <c r="AA33" s="1"/>
  <c r="H27"/>
  <c r="AB27" s="1"/>
  <c r="AA31"/>
  <c r="AC25" i="37"/>
  <c r="AC26"/>
  <c r="W26"/>
  <c r="AB29"/>
  <c r="AA30"/>
  <c r="S30"/>
  <c r="AC30"/>
  <c r="AC31"/>
  <c r="W31"/>
  <c r="AB14"/>
  <c r="F21" i="39"/>
  <c r="S21" s="1"/>
  <c r="H21"/>
  <c r="J21"/>
  <c r="W21" s="1"/>
  <c r="F33"/>
  <c r="S33" s="1"/>
  <c r="J33"/>
  <c r="W33" s="1"/>
  <c r="J44"/>
  <c r="W44" s="1"/>
  <c r="E128"/>
  <c r="F44" s="1"/>
  <c r="S44" s="1"/>
  <c r="F128"/>
  <c r="G128" s="1"/>
  <c r="H128" s="1"/>
  <c r="I128" s="1"/>
  <c r="J128" s="1"/>
  <c r="K128" s="1"/>
  <c r="L128" s="1"/>
  <c r="M128" s="1"/>
  <c r="F46"/>
  <c r="S46" s="1"/>
  <c r="H46"/>
  <c r="U46" s="1"/>
  <c r="J46"/>
  <c r="W46" s="1"/>
  <c r="F34"/>
  <c r="AA34" s="1"/>
  <c r="H34"/>
  <c r="AB34" s="1"/>
  <c r="J34"/>
  <c r="AC34" s="1"/>
  <c r="F39"/>
  <c r="H39"/>
  <c r="AB39" s="1"/>
  <c r="J39"/>
  <c r="J29" i="35"/>
  <c r="AC29" s="1"/>
  <c r="F29"/>
  <c r="S29" s="1"/>
  <c r="W30" i="36"/>
  <c r="AC30"/>
  <c r="F37" i="39"/>
  <c r="S37" s="1"/>
  <c r="H37"/>
  <c r="U37" s="1"/>
  <c r="J37"/>
  <c r="W37" s="1"/>
  <c r="BL568" i="3"/>
  <c r="BA568"/>
  <c r="AZ568" s="1"/>
  <c r="BL567"/>
  <c r="BA567"/>
  <c r="AZ567"/>
  <c r="BL566"/>
  <c r="AZ566"/>
  <c r="BL565"/>
  <c r="AZ565"/>
  <c r="BA564"/>
  <c r="AZ564"/>
  <c r="BA563"/>
  <c r="AZ563"/>
  <c r="BL554"/>
  <c r="AZ554"/>
  <c r="BA553"/>
  <c r="AZ553"/>
  <c r="BA552"/>
  <c r="AZ552"/>
  <c r="BL549"/>
  <c r="BA549"/>
  <c r="BL548"/>
  <c r="BA548"/>
  <c r="BL547"/>
  <c r="BA547"/>
  <c r="BL539"/>
  <c r="BA539"/>
  <c r="AZ539" s="1"/>
  <c r="BA538"/>
  <c r="AZ538" s="1"/>
  <c r="BL537"/>
  <c r="BA537"/>
  <c r="BL536"/>
  <c r="AZ536" s="1"/>
  <c r="BA535"/>
  <c r="AZ535" s="1"/>
  <c r="BA534"/>
  <c r="AZ534" s="1"/>
  <c r="BA533"/>
  <c r="AZ533" s="1"/>
  <c r="BL531"/>
  <c r="AZ531" s="1"/>
  <c r="BL530"/>
  <c r="BA530"/>
  <c r="BL529"/>
  <c r="BA529"/>
  <c r="BL528"/>
  <c r="AZ528" s="1"/>
  <c r="BA527"/>
  <c r="AZ527" s="1"/>
  <c r="BA526"/>
  <c r="AZ526" s="1"/>
  <c r="BA525"/>
  <c r="AZ525" s="1"/>
  <c r="BL523"/>
  <c r="BA523"/>
  <c r="AZ523"/>
  <c r="BL522"/>
  <c r="BA522"/>
  <c r="AZ522" s="1"/>
  <c r="BL521"/>
  <c r="AZ521" s="1"/>
  <c r="BA519"/>
  <c r="AZ519" s="1"/>
  <c r="BL518"/>
  <c r="BA518"/>
  <c r="AZ518"/>
  <c r="BL517"/>
  <c r="BA517"/>
  <c r="AZ517" s="1"/>
  <c r="BL515"/>
  <c r="BA515"/>
  <c r="BA514"/>
  <c r="AZ514" s="1"/>
  <c r="BL513"/>
  <c r="BA513"/>
  <c r="AZ513"/>
  <c r="BL512"/>
  <c r="AZ512"/>
  <c r="BA511"/>
  <c r="AZ511"/>
  <c r="BA510"/>
  <c r="AZ510"/>
  <c r="BL509"/>
  <c r="AZ509"/>
  <c r="BL507"/>
  <c r="BA507"/>
  <c r="AZ507" s="1"/>
  <c r="BL506"/>
  <c r="BA506"/>
  <c r="AZ506"/>
  <c r="BL505"/>
  <c r="AZ505"/>
  <c r="BL504"/>
  <c r="BA504"/>
  <c r="BA503"/>
  <c r="AZ503"/>
  <c r="BA500"/>
  <c r="AZ500"/>
  <c r="BL499"/>
  <c r="BA499"/>
  <c r="AZ499" s="1"/>
  <c r="BL498"/>
  <c r="AZ498" s="1"/>
  <c r="BL497"/>
  <c r="BA497"/>
  <c r="BL496"/>
  <c r="BA496"/>
  <c r="AZ496"/>
  <c r="BA495"/>
  <c r="AZ495"/>
  <c r="BL494"/>
  <c r="BA494"/>
  <c r="AZ494" s="1"/>
  <c r="G494"/>
  <c r="BA491"/>
  <c r="AZ491"/>
  <c r="BL490"/>
  <c r="BA490"/>
  <c r="AZ490" s="1"/>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AB30" s="1"/>
  <c r="G100"/>
  <c r="J30" s="1"/>
  <c r="AC30" s="1"/>
  <c r="F38"/>
  <c r="AA38" s="1"/>
  <c r="AA36" i="34"/>
  <c r="AC12" i="21"/>
  <c r="S35"/>
  <c r="U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E97"/>
  <c r="F23" s="1"/>
  <c r="AA23" s="1"/>
  <c r="F27"/>
  <c r="AA27" s="1"/>
  <c r="H27"/>
  <c r="AB27" s="1"/>
  <c r="J27"/>
  <c r="AC27" s="1"/>
  <c r="F15" i="40"/>
  <c r="AA15" s="1"/>
  <c r="J15"/>
  <c r="H15"/>
  <c r="AB15" s="1"/>
  <c r="E92"/>
  <c r="F92" s="1"/>
  <c r="G92" s="1"/>
  <c r="H23"/>
  <c r="U23" s="1"/>
  <c r="H41"/>
  <c r="AB41" s="1"/>
  <c r="F41"/>
  <c r="AA41" s="1"/>
  <c r="J41"/>
  <c r="H36" i="33"/>
  <c r="AB36" s="1"/>
  <c r="H37" i="34"/>
  <c r="F15" i="39"/>
  <c r="AA15" s="1"/>
  <c r="J15"/>
  <c r="AC15" s="1"/>
  <c r="H25"/>
  <c r="U25" s="1"/>
  <c r="J25"/>
  <c r="AC25" s="1"/>
  <c r="F25"/>
  <c r="AA25" s="1"/>
  <c r="F45"/>
  <c r="AA45" s="1"/>
  <c r="H45"/>
  <c r="U45" s="1"/>
  <c r="J45"/>
  <c r="AC45" s="1"/>
  <c r="H47"/>
  <c r="AB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F27" i="43" s="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66" i="9"/>
  <c r="P72" s="1"/>
  <c r="F72"/>
  <c r="AC14" i="40"/>
  <c r="W35"/>
  <c r="S33"/>
  <c r="U37" i="34"/>
  <c r="AB37"/>
  <c r="AC41" i="40"/>
  <c r="W41"/>
  <c r="U41"/>
  <c r="J23"/>
  <c r="AC23" s="1"/>
  <c r="F23"/>
  <c r="S23" s="1"/>
  <c r="AC15"/>
  <c r="W15"/>
  <c r="U23" i="35"/>
  <c r="AB23"/>
  <c r="H20"/>
  <c r="F20"/>
  <c r="S20" s="1"/>
  <c r="H15" i="34"/>
  <c r="AB15" s="1"/>
  <c r="F78"/>
  <c r="G78"/>
  <c r="J15"/>
  <c r="H41" i="33"/>
  <c r="U41" s="1"/>
  <c r="F121"/>
  <c r="G121" s="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AB21"/>
  <c r="U21"/>
  <c r="AB33" i="36"/>
  <c r="AA11"/>
  <c r="AA14" i="35"/>
  <c r="S14"/>
  <c r="G99" i="37"/>
  <c r="F33" s="1"/>
  <c r="U46" i="34"/>
  <c r="AC30"/>
  <c r="AA14"/>
  <c r="W12"/>
  <c r="U29" i="33"/>
  <c r="AC13"/>
  <c r="U17" i="34"/>
  <c r="AA11"/>
  <c r="W32" i="33"/>
  <c r="H15"/>
  <c r="U15" s="1"/>
  <c r="AA11"/>
  <c r="AA40" i="21"/>
  <c r="U16" i="40"/>
  <c r="W34"/>
  <c r="AB34"/>
  <c r="AB42"/>
  <c r="U42"/>
  <c r="AC16"/>
  <c r="H25"/>
  <c r="AB25" s="1"/>
  <c r="F94"/>
  <c r="G94" s="1"/>
  <c r="J37" i="34"/>
  <c r="AC37" s="1"/>
  <c r="J36" i="33"/>
  <c r="W36" s="1"/>
  <c r="S41" i="40"/>
  <c r="AB23"/>
  <c r="J23" i="39"/>
  <c r="AC23" s="1"/>
  <c r="S16"/>
  <c r="S15" i="34"/>
  <c r="AA15"/>
  <c r="AA41" i="33"/>
  <c r="AA34"/>
  <c r="F106"/>
  <c r="G106" s="1"/>
  <c r="H106" s="1"/>
  <c r="I106" s="1"/>
  <c r="J106" s="1"/>
  <c r="K106" s="1"/>
  <c r="L106" s="1"/>
  <c r="M106" s="1"/>
  <c r="J34"/>
  <c r="AC34" s="1"/>
  <c r="U30" i="40"/>
  <c r="AA37" i="39"/>
  <c r="W29" i="35"/>
  <c r="AC39" i="39"/>
  <c r="W39"/>
  <c r="AA39"/>
  <c r="S39"/>
  <c r="AA33"/>
  <c r="U11" i="36"/>
  <c r="F80" i="35"/>
  <c r="G80" s="1"/>
  <c r="H80" s="1"/>
  <c r="I80" s="1"/>
  <c r="J80" s="1"/>
  <c r="K80" s="1"/>
  <c r="L80" s="1"/>
  <c r="M80" s="1"/>
  <c r="W14"/>
  <c r="F90" i="34"/>
  <c r="G90" s="1"/>
  <c r="H90" s="1"/>
  <c r="I90" s="1"/>
  <c r="J90" s="1"/>
  <c r="K90" s="1"/>
  <c r="L90" s="1"/>
  <c r="M90" s="1"/>
  <c r="F27"/>
  <c r="S27" s="1"/>
  <c r="AA43" i="39"/>
  <c r="G96" i="37"/>
  <c r="H96"/>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11" i="37"/>
  <c r="AC16" i="35"/>
  <c r="AC13" i="40"/>
  <c r="J11" i="34"/>
  <c r="W11" s="1"/>
  <c r="S17"/>
  <c r="AC36" i="33"/>
  <c r="F25" i="40"/>
  <c r="AA25" s="1"/>
  <c r="J11" i="33"/>
  <c r="W11" s="1"/>
  <c r="H33" i="37"/>
  <c r="AB33" s="1"/>
  <c r="W15" i="34"/>
  <c r="AC15"/>
  <c r="U20" i="35"/>
  <c r="AB20"/>
  <c r="W23" i="40"/>
  <c r="D73" i="9"/>
  <c r="N73" s="1"/>
  <c r="B11" i="1"/>
  <c r="E11" s="1"/>
  <c r="K11"/>
  <c r="M11" s="1"/>
  <c r="B9"/>
  <c r="E9" s="1"/>
  <c r="K9"/>
  <c r="M9" s="1"/>
  <c r="B7"/>
  <c r="E7" s="1"/>
  <c r="K7"/>
  <c r="M7" s="1"/>
  <c r="O7" s="1"/>
  <c r="P7" s="1"/>
  <c r="C20" i="43"/>
  <c r="E2" i="65"/>
  <c r="AB31" i="37" l="1"/>
  <c r="U31"/>
  <c r="AA10" i="35"/>
  <c r="S10"/>
  <c r="U43" i="33"/>
  <c r="AB43"/>
  <c r="AA12" i="21"/>
  <c r="S12"/>
  <c r="U27" i="33"/>
  <c r="AB27"/>
  <c r="AZ389" i="3"/>
  <c r="AZ400"/>
  <c r="AZ404"/>
  <c r="AZ416"/>
  <c r="AZ421"/>
  <c r="AZ440"/>
  <c r="AZ453"/>
  <c r="AZ460"/>
  <c r="AZ464"/>
  <c r="AZ476"/>
  <c r="AZ480"/>
  <c r="AZ484"/>
  <c r="AC9" i="33"/>
  <c r="W9"/>
  <c r="S28" i="34"/>
  <c r="AA28"/>
  <c r="U45" i="33"/>
  <c r="AB45"/>
  <c r="AZ396" i="3"/>
  <c r="AZ412"/>
  <c r="AZ429"/>
  <c r="AZ448"/>
  <c r="H5"/>
  <c r="H23" i="39"/>
  <c r="AB23" s="1"/>
  <c r="B65" i="63"/>
  <c r="A14" i="55"/>
  <c r="F11" i="1"/>
  <c r="AP11" s="1"/>
  <c r="F10"/>
  <c r="AP10" s="1"/>
  <c r="AZ211" i="3"/>
  <c r="AZ216"/>
  <c r="AZ219"/>
  <c r="AZ232"/>
  <c r="AZ235"/>
  <c r="AZ248"/>
  <c r="AZ251"/>
  <c r="AZ264"/>
  <c r="AZ267"/>
  <c r="AZ271"/>
  <c r="S45" i="21"/>
  <c r="W31" i="34"/>
  <c r="AB14" i="21"/>
  <c r="W30"/>
  <c r="S46"/>
  <c r="BL13" i="3"/>
  <c r="S10" i="21"/>
  <c r="U38" i="33"/>
  <c r="S33"/>
  <c r="U9"/>
  <c r="H12" i="21"/>
  <c r="BI5" i="3"/>
  <c r="BG5"/>
  <c r="F9" i="33"/>
  <c r="AA9" s="1"/>
  <c r="J12" i="35"/>
  <c r="J36"/>
  <c r="F26" i="37"/>
  <c r="AA26" s="1"/>
  <c r="G15" i="3"/>
  <c r="G14"/>
  <c r="F9" i="1"/>
  <c r="AZ318" i="3"/>
  <c r="AZ334"/>
  <c r="AZ350"/>
  <c r="AZ285"/>
  <c r="AZ288"/>
  <c r="AZ296"/>
  <c r="AZ125"/>
  <c r="AZ128"/>
  <c r="AZ141"/>
  <c r="AZ144"/>
  <c r="AZ155"/>
  <c r="AZ168"/>
  <c r="AZ171"/>
  <c r="AZ186"/>
  <c r="AZ194"/>
  <c r="G22"/>
  <c r="AZ25"/>
  <c r="AZ30"/>
  <c r="AZ41"/>
  <c r="AZ46"/>
  <c r="AZ57"/>
  <c r="AZ62"/>
  <c r="AZ65"/>
  <c r="AZ22"/>
  <c r="AZ96"/>
  <c r="AZ103"/>
  <c r="AZ109"/>
  <c r="AZ76"/>
  <c r="AZ80"/>
  <c r="AZ89"/>
  <c r="AZ100"/>
  <c r="I21" i="57"/>
  <c r="D1" s="1"/>
  <c r="E10" s="1"/>
  <c r="K12" i="1"/>
  <c r="M12" s="1"/>
  <c r="G13" i="3"/>
  <c r="H19" i="21"/>
  <c r="AB19" s="1"/>
  <c r="W32" i="40"/>
  <c r="C92" i="9"/>
  <c r="AB32" i="40"/>
  <c r="J19" i="21"/>
  <c r="W19" s="1"/>
  <c r="F19"/>
  <c r="G10" i="1"/>
  <c r="G13"/>
  <c r="W15" i="39"/>
  <c r="W14"/>
  <c r="F91"/>
  <c r="H17"/>
  <c r="U17" s="1"/>
  <c r="J17"/>
  <c r="W17" s="1"/>
  <c r="AA47"/>
  <c r="S47"/>
  <c r="AB46"/>
  <c r="U47"/>
  <c r="J47"/>
  <c r="S9" i="21"/>
  <c r="AA9"/>
  <c r="F123"/>
  <c r="G123" s="1"/>
  <c r="H123" s="1"/>
  <c r="I123" s="1"/>
  <c r="J123" s="1"/>
  <c r="K123" s="1"/>
  <c r="L123" s="1"/>
  <c r="M123" s="1"/>
  <c r="H42"/>
  <c r="AB42" s="1"/>
  <c r="J42"/>
  <c r="AC42" s="1"/>
  <c r="F42"/>
  <c r="AA42" s="1"/>
  <c r="U40"/>
  <c r="U17"/>
  <c r="AB10"/>
  <c r="AB30"/>
  <c r="S8"/>
  <c r="U42"/>
  <c r="W42"/>
  <c r="H44" i="39"/>
  <c r="U44" s="1"/>
  <c r="J42"/>
  <c r="AC42" s="1"/>
  <c r="F42"/>
  <c r="AA42" s="1"/>
  <c r="H42"/>
  <c r="AB42" s="1"/>
  <c r="F117" i="21"/>
  <c r="G117" s="1"/>
  <c r="J39"/>
  <c r="AC39" s="1"/>
  <c r="F39"/>
  <c r="AA39" s="1"/>
  <c r="H39"/>
  <c r="AB39" s="1"/>
  <c r="AA38"/>
  <c r="AB36"/>
  <c r="AA36"/>
  <c r="AC35"/>
  <c r="AA32"/>
  <c r="U43"/>
  <c r="AC40"/>
  <c r="U39"/>
  <c r="F103" i="39"/>
  <c r="H29"/>
  <c r="U29" s="1"/>
  <c r="J29"/>
  <c r="AC29" s="1"/>
  <c r="U19" i="21"/>
  <c r="W9"/>
  <c r="U9"/>
  <c r="S26"/>
  <c r="C18" i="9"/>
  <c r="A30" i="51"/>
  <c r="A30" i="64"/>
  <c r="U34" i="39"/>
  <c r="AB44"/>
  <c r="AC43"/>
  <c r="S42"/>
  <c r="U27"/>
  <c r="W27"/>
  <c r="AB25"/>
  <c r="F97"/>
  <c r="G97" s="1"/>
  <c r="S23"/>
  <c r="AB19"/>
  <c r="AA19"/>
  <c r="AB17"/>
  <c r="AC33"/>
  <c r="AB16"/>
  <c r="F71" i="9"/>
  <c r="A2" i="55"/>
  <c r="B55" i="63" s="1"/>
  <c r="A11" i="55"/>
  <c r="B62" i="63" s="1"/>
  <c r="F6" i="1"/>
  <c r="AP6" s="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W13"/>
  <c r="AC21"/>
  <c r="W21"/>
  <c r="W44"/>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AC21"/>
  <c r="AC17"/>
  <c r="S14"/>
  <c r="AB15"/>
  <c r="U11"/>
  <c r="U41"/>
  <c r="U23"/>
  <c r="AB38"/>
  <c r="U31"/>
  <c r="AB31"/>
  <c r="S25"/>
  <c r="S38"/>
  <c r="S22" i="31"/>
  <c r="D18" i="9"/>
  <c r="M44" s="1"/>
  <c r="M43"/>
  <c r="B22" i="63"/>
  <c r="M20" i="15"/>
  <c r="D96" i="9"/>
  <c r="F28" i="15"/>
  <c r="C28" s="1"/>
  <c r="M18"/>
  <c r="A18" i="64"/>
  <c r="B74" i="63" s="1"/>
  <c r="C53" i="10"/>
  <c r="A25" i="64" s="1"/>
  <c r="A18" i="51"/>
  <c r="B14" i="63" s="1"/>
  <c r="M20" i="46"/>
  <c r="C19" s="1"/>
  <c r="BA16" i="3"/>
  <c r="BA17"/>
  <c r="AZ17" s="1"/>
  <c r="F3" i="35"/>
  <c r="K1" i="43"/>
  <c r="K1" i="12"/>
  <c r="G1" i="44"/>
  <c r="I4" i="6"/>
  <c r="G3" i="46" s="1"/>
  <c r="H22" s="1"/>
  <c r="AZ15" i="3"/>
  <c r="G5"/>
  <c r="B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5" s="1"/>
  <c r="M4"/>
  <c r="M12"/>
  <c r="M8"/>
  <c r="M3"/>
  <c r="M5"/>
  <c r="C6" s="1"/>
  <c r="H6" i="48"/>
  <c r="E9" i="46"/>
  <c r="H15" i="48"/>
  <c r="H5"/>
  <c r="H14"/>
  <c r="F38" i="46"/>
  <c r="F36"/>
  <c r="F34"/>
  <c r="J17"/>
  <c r="C17"/>
  <c r="F39"/>
  <c r="H13" i="48"/>
  <c r="H11"/>
  <c r="E8" i="46"/>
  <c r="I17"/>
  <c r="C16" s="1"/>
  <c r="C5" s="1"/>
  <c r="E17"/>
  <c r="D71"/>
  <c r="D84"/>
  <c r="E80" s="1"/>
  <c r="B78" s="1"/>
  <c r="D69"/>
  <c r="E69" s="1"/>
  <c r="B67" s="1"/>
  <c r="E47"/>
  <c r="E58"/>
  <c r="C52" i="15"/>
  <c r="A4" i="64"/>
  <c r="A4" i="51"/>
  <c r="C51" i="10"/>
  <c r="H58" i="46"/>
  <c r="H61"/>
  <c r="H62"/>
  <c r="H71"/>
  <c r="I100"/>
  <c r="B56"/>
  <c r="C24" s="1"/>
  <c r="N100"/>
  <c r="H100"/>
  <c r="F108"/>
  <c r="H80"/>
  <c r="B45"/>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3" i="46"/>
  <c r="H86"/>
  <c r="H82"/>
  <c r="H63"/>
  <c r="H59"/>
  <c r="H64"/>
  <c r="H60"/>
  <c r="H10" i="48"/>
  <c r="H87" i="46"/>
  <c r="H85"/>
  <c r="H83"/>
  <c r="O13" i="1"/>
  <c r="P13" s="1"/>
  <c r="K10"/>
  <c r="M10" s="1"/>
  <c r="O10" s="1"/>
  <c r="P10" s="1"/>
  <c r="S13"/>
  <c r="R13"/>
  <c r="B6"/>
  <c r="E6" s="1"/>
  <c r="B10"/>
  <c r="E10" s="1"/>
  <c r="B8"/>
  <c r="E8" s="1"/>
  <c r="B12"/>
  <c r="E12" s="1"/>
  <c r="S12"/>
  <c r="K6"/>
  <c r="M6" s="1"/>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L48"/>
  <c r="F10" i="44"/>
  <c r="F6" i="15"/>
  <c r="M8" i="44"/>
  <c r="F40" i="15"/>
  <c r="F13"/>
  <c r="F7"/>
  <c r="F39" i="44"/>
  <c r="M28"/>
  <c r="M28" i="15"/>
  <c r="M29" i="44"/>
  <c r="F36" i="15"/>
  <c r="L48" i="44"/>
  <c r="M26"/>
  <c r="F28"/>
  <c r="F40"/>
  <c r="M22" i="15"/>
  <c r="M29"/>
  <c r="M31" i="44"/>
  <c r="F18"/>
  <c r="L49"/>
  <c r="M10"/>
  <c r="L47" i="15"/>
  <c r="M23"/>
  <c r="F42"/>
  <c r="F8" i="44"/>
  <c r="M30"/>
  <c r="F9" i="15"/>
  <c r="J15"/>
  <c r="M11" i="44"/>
  <c r="F38" i="15"/>
  <c r="M9"/>
  <c r="F43"/>
  <c r="M24" i="44"/>
  <c r="F37" i="15"/>
  <c r="F9" i="44"/>
  <c r="F16" i="15"/>
  <c r="F8"/>
  <c r="F45" i="44"/>
  <c r="J17"/>
  <c r="F43"/>
  <c r="M26" i="15"/>
  <c r="J36"/>
  <c r="F15" i="44"/>
  <c r="M27" i="15"/>
  <c r="M8"/>
  <c r="M24"/>
  <c r="M6"/>
  <c r="F11" i="44"/>
  <c r="F26" i="15"/>
  <c r="F38" i="44"/>
  <c r="M25"/>
  <c r="AC19" i="21" l="1"/>
  <c r="G11" i="1"/>
  <c r="AC36" i="35"/>
  <c r="W36"/>
  <c r="H74" i="46"/>
  <c r="W12" i="35"/>
  <c r="AC12"/>
  <c r="U12" i="21"/>
  <c r="AB12"/>
  <c r="H76" i="46"/>
  <c r="AB11"/>
  <c r="AB13" s="1"/>
  <c r="E413" i="3"/>
  <c r="C33" i="21"/>
  <c r="AA19"/>
  <c r="S19"/>
  <c r="C15" i="43"/>
  <c r="H69" i="46"/>
  <c r="H77"/>
  <c r="C7"/>
  <c r="G91" i="39"/>
  <c r="F17"/>
  <c r="W47"/>
  <c r="AC47"/>
  <c r="AC23" i="21"/>
  <c r="G103" i="39"/>
  <c r="F29"/>
  <c r="AB29"/>
  <c r="AA15" i="21"/>
  <c r="G6" i="1"/>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E34" s="1"/>
  <c r="C35"/>
  <c r="C33"/>
  <c r="G33" s="1"/>
  <c r="I33" s="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5"/>
  <c r="C105"/>
  <c r="J109"/>
  <c r="F107"/>
  <c r="K104"/>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C13" i="39" s="1"/>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C39" i="46"/>
  <c r="G39" s="1"/>
  <c r="I39" s="1"/>
  <c r="E36"/>
  <c r="C37"/>
  <c r="G37" s="1"/>
  <c r="I37" s="1"/>
  <c r="Q16" i="1"/>
  <c r="F18" i="11" s="1"/>
  <c r="C18" s="1"/>
  <c r="C19" s="1"/>
  <c r="AP16" i="1"/>
  <c r="F22" i="11" s="1"/>
  <c r="E4" i="4"/>
  <c r="C4"/>
  <c r="F64" i="15"/>
  <c r="C27"/>
  <c r="Q72"/>
  <c r="F50"/>
  <c r="F63"/>
  <c r="F67"/>
  <c r="M7"/>
  <c r="F49"/>
  <c r="F70"/>
  <c r="C6"/>
  <c r="L56"/>
  <c r="J57"/>
  <c r="J55" s="1"/>
  <c r="J58" s="1"/>
  <c r="Q51" s="1"/>
  <c r="F65"/>
  <c r="G66" i="36"/>
  <c r="J18"/>
  <c r="AE8" i="1"/>
  <c r="AE6"/>
  <c r="F33" i="44"/>
  <c r="F58" i="15"/>
  <c r="F31"/>
  <c r="M19" i="44"/>
  <c r="M17" i="15"/>
  <c r="F46" i="44"/>
  <c r="AE7" i="1"/>
  <c r="C16" i="15"/>
  <c r="C18" i="44"/>
  <c r="G16" i="1" l="1"/>
  <c r="J12" i="40" s="1"/>
  <c r="W12" s="1"/>
  <c r="K107" i="46"/>
  <c r="F103"/>
  <c r="F106"/>
  <c r="C107"/>
  <c r="C104"/>
  <c r="J107"/>
  <c r="C11" i="21"/>
  <c r="H13" i="39"/>
  <c r="J13"/>
  <c r="F13"/>
  <c r="J33" i="21"/>
  <c r="F33"/>
  <c r="H33"/>
  <c r="AA17" i="39"/>
  <c r="S17"/>
  <c r="AA29"/>
  <c r="S29"/>
  <c r="I116" i="46"/>
  <c r="J116" s="1"/>
  <c r="K116" s="1"/>
  <c r="L116" s="1"/>
  <c r="M116" s="1"/>
  <c r="K102"/>
  <c r="K103"/>
  <c r="K106"/>
  <c r="F105"/>
  <c r="F104"/>
  <c r="F102"/>
  <c r="C109"/>
  <c r="C102"/>
  <c r="C103"/>
  <c r="J102"/>
  <c r="J106"/>
  <c r="H7" i="37"/>
  <c r="Q62" i="44"/>
  <c r="Q76"/>
  <c r="J7" i="37"/>
  <c r="W7" s="1"/>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AG6" i="1"/>
  <c r="F31" i="6"/>
  <c r="AC6" i="3"/>
  <c r="D21" i="12"/>
  <c r="C21" s="1"/>
  <c r="D12" i="11"/>
  <c r="C12" s="1"/>
  <c r="C27" i="12"/>
  <c r="D26" s="1"/>
  <c r="E59" i="40"/>
  <c r="E29" i="6"/>
  <c r="L20" s="1"/>
  <c r="E58" i="40"/>
  <c r="E63" i="39"/>
  <c r="E16" i="6"/>
  <c r="AZ5" i="3"/>
  <c r="F33" i="12"/>
  <c r="C34" s="1"/>
  <c r="F24" i="43"/>
  <c r="E60" i="40"/>
  <c r="E65" i="39"/>
  <c r="K19" i="6"/>
  <c r="K26"/>
  <c r="M26" s="1"/>
  <c r="I26" s="1"/>
  <c r="S26" s="1"/>
  <c r="K24"/>
  <c r="K22"/>
  <c r="K20"/>
  <c r="K23"/>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F7" i="21"/>
  <c r="J7"/>
  <c r="H7"/>
  <c r="G43" i="35"/>
  <c r="H43" s="1"/>
  <c r="I42"/>
  <c r="J42" s="1"/>
  <c r="G52" i="33"/>
  <c r="H52" s="1"/>
  <c r="G53"/>
  <c r="H53" s="1"/>
  <c r="E67" i="40"/>
  <c r="F65"/>
  <c r="E72" i="39"/>
  <c r="F70"/>
  <c r="E39" i="46"/>
  <c r="C5" i="15"/>
  <c r="Q61"/>
  <c r="Q62"/>
  <c r="Q53"/>
  <c r="C48"/>
  <c r="C20" i="11"/>
  <c r="C21" s="1"/>
  <c r="C22" s="1"/>
  <c r="C23" s="1"/>
  <c r="B2" s="1"/>
  <c r="AC12" i="40"/>
  <c r="E46" i="37"/>
  <c r="F46" s="1"/>
  <c r="C48" i="33"/>
  <c r="C49"/>
  <c r="B3" s="1"/>
  <c r="B2" s="1"/>
  <c r="F7" i="67"/>
  <c r="L52" i="44"/>
  <c r="F41" i="15"/>
  <c r="F68" l="1"/>
  <c r="J12" i="39"/>
  <c r="AC12" s="1"/>
  <c r="H12"/>
  <c r="U12" s="1"/>
  <c r="H12" i="40"/>
  <c r="AB12" s="1"/>
  <c r="F12"/>
  <c r="AA12" s="1"/>
  <c r="F12" i="39"/>
  <c r="AA12" s="1"/>
  <c r="M24" i="6"/>
  <c r="I24" s="1"/>
  <c r="S24" s="1"/>
  <c r="S11" i="1"/>
  <c r="AB12" i="39"/>
  <c r="M23" i="6"/>
  <c r="I23" s="1"/>
  <c r="S23" s="1"/>
  <c r="S10" i="1"/>
  <c r="U33" i="21"/>
  <c r="AB33"/>
  <c r="W33"/>
  <c r="AC33"/>
  <c r="AC13" i="39"/>
  <c r="W13"/>
  <c r="H11" i="21"/>
  <c r="J11"/>
  <c r="F11"/>
  <c r="I53" i="34"/>
  <c r="J53" s="1"/>
  <c r="S33" i="21"/>
  <c r="AA33"/>
  <c r="S13" i="39"/>
  <c r="AA13"/>
  <c r="AB13"/>
  <c r="U13"/>
  <c r="S6" i="46"/>
  <c r="T6" s="1"/>
  <c r="V6" s="1"/>
  <c r="S7"/>
  <c r="T7" s="1"/>
  <c r="V7" s="1"/>
  <c r="S4"/>
  <c r="T4" s="1"/>
  <c r="V4" s="1"/>
  <c r="S5"/>
  <c r="T5" s="1"/>
  <c r="V5" s="1"/>
  <c r="S2"/>
  <c r="T2" s="1"/>
  <c r="V2" s="1"/>
  <c r="S3"/>
  <c r="T3" s="1"/>
  <c r="V3"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W7"/>
  <c r="U7"/>
  <c r="AB7"/>
  <c r="S7"/>
  <c r="AA7"/>
  <c r="F72" i="39"/>
  <c r="G70"/>
  <c r="F67" i="40"/>
  <c r="G65"/>
  <c r="J24" i="15"/>
  <c r="C32"/>
  <c r="C38"/>
  <c r="J20" i="44"/>
  <c r="J26"/>
  <c r="B3" i="11"/>
  <c r="C19" i="44"/>
  <c r="E7" i="67"/>
  <c r="C17" i="15"/>
  <c r="S11" i="21" l="1"/>
  <c r="AA11"/>
  <c r="U11"/>
  <c r="AB11"/>
  <c r="R48"/>
  <c r="T48"/>
  <c r="G48" s="1"/>
  <c r="G52" s="1"/>
  <c r="H52" s="1"/>
  <c r="W11"/>
  <c r="AC11"/>
  <c r="V48" s="1"/>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E48" i="21"/>
  <c r="G67" i="40"/>
  <c r="H65"/>
  <c r="G72" i="39"/>
  <c r="H70"/>
  <c r="B7" i="67"/>
  <c r="I48" i="21" l="1"/>
  <c r="I53" s="1"/>
  <c r="J53" s="1"/>
  <c r="R49"/>
  <c r="C48" s="1"/>
  <c r="E68" i="39"/>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9"/>
  <c r="B3" s="1"/>
  <c r="I70" i="39"/>
  <c r="H72"/>
  <c r="I65" i="40"/>
  <c r="H67"/>
  <c r="C16" i="44"/>
  <c r="C14" i="15"/>
  <c r="I52" i="21" l="1"/>
  <c r="J52" s="1"/>
  <c r="G53"/>
  <c r="H53" s="1"/>
  <c r="B2"/>
  <c r="C10" i="12" s="1"/>
  <c r="C8"/>
  <c r="C18" i="15"/>
  <c r="C15"/>
  <c r="C20" i="44"/>
  <c r="C17"/>
  <c r="B3" i="67"/>
  <c r="B4"/>
  <c r="T16" i="1"/>
  <c r="C17" i="12"/>
  <c r="C14"/>
  <c r="H27" i="6"/>
  <c r="R20"/>
  <c r="R7" i="1" s="1"/>
  <c r="R24" i="6"/>
  <c r="R11" i="1" s="1"/>
  <c r="D16" i="6"/>
  <c r="D30"/>
  <c r="R23"/>
  <c r="R10" i="1" s="1"/>
  <c r="R25" i="6"/>
  <c r="R21"/>
  <c r="R8" i="1" s="1"/>
  <c r="R19" i="6"/>
  <c r="R6" i="1" s="1"/>
  <c r="D27" i="6"/>
  <c r="A6" i="51"/>
  <c r="B7" i="63" s="1"/>
  <c r="A20" i="64"/>
  <c r="A6"/>
  <c r="A20" i="51"/>
  <c r="B15" i="63" s="1"/>
  <c r="N5" i="54"/>
  <c r="B43" i="63" s="1"/>
  <c r="R26" i="6"/>
  <c r="C17" i="43"/>
  <c r="C14"/>
  <c r="J65" i="40"/>
  <c r="I67"/>
  <c r="J70" i="39"/>
  <c r="I72"/>
  <c r="C47" i="15"/>
  <c r="M23" i="44"/>
  <c r="F37"/>
  <c r="M21" i="15"/>
  <c r="F35"/>
  <c r="C21" i="44" l="1"/>
  <c r="C22" s="1"/>
  <c r="C25" s="1"/>
  <c r="C19" i="15"/>
  <c r="J20"/>
  <c r="C36" i="44"/>
  <c r="C34" i="15"/>
  <c r="F62"/>
  <c r="C61" s="1"/>
  <c r="J22" i="44"/>
  <c r="C20" i="15"/>
  <c r="C23" s="1"/>
  <c r="C18" i="12"/>
  <c r="R16" i="1"/>
  <c r="D31" i="6"/>
  <c r="I6" s="1"/>
  <c r="R27"/>
  <c r="C18" i="43"/>
  <c r="K70" i="39"/>
  <c r="J72"/>
  <c r="K65" i="40"/>
  <c r="J67"/>
  <c r="C65" i="15"/>
  <c r="C59"/>
  <c r="C28" i="44" l="1"/>
  <c r="C31" s="1"/>
  <c r="C35" s="1"/>
  <c r="I5" i="6"/>
  <c r="C26" i="15"/>
  <c r="C29" s="1"/>
  <c r="J59" s="1"/>
  <c r="J60" s="1"/>
  <c r="Q49" s="1"/>
  <c r="C23" i="12"/>
  <c r="C19" i="43"/>
  <c r="C22" s="1"/>
  <c r="C21" s="1"/>
  <c r="K67" i="40"/>
  <c r="L65"/>
  <c r="K72" i="39"/>
  <c r="L70"/>
  <c r="C33" i="44" l="1"/>
  <c r="J21"/>
  <c r="J19" s="1"/>
  <c r="Q51"/>
  <c r="C15"/>
  <c r="C38"/>
  <c r="J16"/>
  <c r="J15" s="1"/>
  <c r="J25" s="1"/>
  <c r="J19" i="15"/>
  <c r="J17" s="1"/>
  <c r="J14"/>
  <c r="J22" s="1"/>
  <c r="C56"/>
  <c r="C63" s="1"/>
  <c r="Q50"/>
  <c r="C13"/>
  <c r="J35" s="1"/>
  <c r="C36"/>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C44" i="44" l="1"/>
  <c r="C45" s="1"/>
  <c r="B2" s="1"/>
  <c r="B4" s="1"/>
  <c r="C30" i="15"/>
  <c r="C39" s="1"/>
  <c r="Q70" s="1"/>
  <c r="Q69" s="1"/>
  <c r="C58"/>
  <c r="C57" s="1"/>
  <c r="C66" s="1"/>
  <c r="C67" s="1"/>
  <c r="C70" s="1"/>
  <c r="Q70" i="44"/>
  <c r="Q49"/>
  <c r="Q55" s="1"/>
  <c r="Q58"/>
  <c r="Q64" s="1"/>
  <c r="B3" i="43"/>
  <c r="B5"/>
  <c r="B4"/>
  <c r="J9" i="40"/>
  <c r="F9"/>
  <c r="H9"/>
  <c r="J9" i="39"/>
  <c r="H9"/>
  <c r="F9"/>
  <c r="C40" i="15" l="1"/>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Q76"/>
  <c r="Q58"/>
  <c r="Q63" s="1"/>
  <c r="E54" i="39"/>
  <c r="F54" s="1"/>
  <c r="E53"/>
  <c r="F53" s="1"/>
  <c r="E48" i="40"/>
  <c r="F48" s="1"/>
  <c r="E49"/>
  <c r="F49" s="1"/>
  <c r="C50" i="39"/>
  <c r="C49"/>
  <c r="I54"/>
  <c r="J54" s="1"/>
  <c r="C45" i="40"/>
  <c r="C44"/>
  <c r="I49"/>
  <c r="J49" s="1"/>
  <c r="B3" i="15" l="1"/>
  <c r="D8" i="12" s="1"/>
  <c r="D10"/>
  <c r="C6"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9" i="12" l="1"/>
  <c r="C24"/>
  <c r="F68" i="39"/>
  <c r="B2" s="1"/>
  <c r="F63" i="40"/>
  <c r="B2" s="1"/>
  <c r="C19" i="9"/>
  <c r="C28" i="12" l="1"/>
  <c r="C26" s="1"/>
  <c r="C31" s="1"/>
  <c r="C30" s="1"/>
  <c r="C35"/>
  <c r="C33" s="1"/>
  <c r="L43" i="9"/>
  <c r="B3" i="40"/>
  <c r="B4"/>
  <c r="B5"/>
  <c r="B3" i="39"/>
  <c r="B4"/>
  <c r="B5"/>
  <c r="C21" i="9"/>
  <c r="C20"/>
  <c r="C36" i="12" l="1"/>
  <c r="B2" s="1"/>
  <c r="B4" s="1"/>
  <c r="C45" i="9"/>
  <c r="H14" i="66" s="1"/>
  <c r="B7" s="1"/>
  <c r="D19" i="9"/>
  <c r="D21"/>
  <c r="B5" i="12" l="1"/>
  <c r="B3"/>
  <c r="L44" i="9"/>
  <c r="D22"/>
  <c r="G19"/>
  <c r="G21"/>
  <c r="D7" i="66"/>
  <c r="C7"/>
  <c r="D20" i="9"/>
  <c r="G20" l="1"/>
  <c r="C32"/>
  <c r="G22"/>
  <c r="N43"/>
  <c r="D45"/>
  <c r="E45"/>
  <c r="O40"/>
  <c r="F45"/>
  <c r="O38" l="1"/>
  <c r="C33"/>
  <c r="C35"/>
  <c r="F42" s="1"/>
  <c r="O43"/>
  <c r="C42"/>
  <c r="C34"/>
  <c r="K31"/>
  <c r="K32" s="1"/>
  <c r="R7" i="54"/>
  <c r="B52" i="63" s="1"/>
  <c r="C44" i="9" l="1"/>
  <c r="R5" i="54"/>
  <c r="B48" i="63" s="1"/>
  <c r="D14" i="66"/>
  <c r="N68" i="9"/>
  <c r="D63"/>
  <c r="K25"/>
  <c r="K26"/>
  <c r="E42"/>
  <c r="P5" i="54" s="1"/>
  <c r="B46" i="63" s="1"/>
  <c r="M38" i="9"/>
  <c r="K27" s="1"/>
  <c r="D42"/>
  <c r="Q5" i="54" s="1"/>
  <c r="B47" i="63" s="1"/>
  <c r="N38" i="9"/>
  <c r="K28" s="1"/>
  <c r="C111" l="1"/>
  <c r="C104" s="1"/>
  <c r="C103"/>
  <c r="C90"/>
  <c r="D70"/>
  <c r="C82"/>
  <c r="C81" s="1"/>
  <c r="C85" s="1"/>
  <c r="C86" s="1"/>
  <c r="D72" s="1"/>
  <c r="C96"/>
  <c r="C91" s="1"/>
  <c r="D71"/>
  <c r="D66" s="1"/>
  <c r="N72" s="1"/>
  <c r="D77"/>
  <c r="N75" s="1"/>
  <c r="F14" i="66"/>
  <c r="B5"/>
  <c r="E14"/>
  <c r="G14"/>
  <c r="B6" s="1"/>
  <c r="O39" i="9"/>
  <c r="E44"/>
  <c r="N69"/>
  <c r="D44"/>
  <c r="F44"/>
  <c r="M84" l="1"/>
  <c r="N84" s="1"/>
  <c r="M87"/>
  <c r="N87" s="1"/>
  <c r="M83"/>
  <c r="N83" s="1"/>
  <c r="M86"/>
  <c r="N86" s="1"/>
  <c r="M88"/>
  <c r="N88" s="1"/>
  <c r="M85"/>
  <c r="N85" s="1"/>
  <c r="K29"/>
  <c r="K30" s="1"/>
  <c r="R6" i="54"/>
  <c r="B50" i="63" s="1"/>
  <c r="C97" i="9"/>
  <c r="C6" i="66"/>
  <c r="D6"/>
  <c r="C5"/>
  <c r="D5"/>
  <c r="C113" i="9"/>
  <c r="N76"/>
  <c r="N89" l="1"/>
  <c r="O89" s="1"/>
  <c r="C98"/>
  <c r="E98" s="1"/>
  <c r="E99" s="1"/>
  <c r="C114"/>
  <c r="E114" s="1"/>
  <c r="E115" s="1"/>
  <c r="C99" l="1"/>
  <c r="C115"/>
  <c r="D76" s="1"/>
  <c r="D74" s="1"/>
  <c r="N74" s="1"/>
  <c r="O77" s="1"/>
  <c r="O78" l="1"/>
  <c r="O79"/>
  <c r="Q77"/>
  <c r="C46" l="1"/>
  <c r="O80"/>
  <c r="O81"/>
  <c r="K33" l="1"/>
  <c r="K34" s="1"/>
  <c r="F46"/>
  <c r="I14" i="66"/>
  <c r="B8" s="1"/>
  <c r="D46" i="9"/>
  <c r="O41"/>
  <c r="R8" i="54" s="1"/>
  <c r="B54" i="63" s="1"/>
  <c r="E46" i="9"/>
  <c r="C8" i="66" l="1"/>
  <c r="D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<sst xmlns="http://schemas.openxmlformats.org/spreadsheetml/2006/main" count="7251" uniqueCount="3252">
  <si>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</si>
  <si>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</si>
  <si>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</si>
  <si>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</si>
  <si>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</si>
  <si>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</si>
  <si>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</si>
  <si>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</si>
  <si>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</si>
  <si>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</si>
  <si>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</si>
  <si>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</si>
  <si>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</si>
  <si>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</si>
  <si>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</si>
  <si>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</si>
  <si>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</si>
  <si>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</si>
  <si>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</si>
  <si>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</si>
  <si>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</si>
  <si>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</si>
  <si>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</si>
  <si>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</si>
  <si>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</si>
  <si>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</si>
  <si>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</si>
  <si>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</si>
  <si>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</si>
  <si>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</si>
  <si>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</si>
  <si>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</si>
  <si>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</si>
  <si>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</si>
  <si>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</si>
  <si>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</si>
  <si>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</si>
  <si>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</si>
  <si>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</si>
  <si>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</si>
  <si>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</si>
  <si>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</si>
  <si>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</si>
  <si>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</si>
  <si>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</si>
  <si>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</si>
  <si>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</si>
  <si>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</si>
  <si>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</si>
  <si>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</si>
  <si>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</si>
  <si>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</si>
  <si>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</si>
  <si>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</si>
  <si>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</si>
  <si>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</si>
  <si>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</si>
  <si>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</si>
  <si>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</si>
  <si>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</si>
  <si>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</si>
  <si>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</si>
  <si>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</si>
  <si>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</si>
  <si>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</si>
  <si>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</si>
  <si>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</si>
  <si>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</si>
  <si>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</si>
  <si>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</si>
  <si>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</si>
  <si>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</si>
  <si>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</si>
  <si>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</si>
  <si>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</si>
  <si>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</si>
  <si>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</si>
  <si>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</si>
  <si>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</si>
  <si>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</si>
  <si>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</si>
  <si>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</si>
  <si>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</si>
  <si>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</si>
  <si>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</si>
  <si>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</si>
  <si>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</si>
  <si>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</si>
  <si>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</si>
  <si>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</si>
  <si>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</si>
  <si>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</si>
  <si>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</si>
  <si>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</si>
  <si>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</si>
  <si>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</si>
  <si>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</si>
  <si>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</si>
  <si>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</si>
  <si>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</si>
  <si>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</si>
  <si>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</si>
  <si>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</si>
  <si>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</si>
  <si>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</si>
  <si>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</si>
  <si>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</si>
  <si>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</si>
  <si>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</si>
  <si>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</si>
  <si>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</si>
  <si>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</si>
  <si>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</si>
  <si>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</si>
  <si>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</si>
  <si>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</si>
  <si>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</si>
  <si>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</si>
  <si>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</si>
  <si>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</si>
  <si>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</si>
  <si>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</si>
  <si>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</si>
  <si>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</si>
  <si>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</si>
  <si>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</si>
  <si>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</si>
  <si>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</si>
  <si>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</si>
  <si>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</si>
  <si>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</si>
  <si>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</si>
  <si>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</si>
  <si>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</si>
  <si>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</si>
  <si>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</si>
  <si>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</si>
  <si>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</si>
  <si>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</si>
  <si>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</si>
  <si>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</si>
  <si>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</si>
  <si>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</si>
  <si>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</si>
  <si>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</si>
  <si>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</si>
  <si>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</si>
  <si>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</si>
  <si>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</si>
  <si>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</si>
  <si>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</si>
  <si>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</si>
  <si>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</si>
  <si>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</si>
  <si>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</si>
  <si>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</si>
  <si>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</si>
  <si>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</si>
  <si>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</si>
  <si>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</si>
  <si>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</si>
  <si>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</si>
  <si>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</si>
  <si>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</si>
  <si>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</si>
  <si>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</si>
  <si>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</si>
  <si>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</si>
  <si>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</si>
  <si>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</si>
  <si>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</si>
  <si>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</si>
  <si>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</si>
  <si>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</si>
  <si>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</si>
  <si>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</si>
  <si>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</si>
  <si>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</si>
  <si>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</si>
  <si>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</si>
  <si>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</si>
  <si>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</si>
  <si>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</si>
  <si>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</si>
  <si>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</si>
  <si>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</si>
  <si>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</si>
  <si>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</si>
  <si>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</si>
  <si>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</si>
  <si>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</si>
  <si>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</si>
  <si>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</si>
  <si>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</si>
  <si>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</si>
  <si>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</si>
  <si>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</si>
  <si>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</si>
  <si>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</si>
  <si>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</si>
  <si>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</si>
  <si>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</si>
  <si>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</si>
  <si>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</si>
  <si>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</si>
  <si>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</si>
  <si>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</si>
  <si>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</si>
  <si>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</si>
  <si>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</si>
  <si>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</si>
  <si>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</si>
  <si>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</si>
  <si>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</si>
  <si>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</si>
  <si>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</si>
  <si>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</si>
  <si>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</si>
  <si>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</si>
  <si>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</si>
  <si>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</si>
  <si>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</si>
  <si>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</si>
  <si>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</si>
  <si>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</si>
  <si>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</si>
  <si>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</si>
  <si>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</si>
  <si>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</si>
  <si>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</si>
  <si>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</si>
  <si>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</si>
  <si>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</si>
  <si>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</si>
  <si>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</si>
  <si>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</si>
  <si>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</si>
  <si>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</si>
  <si>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</si>
  <si>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</si>
  <si>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</si>
  <si>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</si>
  <si>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</si>
  <si>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</si>
  <si>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</si>
  <si>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</si>
  <si>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</si>
  <si>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</si>
  <si>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</si>
  <si>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</si>
  <si>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</si>
  <si>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</si>
  <si>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</si>
  <si>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</si>
  <si>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</si>
  <si>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</si>
  <si>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</si>
  <si>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</si>
  <si>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</si>
  <si>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</si>
  <si>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</si>
  <si>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</si>
  <si>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</si>
  <si>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</si>
  <si>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</si>
  <si>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</si>
  <si>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</si>
  <si>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</si>
  <si>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</si>
  <si>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</si>
  <si>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</si>
  <si>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</si>
  <si>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</si>
  <si>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</si>
  <si>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</si>
  <si>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</si>
  <si>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</si>
  <si>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</si>
  <si>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</si>
  <si>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</si>
  <si>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</si>
  <si>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</si>
  <si>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</si>
  <si>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</si>
  <si>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</si>
  <si>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</si>
  <si>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</si>
  <si>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</si>
  <si>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</si>
  <si>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</si>
  <si>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</si>
  <si>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</si>
  <si>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</si>
  <si>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</si>
  <si>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</si>
  <si>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</si>
  <si>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</si>
  <si>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</si>
  <si>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</si>
  <si>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</si>
  <si>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</si>
  <si>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</si>
  <si>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</si>
  <si>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</si>
  <si>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</si>
  <si>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</si>
  <si>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</si>
  <si>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</si>
  <si>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</si>
  <si>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</si>
  <si>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</si>
  <si>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</si>
  <si>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</si>
  <si>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</si>
  <si>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</si>
  <si>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</si>
  <si>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</si>
  <si>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</si>
  <si>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</si>
  <si>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</si>
  <si>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</si>
  <si>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</si>
  <si>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</si>
  <si>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</si>
  <si>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</si>
  <si>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</si>
  <si>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</si>
  <si>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</si>
  <si>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</si>
  <si>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</si>
  <si>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</si>
  <si>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</si>
  <si>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</si>
  <si>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</si>
  <si>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</si>
  <si>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</si>
  <si>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</si>
  <si>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</si>
  <si>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</si>
  <si>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</si>
  <si>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</si>
  <si>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</si>
  <si>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</si>
  <si>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</si>
  <si>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</si>
  <si>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</si>
  <si>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</si>
  <si>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</si>
  <si>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</si>
  <si>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</si>
  <si>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</si>
  <si>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</si>
  <si>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</si>
  <si>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</si>
  <si>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</si>
  <si>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</si>
  <si>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</si>
  <si>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</si>
  <si>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</si>
  <si>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</si>
  <si>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</si>
  <si>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</si>
  <si>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</si>
  <si>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</si>
  <si>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</si>
  <si>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</si>
  <si>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</si>
  <si>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</si>
  <si>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</si>
  <si>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</si>
  <si>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</si>
  <si>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</si>
  <si>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</si>
  <si>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</si>
  <si>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</si>
  <si>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</si>
  <si>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</si>
  <si>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</si>
  <si>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</si>
  <si>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</si>
  <si>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</si>
  <si>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</si>
  <si>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</si>
  <si>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</si>
  <si>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</si>
  <si>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</si>
  <si>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</si>
  <si>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</si>
  <si>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</si>
  <si>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</si>
  <si>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</si>
  <si>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</si>
  <si>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</si>
  <si>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</si>
  <si>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</si>
  <si>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</si>
  <si>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</si>
  <si>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</si>
  <si>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</si>
  <si>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</si>
  <si>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</si>
  <si>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</si>
  <si>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</si>
  <si>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</si>
  <si>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</si>
  <si>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</si>
  <si>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</si>
  <si>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</si>
  <si>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</si>
  <si>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</si>
  <si>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</si>
  <si>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</si>
  <si>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</si>
  <si>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</si>
  <si>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</si>
  <si>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</si>
  <si>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</si>
  <si>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</si>
  <si>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</si>
  <si>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</si>
  <si>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</si>
  <si>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</si>
  <si>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</si>
  <si>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</si>
  <si>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</si>
  <si>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</si>
  <si>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</si>
  <si>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</si>
  <si>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</si>
  <si>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</si>
  <si>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</si>
  <si>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</si>
  <si>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</si>
  <si>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</si>
  <si>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</si>
  <si>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</si>
  <si>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</si>
  <si>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</si>
  <si>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</si>
  <si>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</si>
  <si>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</si>
  <si>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</si>
  <si>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</si>
  <si>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</si>
  <si>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</si>
  <si>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</si>
  <si>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</si>
  <si>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</si>
  <si>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</si>
  <si>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</si>
  <si>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</si>
  <si>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</si>
  <si>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</si>
  <si>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</si>
  <si>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</si>
  <si>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</si>
  <si>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</si>
  <si>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</si>
  <si>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</si>
  <si>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</si>
  <si>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</si>
  <si>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</si>
  <si>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</si>
  <si>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</si>
  <si>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</si>
  <si>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</si>
  <si>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</si>
  <si>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</si>
  <si>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</si>
  <si>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</si>
  <si>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</si>
  <si>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</si>
  <si>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</si>
  <si>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</si>
  <si>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</si>
  <si>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</si>
  <si>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</si>
  <si>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</si>
  <si>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</si>
  <si>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</si>
  <si>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</si>
  <si>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</si>
  <si>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</si>
  <si>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</si>
  <si>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</si>
  <si>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</si>
  <si>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</si>
  <si>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</si>
  <si>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</si>
  <si>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</si>
  <si>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</si>
  <si>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</si>
  <si>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</si>
  <si>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</si>
  <si>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</si>
  <si>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</si>
  <si>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</si>
  <si>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</si>
  <si>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</si>
  <si>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</si>
  <si>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</si>
  <si>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</si>
  <si>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</si>
  <si>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</si>
  <si>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</si>
  <si>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</si>
  <si>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</si>
  <si>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</si>
  <si>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</si>
  <si>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</si>
  <si>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</si>
  <si>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</si>
  <si>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</si>
  <si>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</si>
  <si>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</si>
  <si>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</si>
  <si>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</si>
  <si>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</si>
  <si>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</si>
  <si>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</si>
  <si>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</si>
  <si>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</si>
  <si>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</si>
  <si>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</si>
  <si>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</si>
  <si>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</si>
  <si>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</si>
  <si>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</si>
  <si>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</si>
  <si>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</si>
  <si>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</si>
  <si>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</si>
  <si>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</si>
  <si>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</si>
  <si>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</si>
  <si>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</si>
  <si>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</si>
  <si>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</si>
  <si>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</si>
  <si>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</si>
  <si>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</si>
  <si>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</si>
  <si>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</si>
  <si>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</si>
  <si>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</si>
  <si>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</si>
  <si>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</si>
  <si>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</si>
  <si>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</si>
  <si>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</si>
  <si>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</si>
  <si>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</si>
  <si>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</si>
  <si>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</si>
  <si>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</si>
  <si>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</si>
  <si>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</si>
  <si>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</si>
  <si>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</si>
  <si>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</si>
  <si>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</si>
  <si>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</si>
  <si>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</si>
  <si>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</si>
  <si>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</si>
  <si>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</si>
  <si>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</si>
  <si>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</si>
  <si>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</si>
  <si>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</si>
  <si>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</si>
  <si>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</si>
  <si>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</si>
  <si>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</si>
  <si>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</si>
  <si>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</si>
  <si>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</si>
  <si>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</si>
  <si>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</si>
  <si>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</si>
  <si>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</si>
  <si>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</si>
  <si>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</si>
  <si>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</si>
  <si>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</si>
  <si>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</si>
  <si>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</si>
  <si>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</si>
  <si>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</si>
  <si>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</si>
  <si>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</si>
  <si>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</si>
  <si>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</si>
  <si>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</si>
  <si>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</si>
  <si>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</si>
  <si>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</si>
  <si>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</si>
  <si>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</si>
  <si>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</si>
  <si>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</si>
  <si>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</si>
  <si>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</si>
  <si>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</si>
  <si>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</si>
  <si>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</si>
  <si>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</si>
  <si>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</si>
  <si>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</si>
  <si>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</si>
  <si>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</si>
  <si>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</si>
  <si>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</si>
  <si>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</si>
  <si>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</si>
  <si>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</si>
  <si>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</si>
  <si>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</si>
  <si>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</si>
  <si>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</si>
  <si>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</si>
  <si>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</si>
  <si>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</si>
  <si>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</si>
  <si>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</si>
  <si>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</si>
  <si>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</si>
  <si>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</si>
  <si>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</si>
  <si>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</si>
  <si>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</si>
  <si>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</si>
  <si>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</si>
  <si>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</si>
  <si>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</si>
  <si>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</si>
  <si>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</si>
  <si>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</si>
  <si>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</si>
  <si>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</si>
  <si>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</si>
  <si>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</si>
  <si>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</si>
  <si>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</si>
  <si>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</si>
  <si>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</si>
  <si>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</si>
  <si>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</si>
  <si>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</si>
  <si>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</si>
  <si>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</si>
  <si>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</si>
  <si>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</si>
  <si>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</si>
  <si>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</si>
  <si>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</si>
  <si>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</si>
  <si>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</si>
  <si>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</si>
  <si>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</si>
  <si>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</si>
  <si>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</si>
  <si>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</si>
  <si>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</si>
  <si>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</si>
  <si>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</si>
  <si>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</si>
  <si>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</si>
  <si>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</si>
  <si>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</si>
  <si>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</si>
  <si>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</si>
  <si>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</si>
  <si>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</si>
  <si>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</si>
  <si>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</si>
  <si>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</si>
  <si>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</si>
  <si>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</si>
  <si>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</si>
  <si>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</si>
  <si>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</si>
  <si>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</si>
  <si>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</si>
  <si>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</si>
  <si>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</si>
  <si>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</si>
  <si>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</si>
  <si>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</si>
  <si>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</si>
  <si>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</si>
  <si>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</si>
  <si>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</si>
  <si>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</si>
  <si>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</si>
  <si>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</si>
  <si>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</si>
  <si>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</si>
  <si>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</si>
  <si>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</si>
  <si>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</si>
  <si>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</si>
  <si>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</si>
  <si>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</si>
  <si>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</si>
  <si>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</si>
  <si>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</si>
  <si>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</si>
  <si>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</si>
  <si>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</si>
  <si>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</si>
  <si>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</si>
  <si>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</si>
  <si>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</si>
  <si>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</si>
  <si>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</si>
  <si>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</si>
  <si>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</si>
  <si>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</si>
  <si>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</si>
  <si>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</si>
  <si>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</si>
  <si>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</si>
  <si>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</si>
  <si>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</si>
  <si>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</si>
  <si>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</si>
  <si>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</si>
  <si>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</si>
  <si>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</si>
  <si>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</si>
  <si>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</si>
  <si>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</si>
  <si>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</si>
  <si>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</si>
  <si>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</si>
  <si>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</si>
  <si>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</si>
  <si>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</si>
  <si>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</si>
  <si>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</si>
  <si>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</si>
  <si>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</si>
  <si>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</si>
  <si>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</si>
  <si>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</si>
  <si>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</si>
  <si>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</si>
  <si>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</si>
  <si>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</si>
  <si>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</si>
  <si>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</si>
  <si>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</si>
  <si>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</si>
  <si>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</si>
  <si>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</si>
  <si>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</si>
  <si>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</si>
  <si>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</si>
  <si>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</si>
  <si>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</si>
  <si>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</si>
  <si>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</si>
  <si>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</si>
  <si>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</si>
  <si>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</si>
  <si>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</si>
  <si>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</si>
  <si>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</si>
  <si>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</si>
  <si>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</si>
  <si>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</si>
  <si>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</si>
  <si>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</si>
  <si>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</si>
  <si>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</si>
  <si>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</si>
  <si>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</si>
  <si>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</si>
  <si>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</si>
  <si>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</si>
  <si>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</si>
  <si>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</si>
  <si>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</si>
  <si>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</si>
  <si>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</si>
  <si>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</si>
  <si>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</si>
  <si>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</si>
  <si>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</si>
  <si>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</si>
  <si>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</si>
  <si>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</si>
  <si>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</si>
  <si>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</si>
  <si>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</si>
  <si>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</si>
  <si>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</si>
  <si>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</si>
  <si>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</si>
  <si>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</si>
  <si>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</si>
  <si>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</si>
  <si>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</si>
  <si>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</si>
  <si>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</si>
  <si>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</si>
  <si>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</si>
  <si>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</si>
  <si>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</si>
  <si>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</si>
  <si>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</si>
  <si>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</si>
  <si>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</si>
  <si>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</si>
  <si>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</si>
  <si>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</si>
  <si>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</si>
  <si>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</si>
  <si>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</si>
  <si>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</si>
  <si>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</si>
  <si>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</si>
  <si>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</si>
  <si>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</si>
  <si>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</si>
  <si>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</si>
  <si>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</si>
  <si>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</si>
  <si>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</si>
  <si>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</si>
  <si>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</si>
  <si>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</si>
  <si>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</si>
  <si>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</si>
  <si>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</si>
  <si>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</si>
  <si>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</si>
  <si>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</si>
  <si>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</si>
  <si>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</si>
  <si>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</si>
  <si>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</si>
  <si>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</si>
  <si>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</si>
  <si>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</si>
  <si>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</si>
  <si>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</si>
  <si>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</si>
  <si>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</si>
  <si>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</si>
  <si>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</si>
  <si>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</si>
  <si>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</si>
  <si>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</si>
  <si>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</si>
  <si>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</si>
  <si>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</si>
  <si>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</si>
  <si>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</si>
  <si>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</si>
  <si>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</si>
  <si>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</si>
  <si>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</si>
  <si>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</si>
  <si>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</si>
  <si>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</si>
  <si>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</si>
  <si>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</si>
  <si>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</si>
  <si>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</si>
  <si>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</si>
  <si>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</si>
  <si>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</si>
  <si>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</si>
  <si>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</si>
  <si>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</si>
  <si>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</si>
  <si>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</si>
  <si>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</si>
  <si>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</si>
  <si>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</si>
  <si>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</si>
  <si>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</si>
  <si>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</si>
  <si>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</si>
  <si>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</si>
  <si>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</si>
  <si>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</si>
  <si>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</si>
  <si>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</si>
  <si>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</si>
  <si>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</si>
  <si>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</si>
  <si>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</si>
  <si>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</si>
  <si>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</si>
  <si>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</si>
  <si>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</si>
  <si>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</si>
  <si>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</si>
  <si>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</si>
  <si>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</si>
  <si>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</si>
  <si>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</si>
  <si>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</si>
  <si>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</si>
  <si>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</si>
  <si>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</si>
  <si>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</si>
  <si>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</si>
  <si>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</si>
  <si>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</si>
  <si>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</si>
  <si>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</si>
  <si>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</si>
  <si>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</si>
  <si>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</si>
  <si>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</si>
  <si>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</si>
  <si>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</si>
  <si>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</si>
  <si>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</si>
  <si>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</si>
  <si>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</si>
  <si>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</si>
  <si>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</si>
  <si>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</si>
  <si>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</si>
  <si>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</si>
  <si>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</si>
  <si>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</si>
  <si>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</si>
  <si>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</si>
  <si>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</si>
  <si>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</si>
  <si>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</si>
  <si>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</si>
  <si>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</si>
  <si>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</si>
  <si>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</si>
  <si>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</si>
  <si>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</si>
  <si>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</si>
  <si>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</si>
  <si>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</si>
  <si>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</si>
  <si>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</si>
  <si>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</si>
  <si>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</si>
  <si>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</si>
  <si>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</si>
  <si>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</si>
  <si>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</si>
  <si>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</si>
  <si>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</si>
  <si>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</si>
  <si>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</si>
  <si>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</si>
  <si>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</si>
  <si>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</si>
  <si>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</si>
  <si>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</si>
  <si>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</si>
  <si>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</si>
  <si>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</si>
  <si>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</si>
  <si>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</si>
  <si>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</si>
  <si>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</si>
  <si>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</si>
  <si>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</si>
  <si>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</si>
  <si>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</si>
  <si>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</si>
  <si>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</si>
  <si>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</si>
  <si>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</si>
  <si>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</si>
  <si>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</si>
  <si>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</si>
  <si>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</si>
  <si>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</si>
  <si>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</si>
  <si>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</si>
  <si>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</si>
  <si>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</si>
  <si>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</si>
  <si>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</si>
  <si>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</si>
  <si>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</si>
  <si>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</si>
  <si>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</si>
  <si>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</si>
  <si>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</si>
  <si>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</si>
  <si>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</si>
  <si>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</si>
  <si>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</si>
  <si>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</si>
  <si>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</si>
  <si>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</si>
  <si>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</si>
  <si>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</si>
  <si>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</si>
  <si>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</si>
  <si>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</si>
  <si>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</si>
  <si>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</si>
  <si>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</si>
  <si>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</si>
  <si>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</si>
  <si>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</si>
  <si>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</si>
  <si>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</si>
  <si>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</si>
  <si>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</si>
  <si>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</si>
  <si>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</si>
  <si>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</si>
  <si>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</si>
  <si>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</si>
  <si>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</si>
  <si>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</si>
  <si>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</si>
  <si>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</si>
  <si>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</si>
  <si>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</si>
  <si>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</si>
  <si>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</si>
  <si>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</si>
  <si>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</si>
  <si>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</si>
  <si>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</si>
  <si>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</si>
  <si>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</si>
  <si>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</si>
  <si>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</si>
  <si>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</si>
  <si>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</si>
  <si>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</si>
  <si>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</si>
  <si>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</si>
  <si>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</si>
  <si>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</si>
  <si>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</si>
  <si>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</si>
  <si>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</si>
  <si>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</si>
  <si>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</si>
  <si>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</si>
  <si>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</si>
  <si>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</si>
  <si>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</si>
  <si>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</si>
  <si>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</si>
  <si>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</si>
  <si>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</si>
  <si>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</si>
  <si>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</si>
  <si>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</si>
  <si>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</si>
  <si>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</si>
  <si>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</si>
  <si>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</si>
  <si>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</si>
  <si>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</si>
  <si>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</si>
  <si>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</si>
  <si>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</si>
  <si>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</si>
  <si>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</si>
  <si>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</si>
  <si>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</si>
  <si>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</si>
  <si>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</si>
  <si>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</si>
  <si>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</si>
  <si>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</si>
  <si>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</si>
  <si>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</si>
  <si>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</si>
  <si>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</si>
  <si>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</si>
  <si>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</si>
  <si>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</si>
  <si>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</si>
  <si>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</si>
  <si>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</si>
  <si>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</si>
  <si>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</si>
  <si>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</si>
  <si>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</si>
  <si>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</si>
  <si>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</si>
  <si>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</si>
  <si>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</si>
  <si>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</si>
  <si>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</si>
  <si>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</si>
  <si>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</si>
  <si>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</si>
  <si>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</si>
  <si>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</si>
  <si>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</si>
  <si>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</si>
  <si>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</si>
  <si>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</si>
  <si>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</si>
  <si>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</si>
  <si>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</si>
  <si>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</si>
  <si>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</si>
  <si>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</si>
  <si>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</si>
  <si>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</si>
  <si>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</si>
  <si>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</si>
  <si>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</si>
  <si>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</si>
  <si>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</si>
  <si>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</si>
  <si>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</si>
  <si>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</si>
  <si>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</si>
  <si>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</si>
  <si>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</si>
  <si>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</si>
  <si>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</si>
  <si>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</si>
  <si>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</si>
  <si>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</si>
  <si>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</si>
  <si>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</si>
  <si>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</si>
  <si>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</si>
  <si>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</si>
  <si>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</si>
  <si>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</si>
  <si>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</si>
  <si>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</si>
  <si>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</si>
  <si>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</si>
  <si>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</si>
  <si>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</si>
  <si>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</si>
  <si>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</si>
  <si>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</si>
  <si>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</si>
  <si>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</si>
  <si>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</si>
  <si>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</si>
  <si>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</si>
  <si>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</si>
  <si>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</si>
  <si>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</si>
  <si>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</si>
  <si>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</si>
  <si>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</si>
  <si>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</si>
  <si>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</si>
  <si>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</si>
  <si>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</si>
  <si>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</si>
  <si>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</si>
  <si>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</si>
  <si>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</si>
  <si>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</si>
  <si>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</si>
  <si>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</si>
  <si>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</si>
  <si>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</si>
  <si>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</si>
  <si>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</si>
  <si>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</si>
  <si>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</si>
  <si>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</si>
  <si>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</si>
  <si>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</si>
  <si>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</si>
  <si>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</si>
  <si>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</si>
  <si>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</si>
  <si>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</si>
  <si>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</si>
  <si>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</si>
  <si>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</si>
  <si>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</si>
  <si>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</si>
  <si>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</si>
  <si>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</si>
  <si>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</si>
  <si>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</si>
  <si>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</si>
  <si>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</si>
  <si>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</si>
  <si>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</si>
  <si>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</si>
  <si>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</si>
  <si>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</si>
  <si>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</si>
  <si>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</si>
  <si>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</si>
  <si>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</si>
  <si>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</si>
  <si>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</si>
  <si>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</si>
  <si>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</si>
  <si>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</si>
  <si>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</si>
  <si>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</si>
  <si>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</si>
  <si>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</si>
  <si>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</si>
  <si>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</si>
  <si>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</si>
  <si>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</si>
  <si>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</si>
  <si>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</si>
  <si>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</si>
  <si>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</si>
  <si>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</si>
  <si>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</si>
  <si>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</si>
  <si>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</si>
  <si>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</si>
  <si>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</si>
  <si>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</si>
  <si>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</si>
  <si>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</si>
  <si>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</si>
  <si>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</si>
  <si>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</si>
  <si>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</si>
  <si>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</si>
  <si>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</si>
  <si>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</si>
  <si>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</si>
  <si>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</si>
  <si>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</si>
  <si>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</si>
  <si>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</si>
  <si>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</si>
  <si>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</si>
  <si>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</si>
  <si>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</si>
  <si>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</si>
  <si>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</si>
  <si>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</si>
  <si>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</si>
  <si>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</si>
  <si>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</si>
  <si>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</si>
  <si>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</si>
  <si>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</si>
  <si>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</si>
  <si>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</si>
  <si>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</si>
  <si>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</si>
  <si>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</si>
  <si>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</si>
  <si>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</si>
  <si>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</si>
  <si>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</si>
  <si>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</si>
  <si>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</si>
  <si>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</si>
  <si>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</si>
  <si>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</si>
  <si>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</si>
  <si>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</si>
  <si>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</si>
  <si>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</si>
  <si>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</si>
  <si>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</si>
  <si>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</si>
  <si>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</si>
  <si>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</si>
  <si>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</si>
  <si>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</si>
  <si>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</si>
  <si>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</si>
  <si>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</si>
  <si>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</si>
  <si>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</si>
  <si>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</si>
  <si>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</si>
  <si>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</si>
  <si>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</si>
  <si>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</si>
  <si>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</si>
  <si>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</si>
  <si>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</si>
  <si>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</si>
  <si>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</si>
  <si>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</si>
  <si>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</si>
  <si>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</si>
  <si>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</si>
  <si>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</si>
  <si>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</si>
  <si>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</si>
  <si>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</si>
  <si>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</si>
  <si>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</si>
  <si>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</si>
  <si>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</si>
  <si>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</si>
  <si>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</si>
  <si>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</si>
  <si>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</si>
  <si>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</si>
  <si>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</si>
  <si>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</si>
  <si>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</si>
  <si>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</si>
  <si>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</si>
  <si>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</si>
  <si>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</si>
  <si>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</si>
  <si>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</si>
  <si>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</si>
  <si>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</si>
  <si>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</si>
  <si>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</si>
  <si>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</si>
  <si>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</si>
  <si>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</si>
  <si>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</si>
  <si>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</si>
  <si>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</si>
  <si>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</si>
  <si>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</si>
  <si>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</si>
  <si>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</si>
  <si>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</si>
  <si>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</si>
  <si>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</si>
  <si>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</si>
  <si>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</si>
  <si>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</si>
  <si>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</si>
  <si>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</si>
  <si>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</si>
  <si>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</si>
  <si>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</si>
  <si>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</si>
  <si>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</si>
  <si>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</si>
  <si>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</si>
  <si>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</si>
  <si>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</si>
  <si>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</si>
  <si>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</si>
  <si>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</si>
  <si>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</si>
  <si>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</si>
  <si>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</si>
  <si>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</si>
  <si>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</si>
  <si>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</si>
  <si>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</si>
  <si>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</si>
  <si>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</si>
  <si>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</si>
  <si>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</si>
  <si>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</si>
  <si>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</si>
  <si>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</si>
  <si>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</si>
  <si>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</si>
  <si>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</si>
  <si>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</si>
  <si>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</si>
  <si>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</si>
  <si>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</si>
  <si>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</si>
  <si>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</si>
  <si>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</si>
  <si>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</si>
  <si>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</si>
  <si>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</si>
  <si>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</si>
  <si>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</si>
  <si>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</si>
  <si>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</si>
  <si>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</si>
  <si>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</si>
  <si>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</si>
  <si>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</si>
  <si>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</si>
  <si>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</si>
  <si>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</si>
  <si>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</si>
  <si>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</si>
  <si>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</si>
  <si>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</si>
  <si>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</si>
  <si>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</si>
  <si>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</si>
  <si>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</si>
  <si>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</si>
  <si>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</si>
  <si>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</si>
  <si>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</si>
  <si>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</si>
  <si>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</si>
  <si>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</si>
  <si>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</si>
  <si>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</si>
  <si>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</si>
  <si>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</si>
  <si>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</si>
  <si>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</si>
  <si>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</si>
  <si>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</si>
  <si>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</si>
  <si>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</si>
  <si>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</si>
  <si>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</si>
  <si>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</si>
  <si>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</si>
  <si>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</si>
  <si>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</si>
  <si>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</si>
  <si>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</si>
  <si>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</si>
  <si>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</si>
  <si>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</si>
  <si>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</si>
  <si>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</si>
  <si>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</si>
  <si>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</si>
  <si>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</si>
  <si>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</si>
  <si>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</si>
  <si>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</si>
  <si>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</si>
  <si>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</si>
  <si>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</si>
  <si>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</si>
  <si>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</si>
  <si>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</si>
  <si>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</si>
  <si>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</si>
  <si>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</si>
  <si>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</si>
  <si>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</si>
  <si>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</si>
  <si>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</si>
  <si>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</si>
  <si>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</si>
  <si>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</si>
  <si>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</si>
  <si>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</si>
  <si>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</si>
  <si>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</si>
  <si>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</si>
  <si>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</si>
  <si>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</si>
  <si>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</si>
  <si>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</si>
  <si>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</si>
  <si>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</si>
  <si>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</si>
  <si>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</si>
  <si>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</si>
  <si>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</si>
  <si>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</si>
  <si>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</si>
  <si>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</si>
  <si>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</si>
  <si>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</si>
  <si>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</si>
  <si>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</si>
  <si>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</si>
  <si>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</si>
  <si>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</si>
  <si>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</si>
  <si>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</si>
  <si>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</si>
  <si>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</si>
  <si>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</si>
  <si>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</si>
  <si>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</si>
  <si>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</si>
  <si>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</si>
  <si>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</si>
  <si>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</si>
  <si>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</si>
  <si>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</si>
  <si>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</si>
  <si>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</si>
  <si>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</si>
  <si>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</si>
  <si>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</si>
  <si>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</si>
  <si>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</si>
  <si>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</si>
  <si>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</si>
  <si>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</si>
  <si>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</si>
  <si>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</si>
  <si>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</si>
  <si>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</si>
  <si>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</si>
  <si>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</si>
  <si>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</si>
  <si>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</si>
  <si>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</si>
  <si>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</si>
  <si>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</si>
  <si>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</si>
  <si>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</si>
  <si>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</si>
  <si>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</si>
  <si>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</si>
  <si>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</si>
  <si>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</si>
  <si>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</si>
  <si>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</si>
  <si>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</si>
  <si>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</si>
  <si>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</si>
  <si>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</si>
  <si>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</si>
  <si>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</si>
  <si>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</si>
  <si>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</si>
  <si>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</si>
  <si>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</si>
  <si>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</si>
  <si>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</si>
  <si>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</si>
  <si>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</si>
  <si>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</si>
  <si>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</si>
  <si>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</si>
  <si>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</si>
  <si>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</si>
  <si>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</si>
  <si>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</si>
  <si>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</si>
  <si>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</si>
  <si>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</si>
  <si>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</si>
  <si>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</si>
  <si>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</si>
  <si>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</si>
  <si>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</si>
  <si>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</si>
  <si>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</si>
  <si>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</si>
  <si>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</si>
  <si>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</si>
  <si>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</si>
  <si>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</si>
  <si>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</si>
  <si>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</si>
  <si>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</si>
  <si>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</si>
  <si>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</si>
  <si>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</si>
  <si>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</si>
  <si>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</si>
  <si>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</si>
  <si>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</si>
  <si>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</si>
  <si>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</si>
  <si>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</si>
  <si>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</si>
  <si>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</si>
  <si>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</si>
  <si>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</si>
  <si>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</si>
  <si>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</si>
  <si>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</si>
  <si>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</si>
  <si>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</si>
  <si>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</si>
  <si>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</si>
  <si>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</si>
  <si>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</si>
  <si>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</si>
  <si>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</si>
  <si>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</si>
  <si>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</si>
  <si>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</si>
  <si>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</si>
  <si>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</si>
  <si>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</si>
  <si>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</si>
  <si>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</si>
  <si>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</si>
  <si>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</si>
  <si>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</si>
  <si>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</si>
  <si>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</si>
  <si>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</si>
  <si>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</si>
  <si>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</si>
  <si>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</si>
  <si>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</si>
  <si>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</si>
  <si>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</si>
  <si>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</si>
  <si>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</si>
  <si>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</si>
  <si>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</si>
  <si>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</si>
  <si>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</si>
  <si>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</si>
  <si>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</si>
  <si>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</si>
  <si>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</si>
  <si>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</si>
  <si>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</si>
  <si>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</si>
  <si>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</si>
  <si>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</si>
  <si>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</si>
  <si>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</si>
  <si>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</si>
  <si>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</si>
  <si>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</si>
  <si>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</si>
  <si>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</si>
  <si>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</si>
  <si>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</si>
  <si>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</si>
  <si>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</si>
  <si>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</si>
  <si>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</si>
  <si>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</si>
  <si>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</si>
  <si>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</si>
  <si>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</si>
  <si>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</si>
  <si>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</si>
  <si>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</si>
  <si>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</si>
  <si>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</si>
  <si>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</si>
  <si>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</si>
  <si>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</si>
  <si>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</si>
  <si>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</si>
  <si>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</si>
  <si>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</si>
  <si>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</si>
  <si>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</si>
  <si>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</si>
  <si>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</si>
  <si>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</si>
  <si>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</si>
  <si>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</si>
  <si>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</si>
  <si>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</si>
  <si>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</si>
  <si>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</si>
  <si>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</si>
  <si>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</si>
  <si>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</si>
  <si>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</si>
  <si>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</si>
  <si>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</si>
  <si>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</si>
  <si>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</si>
  <si>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</si>
  <si>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</si>
  <si>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</si>
  <si>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</si>
  <si>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</si>
  <si>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</si>
  <si>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</si>
  <si>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</si>
  <si>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</si>
  <si>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</si>
  <si>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</si>
  <si>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</si>
  <si>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</si>
  <si>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</si>
  <si>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</si>
  <si>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</si>
  <si>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</si>
  <si>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</si>
  <si>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</si>
  <si>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</si>
  <si>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</si>
  <si>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</si>
  <si>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</si>
  <si>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</si>
  <si>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</si>
  <si>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</si>
  <si>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</si>
  <si>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</si>
  <si>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</si>
  <si>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</si>
  <si>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</si>
  <si>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</si>
  <si>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</si>
  <si>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</si>
  <si>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</si>
  <si>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</si>
  <si>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</si>
  <si>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</si>
  <si>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</si>
  <si>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</si>
  <si>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</si>
  <si>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</si>
  <si>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</si>
  <si>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</si>
  <si>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</si>
  <si>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</si>
  <si>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</si>
  <si>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</si>
  <si>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</si>
  <si>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</si>
  <si>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</si>
  <si>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</si>
  <si>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</si>
  <si>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</si>
  <si>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</si>
  <si>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</si>
  <si>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</si>
  <si>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</si>
  <si>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</si>
  <si>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</si>
  <si>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</si>
  <si>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</si>
  <si>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</si>
  <si>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</si>
  <si>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</si>
  <si>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</si>
  <si>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</si>
  <si>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</si>
  <si>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</si>
  <si>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</si>
  <si>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</si>
  <si>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</si>
  <si>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</si>
  <si>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</si>
  <si>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</si>
  <si>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</si>
  <si>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</si>
  <si>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</si>
  <si>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</si>
  <si>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</si>
  <si>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</si>
  <si>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</si>
  <si>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</si>
  <si>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</si>
  <si>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</si>
  <si>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</si>
  <si>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</si>
  <si>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</si>
  <si>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</si>
  <si>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</si>
  <si>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</si>
  <si>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</si>
  <si>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</si>
  <si>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</si>
  <si>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</si>
  <si>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</si>
  <si>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</si>
  <si>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</si>
  <si>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</si>
  <si>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</si>
  <si>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</si>
  <si>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</si>
  <si>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</si>
  <si>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</si>
  <si>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</si>
  <si>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</si>
  <si>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</si>
  <si>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</si>
  <si>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</si>
  <si>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</si>
  <si>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</si>
  <si>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</si>
  <si>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</si>
  <si>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</si>
  <si>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</si>
  <si>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</si>
  <si>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</si>
  <si>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</si>
  <si>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</si>
  <si>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</si>
  <si>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</si>
  <si>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</si>
  <si>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</si>
  <si>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</si>
  <si>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</si>
  <si>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</si>
  <si>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</si>
  <si>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</si>
  <si>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</si>
  <si>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</si>
  <si>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</si>
  <si>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</si>
  <si>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</si>
  <si>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</si>
  <si>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</si>
  <si>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</si>
  <si>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</si>
  <si>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</si>
  <si>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</si>
  <si>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</si>
  <si>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</si>
  <si>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</si>
  <si>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</si>
  <si>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</si>
  <si>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</si>
  <si>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</si>
  <si>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</si>
  <si>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</si>
  <si>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</si>
  <si>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</si>
  <si>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</si>
  <si>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</si>
  <si>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</si>
  <si>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</si>
  <si>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</si>
  <si>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</si>
  <si>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</si>
  <si>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</si>
  <si>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</si>
  <si>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</si>
  <si>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</si>
  <si>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</si>
  <si>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</si>
  <si>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</si>
  <si>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</si>
  <si>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</si>
  <si>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</si>
  <si>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</si>
  <si>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</si>
  <si>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</si>
  <si>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</si>
  <si>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</si>
  <si>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</si>
  <si>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</si>
  <si>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</si>
  <si>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</si>
  <si>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</si>
  <si>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</si>
  <si>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</si>
  <si>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</si>
  <si>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</si>
  <si>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</si>
  <si>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</si>
  <si>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</si>
  <si>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</si>
  <si>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</si>
  <si>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</si>
  <si>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</si>
  <si>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</si>
  <si>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</si>
  <si>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</si>
  <si>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</si>
  <si>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</si>
  <si>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</si>
  <si>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</si>
  <si>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</si>
  <si>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</si>
  <si>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</si>
  <si>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</si>
  <si>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</si>
  <si>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</si>
  <si>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</si>
  <si>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</si>
  <si>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</si>
  <si>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</si>
  <si>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</si>
  <si>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</si>
  <si>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</si>
  <si>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</si>
  <si>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</si>
  <si>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</si>
  <si>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</si>
  <si>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</si>
  <si>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</si>
  <si>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</si>
  <si>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</si>
  <si>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</si>
  <si>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</si>
  <si>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</si>
  <si>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</si>
  <si>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</si>
  <si>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</si>
  <si>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</si>
  <si>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</si>
  <si>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</si>
  <si>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</si>
  <si>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</si>
  <si>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</si>
  <si>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</si>
  <si>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</si>
  <si>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</si>
  <si>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</si>
  <si>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</si>
  <si>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</si>
  <si>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</si>
  <si>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</si>
  <si>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</si>
  <si>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</si>
  <si>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</si>
  <si>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</si>
  <si>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</si>
  <si>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</si>
  <si>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</si>
  <si>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</si>
  <si>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</si>
  <si>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</si>
  <si>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</si>
  <si>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</si>
  <si>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</si>
  <si>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</si>
  <si>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</si>
  <si>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</si>
  <si>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</si>
  <si>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</si>
  <si>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</si>
  <si>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</si>
  <si>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</si>
  <si>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</si>
  <si>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</si>
  <si>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</si>
  <si>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</si>
  <si>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</si>
  <si>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</si>
  <si>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</si>
  <si>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</si>
  <si>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</si>
  <si>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</si>
  <si>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</si>
  <si>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</si>
  <si>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</si>
  <si>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</si>
  <si>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</si>
  <si>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</si>
  <si>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</si>
  <si>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</si>
  <si>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</si>
  <si>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</si>
  <si>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</si>
  <si>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</si>
  <si>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</si>
  <si>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</si>
  <si>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</si>
  <si>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</si>
  <si>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</si>
  <si>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</si>
  <si>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</si>
  <si>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</si>
  <si>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</si>
  <si>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</si>
  <si>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</si>
  <si>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</si>
  <si>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</si>
  <si>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</si>
  <si>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</si>
  <si>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</si>
  <si>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</si>
  <si>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</si>
  <si>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</si>
  <si>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</si>
  <si>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</si>
  <si>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</si>
  <si>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</si>
  <si>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</si>
  <si>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</si>
  <si>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</si>
  <si>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</si>
  <si>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</si>
  <si>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</si>
  <si>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</si>
  <si>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</si>
  <si>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</si>
  <si>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</si>
  <si>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</si>
  <si>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</si>
  <si>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</si>
  <si>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</si>
  <si>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</si>
  <si>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</si>
  <si>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</si>
  <si>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</si>
  <si>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</si>
  <si>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</si>
  <si>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</si>
  <si>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</si>
  <si>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</si>
  <si>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</si>
  <si>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</si>
  <si>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</si>
  <si>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</si>
  <si>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</si>
  <si>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</si>
  <si>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</si>
  <si>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</si>
  <si>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</si>
  <si>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</si>
  <si>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</si>
  <si>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</si>
  <si>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</si>
  <si>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</si>
  <si>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</si>
  <si>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</si>
  <si>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</si>
  <si>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</si>
  <si>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</si>
  <si>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</si>
  <si>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</si>
  <si>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</si>
  <si>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</si>
  <si>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</si>
  <si>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</si>
  <si>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</si>
  <si>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</si>
  <si>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</si>
  <si>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</si>
  <si>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</si>
  <si>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</si>
  <si>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</si>
  <si>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</si>
  <si>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</si>
  <si>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</si>
  <si>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</si>
  <si>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</si>
  <si>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</si>
  <si>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</si>
  <si>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</si>
  <si>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</si>
  <si>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</si>
  <si>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</si>
  <si>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</si>
  <si>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</si>
  <si>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</si>
  <si>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</si>
  <si>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</si>
  <si>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</si>
  <si>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</si>
  <si>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</si>
  <si>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</si>
  <si>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</si>
  <si>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</si>
  <si>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</si>
  <si>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</si>
  <si>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</si>
  <si>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</si>
  <si>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</si>
  <si>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</si>
  <si>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</si>
  <si>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</si>
  <si>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</si>
  <si>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</si>
  <si>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</si>
  <si>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</si>
  <si>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</si>
  <si>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</si>
  <si>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</si>
  <si>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</si>
  <si>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</si>
  <si>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</si>
  <si>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</si>
  <si>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</si>
  <si>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</si>
  <si>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</si>
  <si>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</si>
  <si>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</si>
  <si>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</si>
  <si>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</si>
  <si>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</si>
  <si>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</si>
  <si>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</si>
  <si>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</si>
  <si>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</si>
  <si>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</si>
  <si>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</si>
  <si>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</si>
  <si>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</si>
  <si>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</si>
  <si>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</si>
  <si>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</si>
  <si>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</si>
  <si>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</si>
  <si>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</si>
  <si>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</si>
  <si>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</si>
  <si>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</si>
  <si>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</si>
  <si>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</si>
  <si>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</si>
  <si>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</si>
  <si>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</si>
  <si>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</si>
  <si>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</si>
  <si>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</si>
  <si>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</si>
  <si>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</si>
  <si>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</si>
  <si>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</si>
  <si>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</si>
  <si>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</si>
  <si>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</si>
  <si>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</si>
  <si>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</si>
  <si>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</si>
  <si>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</si>
  <si>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</si>
  <si>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</si>
  <si>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</si>
  <si>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</si>
  <si>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</si>
  <si>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</si>
  <si>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</si>
  <si>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</si>
  <si>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</si>
  <si>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</si>
  <si>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</si>
  <si>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</si>
  <si>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</si>
  <si>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</si>
  <si>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</si>
  <si>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</si>
  <si>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</si>
  <si>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</si>
  <si>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</si>
  <si>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</si>
  <si>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</si>
  <si>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</si>
  <si>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</si>
  <si>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</si>
  <si>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</si>
  <si>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</si>
  <si>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</si>
  <si>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</si>
  <si>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</si>
  <si>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</si>
  <si>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</si>
  <si>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</si>
  <si>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</si>
  <si>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</si>
  <si>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</si>
  <si>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</si>
  <si>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</si>
  <si>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</si>
  <si>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</si>
  <si>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</si>
  <si>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</si>
  <si>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</si>
  <si>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</si>
  <si>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</si>
  <si>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</si>
  <si>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</si>
  <si>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</si>
  <si>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</si>
  <si>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</si>
  <si>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</si>
  <si>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</si>
  <si>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</si>
  <si>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</si>
  <si>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</si>
  <si>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</si>
  <si>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</si>
  <si>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</si>
  <si>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</si>
  <si>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</si>
  <si>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</si>
  <si>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</si>
  <si>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</si>
  <si>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</si>
  <si>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</si>
  <si>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</si>
  <si>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</si>
  <si>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</si>
  <si>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</si>
  <si>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</si>
  <si>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</si>
  <si>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</si>
  <si>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</si>
  <si>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</si>
  <si>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</si>
  <si>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</si>
  <si>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</si>
  <si>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</si>
  <si>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</si>
  <si>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</si>
  <si>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</si>
  <si>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</si>
  <si>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</si>
  <si>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</si>
  <si>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</si>
  <si>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</si>
  <si>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</si>
  <si>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</si>
  <si>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</si>
  <si>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</si>
  <si>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</si>
  <si>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</si>
  <si>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</si>
  <si>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</si>
  <si>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</si>
  <si>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</si>
  <si>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</si>
  <si>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</si>
  <si>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</si>
  <si>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</si>
  <si>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</si>
  <si>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</si>
  <si>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</si>
  <si>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</si>
  <si>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</si>
  <si>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</si>
  <si>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</si>
  <si>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</si>
  <si>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</si>
  <si>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</si>
  <si>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</si>
  <si>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</si>
  <si>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</si>
  <si>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</si>
  <si>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</si>
  <si>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</si>
  <si>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</si>
  <si>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</si>
  <si>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</si>
  <si>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</si>
  <si>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</si>
  <si>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</si>
  <si>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</si>
  <si>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</si>
  <si>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</si>
  <si>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</si>
  <si>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</si>
  <si>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</si>
  <si>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</si>
  <si>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</si>
  <si>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</si>
  <si>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</si>
  <si>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</si>
  <si>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</si>
  <si>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</si>
  <si>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</si>
  <si>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</si>
  <si>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</si>
  <si>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</si>
  <si>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</si>
  <si>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</si>
  <si>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</si>
  <si>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</si>
  <si>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</si>
  <si>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</si>
  <si>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</si>
  <si>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</si>
  <si>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</si>
  <si>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</si>
  <si>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</si>
  <si>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</si>
  <si>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</si>
  <si>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</si>
  <si>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</si>
  <si>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</si>
  <si>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</si>
  <si>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</si>
  <si>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</si>
  <si>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</si>
  <si>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</si>
  <si>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</si>
  <si>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</si>
  <si>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</si>
  <si>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</si>
  <si>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</si>
  <si>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</si>
  <si>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</si>
  <si>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</si>
  <si>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</si>
  <si>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</si>
  <si>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</si>
  <si>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</si>
  <si>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</si>
  <si>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</si>
  <si>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</si>
  <si>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</si>
  <si>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</si>
  <si>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</si>
  <si>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</si>
  <si>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</si>
  <si>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</si>
  <si>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</si>
  <si>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</si>
  <si>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</si>
  <si>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</si>
  <si>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</si>
  <si>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</si>
  <si>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</si>
  <si>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</si>
  <si>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</si>
  <si>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</si>
  <si>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</si>
  <si>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</si>
  <si>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</si>
  <si>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</si>
  <si>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</si>
  <si>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</si>
  <si>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</si>
  <si>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</si>
  <si>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</si>
  <si>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</si>
  <si>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</si>
  <si>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</si>
  <si>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</si>
  <si>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</si>
  <si>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</si>
  <si>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</si>
  <si>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</si>
  <si>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</si>
  <si>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</si>
  <si>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</si>
  <si>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</si>
  <si>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</si>
  <si>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</si>
  <si>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</si>
  <si>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</si>
  <si>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</si>
  <si>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</si>
  <si>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</si>
  <si>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</si>
  <si>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</si>
  <si>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</si>
  <si>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</si>
  <si>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</si>
  <si>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</si>
  <si>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</si>
  <si>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</si>
  <si>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</si>
  <si>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</si>
  <si>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</si>
  <si>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</si>
  <si>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</si>
  <si>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</si>
  <si>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</si>
  <si>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</si>
  <si>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</si>
  <si>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</si>
  <si>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</si>
  <si>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</si>
  <si>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</si>
  <si>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</si>
  <si>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</si>
  <si>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</si>
  <si>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</si>
  <si>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</si>
  <si>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</si>
  <si>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</si>
  <si>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</si>
  <si>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</si>
  <si>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</si>
  <si>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</si>
  <si>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</si>
  <si>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</si>
  <si>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</si>
  <si>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</si>
  <si>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</si>
  <si>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</si>
  <si>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</si>
  <si>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</si>
  <si>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</si>
  <si>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</si>
  <si>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</si>
  <si>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</si>
  <si>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</si>
  <si>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</si>
  <si>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</si>
  <si>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</si>
  <si>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</si>
  <si>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</si>
  <si>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</si>
  <si>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</si>
  <si>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</si>
  <si>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</si>
  <si>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</si>
  <si>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</si>
  <si>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</si>
  <si>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</si>
  <si>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</si>
  <si>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</si>
  <si>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</si>
  <si>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</si>
  <si>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</si>
  <si>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</si>
  <si>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</si>
  <si>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</si>
  <si>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</si>
  <si>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</si>
  <si>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</si>
  <si>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</si>
  <si>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</si>
  <si>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</si>
  <si>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</si>
  <si>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</si>
  <si>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</si>
  <si>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</si>
  <si>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</si>
  <si>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</si>
  <si>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</si>
  <si>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</si>
  <si>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</si>
  <si>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</si>
  <si>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</si>
  <si>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</si>
  <si>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</si>
  <si>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</si>
  <si>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</si>
  <si>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</si>
  <si>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</si>
  <si>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</si>
  <si>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</si>
  <si>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</si>
  <si>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</si>
  <si>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</si>
  <si>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</si>
  <si>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</si>
  <si>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</si>
  <si>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</si>
  <si>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</si>
  <si>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</si>
  <si>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</si>
  <si>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</si>
  <si>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</si>
  <si>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</si>
  <si>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</si>
  <si>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</si>
  <si>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</si>
  <si>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</si>
  <si>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</si>
  <si>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</si>
  <si>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</si>
  <si>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</si>
  <si>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</si>
  <si>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</si>
  <si>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</si>
  <si>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</si>
  <si>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</si>
  <si>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</si>
  <si>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</si>
  <si>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</si>
  <si>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</si>
  <si>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</si>
  <si>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</si>
  <si>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</si>
  <si>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</si>
  <si>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</si>
  <si>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</si>
  <si>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</si>
  <si>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</si>
  <si>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</si>
  <si>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</si>
  <si>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</si>
  <si>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</si>
  <si>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</si>
  <si>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</si>
  <si>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</si>
  <si>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</si>
  <si>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</si>
  <si>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</si>
  <si>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</si>
  <si>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</si>
  <si>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</si>
  <si>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</si>
  <si>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</si>
  <si>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</si>
  <si>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</si>
  <si>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</si>
  <si>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</si>
  <si>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</si>
  <si>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</si>
  <si>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</si>
  <si>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</si>
  <si>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</si>
  <si>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</si>
  <si>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</si>
  <si>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</si>
  <si>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</si>
  <si>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</si>
  <si>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</si>
  <si>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</si>
  <si>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</si>
  <si>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</si>
  <si>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</si>
  <si>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</si>
  <si>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</si>
  <si>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</si>
  <si>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</si>
  <si>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</si>
  <si>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</si>
  <si>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</si>
  <si>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</si>
  <si>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</si>
  <si>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</si>
  <si>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</si>
  <si>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</si>
  <si>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</si>
  <si>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</si>
  <si>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</si>
  <si>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</si>
  <si>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</si>
  <si>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</si>
  <si>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</si>
  <si>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</si>
  <si>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</si>
  <si>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</si>
  <si>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</si>
  <si>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</si>
  <si>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</si>
  <si>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</si>
  <si>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</si>
  <si>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</si>
  <si>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</si>
  <si>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</si>
  <si>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</si>
  <si>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</si>
  <si>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</si>
  <si>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</si>
  <si>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</si>
  <si>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</si>
  <si>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</si>
  <si>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</si>
  <si>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</si>
  <si>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</si>
  <si>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</si>
  <si>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</si>
  <si>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</si>
  <si>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</si>
  <si>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</si>
  <si>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</si>
  <si>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</si>
  <si>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</si>
  <si>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</si>
  <si>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</si>
  <si>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</si>
  <si>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</si>
  <si>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</si>
  <si>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</si>
  <si>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</si>
  <si>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</si>
  <si>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</si>
  <si>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</si>
  <si>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</si>
  <si>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</si>
  <si>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</si>
  <si>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</si>
  <si>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</si>
  <si>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</si>
  <si>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</si>
  <si>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</si>
  <si>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</si>
  <si>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</si>
  <si>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</si>
  <si>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</si>
  <si>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</si>
  <si>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</si>
  <si>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</si>
  <si>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</si>
  <si>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</si>
  <si>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</si>
  <si>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</si>
  <si>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</si>
  <si>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</si>
  <si>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</si>
  <si>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</si>
  <si>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</si>
  <si>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</si>
  <si>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</si>
  <si>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</si>
  <si>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</si>
  <si>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</si>
  <si>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</si>
  <si>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</si>
  <si>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</si>
  <si>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</si>
  <si>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</si>
  <si>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</si>
  <si>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</si>
  <si>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</si>
  <si>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</si>
  <si>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</si>
  <si>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</si>
  <si>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</si>
  <si>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</si>
  <si>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</si>
  <si>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</si>
  <si>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</si>
  <si>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</si>
  <si>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</si>
  <si>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</si>
  <si>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</si>
  <si>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</si>
  <si>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</si>
  <si>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</si>
  <si>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</si>
  <si>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</si>
  <si>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</si>
  <si>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</si>
  <si>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</si>
  <si>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</si>
  <si>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</si>
  <si>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</si>
  <si>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</si>
  <si>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</si>
  <si>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</si>
  <si>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</si>
  <si>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</si>
  <si>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</si>
  <si>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</si>
  <si>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</si>
  <si>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</si>
  <si>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</si>
  <si>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</si>
  <si>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</si>
  <si>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</si>
  <si>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</si>
  <si>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</si>
  <si>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</si>
  <si>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</si>
  <si>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</si>
  <si>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</si>
  <si>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</si>
  <si>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</si>
  <si>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</si>
  <si>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</si>
  <si>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</si>
  <si>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</si>
  <si>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</si>
  <si>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</si>
  <si>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</si>
  <si>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</si>
  <si>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</si>
  <si>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</si>
  <si>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</si>
  <si>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</si>
  <si>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</si>
  <si>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</si>
  <si>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</si>
  <si>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</si>
  <si>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</si>
  <si>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</si>
  <si>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</si>
  <si>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</si>
  <si>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</si>
  <si>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</si>
  <si>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</si>
  <si>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</si>
  <si>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</si>
  <si>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</si>
  <si>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</si>
  <si>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</si>
  <si>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</si>
  <si>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</si>
  <si>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</si>
  <si>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</si>
  <si>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</si>
  <si>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</si>
  <si>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</si>
  <si>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</si>
  <si>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</si>
  <si>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</si>
  <si>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</si>
  <si>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</si>
  <si>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</si>
  <si>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</si>
  <si>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</si>
  <si>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</si>
  <si>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</si>
  <si>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</si>
  <si>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</si>
  <si>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</si>
  <si>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</si>
  <si>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</si>
  <si>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</si>
  <si>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</si>
  <si>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</si>
  <si>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</si>
  <si>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</si>
  <si>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</si>
  <si>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</si>
  <si>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</si>
  <si>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</si>
  <si>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</si>
  <si>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</si>
  <si>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</si>
  <si>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</si>
  <si>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</si>
  <si>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</si>
  <si>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</si>
  <si>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</si>
  <si>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</si>
  <si>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</si>
  <si>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</si>
  <si>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</si>
  <si>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</si>
  <si>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</si>
  <si>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</si>
  <si>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</si>
  <si>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</si>
  <si>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</si>
  <si>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</si>
  <si>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</si>
  <si>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</si>
  <si>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</si>
  <si>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</si>
  <si>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</si>
  <si>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</si>
  <si>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</si>
  <si>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</si>
  <si>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</si>
  <si>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</si>
  <si>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</si>
  <si>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</si>
  <si>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</si>
  <si>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</si>
  <si>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</si>
  <si>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</si>
  <si>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</si>
  <si>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</si>
  <si>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</si>
  <si>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</si>
  <si>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</si>
  <si>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</si>
  <si>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</si>
  <si>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</si>
  <si>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</si>
  <si>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</si>
  <si>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</si>
  <si>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</si>
  <si>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</si>
  <si>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</si>
  <si>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</si>
  <si>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</si>
  <si>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</si>
  <si>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</si>
  <si>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</si>
  <si>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</si>
  <si>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</si>
  <si>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</si>
  <si>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</si>
  <si>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</si>
  <si>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</si>
  <si>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</si>
  <si>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</si>
  <si>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</si>
  <si>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</si>
  <si>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</si>
  <si>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</si>
  <si>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</si>
  <si>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</si>
  <si>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</si>
  <si>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</si>
  <si>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</si>
  <si>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</si>
  <si>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</si>
  <si>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</si>
  <si>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</si>
  <si>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</si>
  <si>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</si>
  <si>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</si>
  <si>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</si>
  <si>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</si>
  <si>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</si>
  <si>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</si>
  <si>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</si>
  <si>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</si>
  <si>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</si>
  <si>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</si>
  <si>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</si>
  <si>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</si>
  <si>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</si>
  <si>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</si>
  <si>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</si>
  <si>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</si>
  <si>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</si>
  <si>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</si>
  <si>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</si>
  <si>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</si>
  <si>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</si>
  <si>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</si>
  <si>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</si>
  <si>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</si>
  <si>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</si>
  <si>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</si>
  <si>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</si>
  <si>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</si>
  <si>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</si>
  <si>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</si>
  <si>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</si>
  <si>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</si>
  <si>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</si>
  <si>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</si>
  <si>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</si>
  <si>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</si>
  <si>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</si>
  <si>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</si>
  <si>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</si>
  <si>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</si>
  <si>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</si>
  <si>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</si>
  <si>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</si>
  <si>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</si>
  <si>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</si>
  <si>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</si>
  <si>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</si>
  <si>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</si>
  <si>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</si>
  <si>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</si>
  <si>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</si>
  <si>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</si>
  <si>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</si>
  <si>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</si>
  <si>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</si>
  <si>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</si>
  <si>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</si>
  <si>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</si>
  <si>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</si>
  <si>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</si>
  <si>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</si>
  <si>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</si>
  <si>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</si>
  <si>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</si>
  <si>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</si>
  <si>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</si>
  <si>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</si>
  <si>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</si>
  <si>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</si>
  <si>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</si>
  <si>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</si>
  <si>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</si>
  <si>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</si>
  <si>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</si>
  <si>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</si>
  <si>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</si>
  <si>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</si>
  <si>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</si>
  <si>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</si>
  <si>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</si>
  <si>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</si>
  <si>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</si>
  <si>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</si>
  <si>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</si>
  <si>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</si>
  <si>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</si>
  <si>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</si>
  <si>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</si>
  <si>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</si>
  <si>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</si>
  <si>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</si>
  <si>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</si>
  <si>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</si>
  <si>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</si>
  <si>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</si>
  <si>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</si>
  <si>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</si>
  <si>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</si>
  <si>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</si>
  <si>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</si>
  <si>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</si>
  <si>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</si>
  <si>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</si>
  <si>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</si>
  <si>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</si>
  <si>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</si>
  <si>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</si>
  <si>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</si>
  <si>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</si>
  <si>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</si>
  <si>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</si>
  <si>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</si>
  <si>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</si>
  <si>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</si>
  <si>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</si>
  <si>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</si>
  <si>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</si>
  <si>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</si>
  <si>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</si>
  <si>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</si>
  <si>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</si>
  <si>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</si>
  <si>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</si>
  <si>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</si>
  <si>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</si>
  <si>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</si>
  <si>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</si>
  <si>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</si>
  <si>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</si>
  <si>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</si>
  <si>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</si>
  <si>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</si>
  <si>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</si>
  <si>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</si>
  <si>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</si>
  <si>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</si>
  <si>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</si>
  <si>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</si>
  <si>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</si>
  <si>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</si>
  <si>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</si>
  <si>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</si>
  <si>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</si>
  <si>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</si>
  <si>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</si>
  <si>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</si>
  <si>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</si>
  <si>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</si>
  <si>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</si>
  <si>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</si>
  <si>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</si>
  <si>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</si>
  <si>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</si>
  <si>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</si>
  <si>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</si>
  <si>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</si>
  <si>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</si>
  <si>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</si>
  <si>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</si>
  <si>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</si>
  <si>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</si>
  <si>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</si>
  <si>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</si>
  <si>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</si>
  <si>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</si>
  <si>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</si>
  <si>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</si>
  <si>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</si>
  <si>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</si>
  <si>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</si>
  <si>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</si>
  <si>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</si>
  <si>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</si>
  <si>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</si>
  <si>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</si>
  <si>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</si>
  <si>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</si>
  <si>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</si>
  <si>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</si>
  <si>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</si>
  <si>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</si>
  <si>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</si>
  <si>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</si>
  <si>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</si>
  <si>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</si>
  <si>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</si>
  <si>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</si>
  <si>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</si>
  <si>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</si>
  <si>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</si>
  <si>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</si>
  <si>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</si>
  <si>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</si>
  <si>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</si>
  <si>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</si>
  <si>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</si>
  <si>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</si>
  <si>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</si>
  <si>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</si>
  <si>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</si>
  <si>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</si>
  <si>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</si>
  <si>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</si>
  <si>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</si>
  <si>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</si>
  <si>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</si>
  <si>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</si>
  <si>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</si>
  <si>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</si>
  <si>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</si>
  <si>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</si>
  <si>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序号</t>
    <phoneticPr fontId="233" type="noConversion"/>
  </si>
  <si>
    <t>出让合同</t>
    <phoneticPr fontId="233" type="noConversion"/>
  </si>
  <si>
    <t>土地使用权人</t>
    <phoneticPr fontId="233" type="noConversion"/>
  </si>
  <si>
    <t>土地证号</t>
    <phoneticPr fontId="233" type="noConversion"/>
  </si>
  <si>
    <t>坐落</t>
    <phoneticPr fontId="233" type="noConversion"/>
  </si>
  <si>
    <t>地号</t>
    <phoneticPr fontId="233" type="noConversion"/>
  </si>
  <si>
    <t>地类用途</t>
    <phoneticPr fontId="233" type="noConversion"/>
  </si>
  <si>
    <t>使用权面积</t>
    <phoneticPr fontId="233" type="noConversion"/>
  </si>
  <si>
    <t>终止日期</t>
    <phoneticPr fontId="233" type="noConversion"/>
  </si>
  <si>
    <t>容积率</t>
    <phoneticPr fontId="233" type="noConversion"/>
  </si>
  <si>
    <t>建筑密度</t>
    <phoneticPr fontId="233" type="noConversion"/>
  </si>
  <si>
    <t>楼层</t>
    <phoneticPr fontId="233" type="noConversion"/>
  </si>
  <si>
    <t>住宅占比</t>
    <phoneticPr fontId="233" type="noConversion"/>
  </si>
  <si>
    <t>四川德胜集团文化旅游投资发展有限公司</t>
    <phoneticPr fontId="233" type="noConversion"/>
  </si>
  <si>
    <t>N-22</t>
    <phoneticPr fontId="233" type="noConversion"/>
  </si>
  <si>
    <t>商住</t>
    <phoneticPr fontId="233" type="noConversion"/>
  </si>
  <si>
    <t>商业2054/5/23、住宅2084/5/23</t>
    <phoneticPr fontId="233" type="noConversion"/>
  </si>
  <si>
    <t>峨眉山市川主乡顺河村3、6、7组</t>
    <phoneticPr fontId="233" type="noConversion"/>
  </si>
  <si>
    <t>N-23</t>
    <phoneticPr fontId="233" type="noConversion"/>
  </si>
  <si>
    <t>电子监管号：5111812014B00039</t>
    <phoneticPr fontId="233" type="noConversion"/>
  </si>
  <si>
    <t>峨眉国用（2014）第73371号</t>
    <phoneticPr fontId="233" type="noConversion"/>
  </si>
  <si>
    <t>峨眉山市川主乡顺河村4、6组</t>
    <phoneticPr fontId="233" type="noConversion"/>
  </si>
  <si>
    <t>N-24</t>
    <phoneticPr fontId="233" type="noConversion"/>
  </si>
  <si>
    <t>电子监管号：5111812014B00047</t>
    <phoneticPr fontId="233" type="noConversion"/>
  </si>
  <si>
    <t>峨眉国用（2014）第73363号</t>
    <phoneticPr fontId="233" type="noConversion"/>
  </si>
  <si>
    <t>峨眉山市川主乡顺河村四、六组</t>
    <phoneticPr fontId="233" type="noConversion"/>
  </si>
  <si>
    <t>N-25</t>
    <phoneticPr fontId="233" type="noConversion"/>
  </si>
  <si>
    <t>电子监管号：5111812014B00057</t>
    <phoneticPr fontId="233" type="noConversion"/>
  </si>
  <si>
    <t>峨眉国用（2014）第73365号</t>
    <phoneticPr fontId="233" type="noConversion"/>
  </si>
  <si>
    <t>峨眉山市川主乡顺河村四组</t>
    <phoneticPr fontId="233" type="noConversion"/>
  </si>
  <si>
    <t>N-26</t>
    <phoneticPr fontId="233" type="noConversion"/>
  </si>
  <si>
    <t>峨眉山市川主乡顺河村2、3、4、组</t>
    <phoneticPr fontId="233" type="noConversion"/>
  </si>
  <si>
    <t>电子监管号：5111812014B00075</t>
    <phoneticPr fontId="233" type="noConversion"/>
  </si>
  <si>
    <t>峨眉国用（2014）第73367号</t>
    <phoneticPr fontId="233" type="noConversion"/>
  </si>
  <si>
    <t>N-28</t>
    <phoneticPr fontId="233" type="noConversion"/>
  </si>
  <si>
    <t>电子监管号：5111812014B00085</t>
    <phoneticPr fontId="233" type="noConversion"/>
  </si>
  <si>
    <t>峨眉国用（2014）第73366号</t>
    <phoneticPr fontId="233" type="noConversion"/>
  </si>
  <si>
    <t>峨眉山市川主乡顺河村3、4、5、6组、黄湾乡张坝村6组</t>
    <phoneticPr fontId="233" type="noConversion"/>
  </si>
  <si>
    <t>N-29</t>
    <phoneticPr fontId="233" type="noConversion"/>
  </si>
  <si>
    <t>电子监管号：5111812014B00115</t>
    <phoneticPr fontId="233" type="noConversion"/>
  </si>
  <si>
    <t>峨眉国用（2014）第72326号</t>
    <phoneticPr fontId="233" type="noConversion"/>
  </si>
  <si>
    <t>峨眉山市川主乡高河村1、5组、赵河村8组</t>
    <phoneticPr fontId="233" type="noConversion"/>
  </si>
  <si>
    <t>N-32</t>
    <phoneticPr fontId="233" type="noConversion"/>
  </si>
  <si>
    <t>住宅用地（城镇住宅用地）、商服用地（餐饮住宿用地）</t>
    <phoneticPr fontId="233" type="noConversion"/>
  </si>
  <si>
    <t>商业2054/5/24、住宅2084/5/24</t>
    <phoneticPr fontId="233" type="noConversion"/>
  </si>
  <si>
    <t>电子监管号：5111812014B00125</t>
    <phoneticPr fontId="233" type="noConversion"/>
  </si>
  <si>
    <t>四川德胜集团文化旅游投资发展有限公司</t>
    <phoneticPr fontId="233" type="noConversion"/>
  </si>
  <si>
    <t>峨眉国用（2014）第73370号</t>
    <phoneticPr fontId="233" type="noConversion"/>
  </si>
  <si>
    <t>峨眉山市川主乡顺河村2组</t>
    <phoneticPr fontId="233" type="noConversion"/>
  </si>
  <si>
    <t>N-33</t>
    <phoneticPr fontId="233" type="noConversion"/>
  </si>
  <si>
    <t>商住</t>
    <phoneticPr fontId="233" type="noConversion"/>
  </si>
  <si>
    <t>商业2054/5/23、住宅2084/5/23</t>
    <phoneticPr fontId="233" type="noConversion"/>
  </si>
  <si>
    <t>电子监管号：5111812014B00139</t>
    <phoneticPr fontId="233" type="noConversion"/>
  </si>
  <si>
    <t>四川德胜集团文化旅游投资发展有限公司</t>
    <phoneticPr fontId="233" type="noConversion"/>
  </si>
  <si>
    <t>峨眉国用（2014）第73372号</t>
    <phoneticPr fontId="233" type="noConversion"/>
  </si>
  <si>
    <t>峨眉山市川主乡顺河村2、5组、高河村5组</t>
    <phoneticPr fontId="233" type="noConversion"/>
  </si>
  <si>
    <t>N-34</t>
    <phoneticPr fontId="233" type="noConversion"/>
  </si>
  <si>
    <t>商住</t>
    <phoneticPr fontId="233" type="noConversion"/>
  </si>
  <si>
    <t>商业2054/5/23、住宅2084/5/23</t>
    <phoneticPr fontId="233" type="noConversion"/>
  </si>
  <si>
    <t>电子监管号：5111812014B00145</t>
    <phoneticPr fontId="233" type="noConversion"/>
  </si>
  <si>
    <t>峨眉国用（2014）第73364号</t>
    <phoneticPr fontId="233" type="noConversion"/>
  </si>
  <si>
    <t>峨眉山市川主乡顺河村二、五组</t>
    <phoneticPr fontId="233" type="noConversion"/>
  </si>
  <si>
    <t>N-35</t>
    <phoneticPr fontId="233" type="noConversion"/>
  </si>
  <si>
    <t>峨眉山市川主乡顺河村二组</t>
    <phoneticPr fontId="233" type="noConversion"/>
  </si>
  <si>
    <t>电子监管号：5111812016B01324</t>
    <phoneticPr fontId="233" type="noConversion"/>
  </si>
  <si>
    <t>峨眉国用（2016）第86594号</t>
    <phoneticPr fontId="233" type="noConversion"/>
  </si>
  <si>
    <t>N-37</t>
  </si>
  <si>
    <t>住宅（城镇住宅用地）、商服（批发零售用地）</t>
    <phoneticPr fontId="233" type="noConversion"/>
  </si>
  <si>
    <t>商服2056/6/22、住宅2086/6/22</t>
    <phoneticPr fontId="233" type="noConversion"/>
  </si>
  <si>
    <t>≥95%</t>
    <phoneticPr fontId="233" type="noConversion"/>
  </si>
  <si>
    <t>电子监管号：5111812016B01206</t>
    <phoneticPr fontId="233" type="noConversion"/>
  </si>
  <si>
    <t>峨眉国用（2016）第86598号</t>
    <phoneticPr fontId="233" type="noConversion"/>
  </si>
  <si>
    <t>峨眉山市川主乡高河村五组</t>
    <phoneticPr fontId="233" type="noConversion"/>
  </si>
  <si>
    <t>N-39</t>
  </si>
  <si>
    <t>≥51%</t>
    <phoneticPr fontId="233" type="noConversion"/>
  </si>
  <si>
    <t>电子监管号：5111812016B01300</t>
    <phoneticPr fontId="233" type="noConversion"/>
  </si>
  <si>
    <t>峨眉国用（2016）第86596号</t>
    <phoneticPr fontId="233" type="noConversion"/>
  </si>
  <si>
    <t>N-40</t>
  </si>
  <si>
    <t>电子监管号：5111812016B01068</t>
    <phoneticPr fontId="233" type="noConversion"/>
  </si>
  <si>
    <t>峨眉国用（2016）第86599号</t>
    <phoneticPr fontId="233" type="noConversion"/>
  </si>
  <si>
    <t>峨眉山市川主乡高河村五组；顺河村二组</t>
    <phoneticPr fontId="233" type="noConversion"/>
  </si>
  <si>
    <t>N-41</t>
  </si>
  <si>
    <t>峨眉山市川主乡顺河村三、六组</t>
    <phoneticPr fontId="233" type="noConversion"/>
  </si>
  <si>
    <t>N-42</t>
  </si>
  <si>
    <t>电子监管号：5111812016B01298</t>
    <phoneticPr fontId="233" type="noConversion"/>
  </si>
  <si>
    <t>峨眉国用（2016）第86589号</t>
    <phoneticPr fontId="233" type="noConversion"/>
  </si>
  <si>
    <t>N-43</t>
  </si>
  <si>
    <t>电子监管号：5111812016B01160</t>
    <phoneticPr fontId="233" type="noConversion"/>
  </si>
  <si>
    <t>峨眉国用（2016）第86587号</t>
    <phoneticPr fontId="233" type="noConversion"/>
  </si>
  <si>
    <t>峨眉山市川主乡高河村5组</t>
    <phoneticPr fontId="233" type="noConversion"/>
  </si>
  <si>
    <t>N-44</t>
  </si>
  <si>
    <t>电子监管号：5111812016B01264</t>
    <phoneticPr fontId="233" type="noConversion"/>
  </si>
  <si>
    <t>峨眉国用（2016）第86588号</t>
    <phoneticPr fontId="233" type="noConversion"/>
  </si>
  <si>
    <t>峨眉山市川主乡顺河村四组</t>
    <phoneticPr fontId="233" type="noConversion"/>
  </si>
  <si>
    <t>N-45</t>
  </si>
  <si>
    <t>住宅（城镇住宅用地）、商服（住宿餐饮用地）</t>
    <phoneticPr fontId="233" type="noConversion"/>
  </si>
  <si>
    <t>电子监管号：5111812016B01150</t>
    <phoneticPr fontId="233" type="noConversion"/>
  </si>
  <si>
    <t>峨眉国用（2016）第86593号</t>
    <phoneticPr fontId="233" type="noConversion"/>
  </si>
  <si>
    <t>峨眉山市黄湾乡张坝村6组、川主乡顺河村四组</t>
    <phoneticPr fontId="233" type="noConversion"/>
  </si>
  <si>
    <t>N-46</t>
  </si>
  <si>
    <t>四川峨眉山宏远实业有限公司</t>
    <phoneticPr fontId="233" type="noConversion"/>
  </si>
  <si>
    <t>峨眉国用（2012）第57823号</t>
    <phoneticPr fontId="233" type="noConversion"/>
  </si>
  <si>
    <t>峨眉山市峨山镇保宁村</t>
    <phoneticPr fontId="233" type="noConversion"/>
  </si>
  <si>
    <t>L-153-2</t>
    <phoneticPr fontId="233" type="noConversion"/>
  </si>
  <si>
    <t>绿化（兼容商住、旅游服务用地）</t>
    <phoneticPr fontId="233" type="noConversion"/>
  </si>
  <si>
    <t>商服2050-1-15、住宅2080-1-15</t>
    <phoneticPr fontId="233" type="noConversion"/>
  </si>
  <si>
    <t>峨眉国用（2012）第57824号</t>
    <phoneticPr fontId="233" type="noConversion"/>
  </si>
  <si>
    <t>L-153-1</t>
    <phoneticPr fontId="233" type="noConversion"/>
  </si>
  <si>
    <t>商住（兼容旅游服务用地）</t>
    <phoneticPr fontId="233" type="noConversion"/>
  </si>
  <si>
    <t>含住宅用途汇总</t>
    <phoneticPr fontId="233" type="noConversion"/>
  </si>
  <si>
    <t>估价对象</t>
    <phoneticPr fontId="233" type="noConversion"/>
  </si>
  <si>
    <t>小计</t>
    <phoneticPr fontId="233" type="noConversion"/>
  </si>
  <si>
    <t>住宅规划建筑面积</t>
    <phoneticPr fontId="233" type="noConversion"/>
  </si>
  <si>
    <t>商业规划建筑面积</t>
    <phoneticPr fontId="233" type="noConversion"/>
  </si>
  <si>
    <t>总规划建筑面积</t>
    <phoneticPr fontId="233" type="noConversion"/>
  </si>
  <si>
    <t>合计</t>
    <phoneticPr fontId="233" type="noConversion"/>
  </si>
  <si>
    <t>王鹏</t>
  </si>
  <si>
    <t>郑燚</t>
  </si>
  <si>
    <t>四川德胜集团文化旅游投资发展有限公司</t>
    <phoneticPr fontId="233" type="noConversion"/>
  </si>
  <si>
    <t>大业信托</t>
    <phoneticPr fontId="6" type="noConversion"/>
  </si>
  <si>
    <t>抵押</t>
  </si>
  <si>
    <t>抵押价格</t>
  </si>
  <si>
    <t>其他：</t>
  </si>
  <si>
    <t>四川省峨眉山市</t>
    <phoneticPr fontId="6" type="noConversion"/>
  </si>
  <si>
    <t>峨眉山市川主乡顺河村2、3、6、7组</t>
    <phoneticPr fontId="233" type="noConversion"/>
  </si>
  <si>
    <t>企业</t>
  </si>
  <si>
    <t>商住</t>
    <phoneticPr fontId="6" type="noConversion"/>
  </si>
  <si>
    <t>住宅、商业</t>
  </si>
  <si>
    <t>住宅、商业</t>
    <phoneticPr fontId="6" type="noConversion"/>
  </si>
  <si>
    <t>峨眉国用（2014）第73369号</t>
    <phoneticPr fontId="233" type="noConversion"/>
  </si>
  <si>
    <t>峨眉国用（2014）第73373号</t>
    <phoneticPr fontId="233" type="noConversion"/>
  </si>
  <si>
    <t>峨眉国用（2016）第86590号</t>
    <phoneticPr fontId="233" type="noConversion"/>
  </si>
  <si>
    <t>《国有土地使用证》[峨眉国用（2014）第73369、73373、86590号]</t>
  </si>
  <si>
    <t>电子监管号：5111812014B00011</t>
    <phoneticPr fontId="233" type="noConversion"/>
  </si>
  <si>
    <t>电子监管号：5111812014B00023</t>
    <phoneticPr fontId="233" type="noConversion"/>
  </si>
  <si>
    <t>电子监管号：5111812016B01094</t>
    <phoneticPr fontId="233" type="noConversion"/>
  </si>
  <si>
    <t>一致</t>
  </si>
  <si>
    <t>符合</t>
  </si>
  <si>
    <t>出让</t>
  </si>
  <si>
    <t>商业</t>
  </si>
  <si>
    <t>住宅66.4年，商业36.4年</t>
    <phoneticPr fontId="6" type="noConversion"/>
  </si>
  <si>
    <t>否</t>
  </si>
  <si>
    <t>居住项目</t>
  </si>
  <si>
    <t>旅游地产</t>
  </si>
  <si>
    <t>场地未平整</t>
  </si>
  <si>
    <t>平整</t>
  </si>
  <si>
    <t>宗地内有需要移除的树木</t>
    <phoneticPr fontId="6" type="noConversion"/>
  </si>
  <si>
    <t>估价结果未扣除树木移除的费用</t>
    <phoneticPr fontId="6" type="noConversion"/>
  </si>
  <si>
    <t>通路</t>
  </si>
  <si>
    <t>通电</t>
  </si>
  <si>
    <t>通讯</t>
  </si>
  <si>
    <t>通上水</t>
  </si>
  <si>
    <t>通下水</t>
  </si>
  <si>
    <t>地上</t>
  </si>
  <si>
    <t>底商</t>
  </si>
  <si>
    <t>商业</t>
    <phoneticPr fontId="7" type="noConversion"/>
  </si>
  <si>
    <t>普通住宅</t>
  </si>
  <si>
    <t>洋房</t>
  </si>
  <si>
    <t>联排</t>
  </si>
  <si>
    <t>独栋</t>
  </si>
  <si>
    <t>洋房</t>
    <phoneticPr fontId="7" type="noConversion"/>
  </si>
  <si>
    <t>小高层</t>
    <phoneticPr fontId="7" type="noConversion"/>
  </si>
  <si>
    <t>联排</t>
    <phoneticPr fontId="7" type="noConversion"/>
  </si>
  <si>
    <t>独栋</t>
    <phoneticPr fontId="7" type="noConversion"/>
  </si>
  <si>
    <t>不动产收益法</t>
  </si>
  <si>
    <t>请录依据文件名称：峨府定〔2009〕57号</t>
    <phoneticPr fontId="3" type="noConversion"/>
  </si>
  <si>
    <t>住宅、商业</t>
    <phoneticPr fontId="26" type="noConversion"/>
  </si>
  <si>
    <t>2017-拍-16号</t>
    <phoneticPr fontId="3" type="noConversion"/>
  </si>
  <si>
    <t>峨眉山市龙池镇杨柳村1组</t>
    <phoneticPr fontId="3" type="noConversion"/>
  </si>
  <si>
    <t>正常</t>
  </si>
  <si>
    <t>其他普通商品住房用地</t>
  </si>
  <si>
    <t>其他普通商品住房用地</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</si>
  <si>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</si>
  <si>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一般</t>
  </si>
  <si>
    <t>较差</t>
  </si>
  <si>
    <t>较好</t>
  </si>
  <si>
    <t>好</t>
  </si>
  <si>
    <t>五通</t>
  </si>
  <si>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</si>
  <si>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</si>
  <si>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</si>
  <si>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</si>
  <si>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</si>
  <si>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</si>
  <si>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村内道路</t>
  </si>
  <si>
    <t>村内道路</t>
    <phoneticPr fontId="26" type="noConversion"/>
  </si>
  <si>
    <t>规则</t>
    <phoneticPr fontId="26" type="noConversion"/>
  </si>
  <si>
    <t>较规则</t>
  </si>
  <si>
    <t>较规则</t>
    <phoneticPr fontId="26" type="noConversion"/>
  </si>
  <si>
    <t>不规则</t>
  </si>
  <si>
    <t>不规则</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</si>
  <si>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</si>
  <si>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</si>
  <si>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</si>
  <si>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</si>
  <si>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</si>
  <si>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</si>
  <si>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</si>
  <si>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</si>
  <si>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</si>
  <si>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</si>
  <si>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</si>
  <si>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</si>
  <si>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单位面积地价</t>
  </si>
  <si>
    <t>2017-拍-47号</t>
    <phoneticPr fontId="3" type="noConversion"/>
  </si>
  <si>
    <t>峨眉山市胜利镇红星村</t>
    <phoneticPr fontId="3" type="noConversion"/>
  </si>
  <si>
    <t>2017-拍-46号</t>
    <phoneticPr fontId="3" type="noConversion"/>
  </si>
  <si>
    <t>峨眉山市胜利镇红星村6组</t>
    <phoneticPr fontId="3" type="noConversion"/>
  </si>
  <si>
    <t>土地</t>
  </si>
  <si>
    <t>比较法-住宅、综合</t>
  </si>
  <si>
    <t>售价</t>
  </si>
  <si>
    <t>住宅</t>
    <phoneticPr fontId="21" type="noConversion"/>
  </si>
  <si>
    <t>60-70（含）</t>
  </si>
  <si>
    <t>主干道</t>
    <phoneticPr fontId="21" type="noConversion"/>
  </si>
  <si>
    <t>独栋别墅</t>
    <phoneticPr fontId="21" type="noConversion"/>
  </si>
  <si>
    <t>联排别墅</t>
    <phoneticPr fontId="21" type="noConversion"/>
  </si>
  <si>
    <t>叠拼别墅</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</si>
  <si>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</si>
  <si>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</si>
  <si>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</si>
  <si>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</si>
  <si>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</si>
  <si>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</si>
  <si>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</si>
  <si>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</si>
  <si>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</si>
  <si>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</si>
  <si>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</si>
  <si>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</si>
  <si>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</si>
  <si>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</si>
  <si>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</si>
  <si>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</si>
  <si>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</si>
  <si>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</si>
  <si>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</si>
  <si>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</si>
  <si>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</si>
  <si>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押一</t>
  </si>
  <si>
    <t>土地（套用方法）</t>
  </si>
  <si>
    <t>剩余法-待开发</t>
  </si>
  <si>
    <t>项目局部</t>
  </si>
  <si>
    <t>商业建筑面积配比</t>
    <phoneticPr fontId="26" type="noConversion"/>
  </si>
  <si>
    <t>0-10%</t>
    <phoneticPr fontId="26" type="noConversion"/>
  </si>
  <si>
    <t>10%-30%</t>
    <phoneticPr fontId="26" type="noConversion"/>
  </si>
  <si>
    <t>30%-50%</t>
    <phoneticPr fontId="26" type="noConversion"/>
  </si>
  <si>
    <t>50%-80%</t>
    <phoneticPr fontId="26" type="noConversion"/>
  </si>
  <si>
    <t>80%-100%</t>
    <phoneticPr fontId="26" type="noConversion"/>
  </si>
  <si>
    <t>0-10%</t>
    <phoneticPr fontId="26" type="noConversion"/>
  </si>
  <si>
    <t>洋房</t>
    <phoneticPr fontId="21" type="noConversion"/>
  </si>
  <si>
    <t>小高层住宅</t>
    <phoneticPr fontId="21" type="noConversion"/>
  </si>
  <si>
    <t>高层住宅</t>
    <phoneticPr fontId="21" type="noConversion"/>
  </si>
  <si>
    <t>峨眉山与湖</t>
    <phoneticPr fontId="3" type="noConversion"/>
  </si>
  <si>
    <t>峨眉山市峨眉山风景区（报国寺旁）</t>
    <phoneticPr fontId="3" type="noConversion"/>
  </si>
  <si>
    <t>峨眉山市名山南路天下名山牌坊对面</t>
    <phoneticPr fontId="3" type="noConversion"/>
  </si>
  <si>
    <t>山水峨眉</t>
    <phoneticPr fontId="3" type="noConversion"/>
  </si>
  <si>
    <t>次干道</t>
    <phoneticPr fontId="21" type="noConversion"/>
  </si>
  <si>
    <t>洋房</t>
    <phoneticPr fontId="233" type="noConversion"/>
  </si>
  <si>
    <t>小高层</t>
    <phoneticPr fontId="233" type="noConversion"/>
  </si>
  <si>
    <t>叠拼别墅</t>
    <phoneticPr fontId="233" type="noConversion"/>
  </si>
  <si>
    <t>独栋别墅</t>
    <phoneticPr fontId="233" type="noConversion"/>
  </si>
  <si>
    <t>联排别墅</t>
    <phoneticPr fontId="233" type="noConversion"/>
  </si>
  <si>
    <t>叠拼</t>
  </si>
  <si>
    <t>叠拼</t>
    <phoneticPr fontId="7" type="noConversion"/>
  </si>
  <si>
    <t>叠拼别墅</t>
  </si>
  <si>
    <t>联排别墅</t>
  </si>
  <si>
    <t>独栋别墅</t>
  </si>
  <si>
    <t>国安公馆</t>
    <phoneticPr fontId="3" type="noConversion"/>
  </si>
  <si>
    <t>峨眉山市光明大道16号(圣象广场旁)</t>
    <phoneticPr fontId="3" type="noConversion"/>
  </si>
  <si>
    <t>0-10%</t>
    <phoneticPr fontId="26" type="noConversion"/>
  </si>
  <si>
    <t>四川峨眉山宏远实业有限公司</t>
    <phoneticPr fontId="233" type="noConversion"/>
  </si>
  <si>
    <t>四川峨眉山宏远实业有限公司</t>
    <phoneticPr fontId="6" type="noConversion"/>
  </si>
  <si>
    <t>峨山镇保宁村2宗住宅、商业</t>
    <phoneticPr fontId="6" type="noConversion"/>
  </si>
  <si>
    <t>《国有土地使用证》[峨眉国用（2012）第57823、57824号]</t>
    <phoneticPr fontId="6" type="noConversion"/>
  </si>
  <si>
    <t>《国有建设用地使用权出让合同》[电子监管号：]及附件</t>
    <phoneticPr fontId="6" type="noConversion"/>
  </si>
  <si>
    <t>《国有建设用地使用权出让合同》[电子监管号：]及附件</t>
    <phoneticPr fontId="6"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</si>
</sst>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
      <patternFill patternType="solid">
        <fgColor theme="5"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4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0" fillId="8" borderId="0" xfId="0" applyFill="1" applyAlignment="1"/>
    <xf numFmtId="0" fontId="0" fillId="8" borderId="0" xfId="0" applyFill="1" applyBorder="1" applyAlignment="1"/>
    <xf numFmtId="0" fontId="0" fillId="8" borderId="0" xfId="0" applyFill="1" applyAlignment="1">
      <alignment horizontal="center"/>
    </xf>
    <xf numFmtId="14" fontId="0" fillId="8" borderId="0" xfId="0" applyNumberFormat="1" applyFill="1" applyAlignment="1"/>
    <xf numFmtId="0" fontId="0" fillId="6" borderId="0" xfId="0" applyFill="1" applyAlignment="1"/>
    <xf numFmtId="0" fontId="0" fillId="6" borderId="0" xfId="0" applyFill="1" applyBorder="1" applyAlignment="1"/>
    <xf numFmtId="0" fontId="0" fillId="6" borderId="0" xfId="0" applyFill="1" applyAlignment="1">
      <alignment horizontal="center"/>
    </xf>
    <xf numFmtId="14" fontId="0" fillId="6" borderId="0" xfId="0" applyNumberFormat="1" applyFill="1" applyAlignment="1"/>
    <xf numFmtId="9" fontId="0" fillId="6" borderId="0" xfId="0" applyNumberFormat="1" applyFill="1" applyAlignment="1"/>
    <xf numFmtId="0" fontId="0" fillId="16" borderId="0" xfId="0" applyFill="1" applyAlignment="1"/>
    <xf numFmtId="0" fontId="0" fillId="16" borderId="0" xfId="0" applyFill="1" applyAlignment="1">
      <alignment horizontal="center"/>
    </xf>
    <xf numFmtId="0" fontId="145" fillId="0" borderId="0" xfId="0" applyFont="1" applyAlignment="1"/>
    <xf numFmtId="0" fontId="0" fillId="7" borderId="0" xfId="0" applyFill="1" applyAlignment="1"/>
    <xf numFmtId="0" fontId="0" fillId="7" borderId="0" xfId="0" applyFill="1" applyBorder="1" applyAlignment="1"/>
    <xf numFmtId="0" fontId="0" fillId="7" borderId="0" xfId="0" applyFill="1" applyAlignment="1">
      <alignment horizontal="center"/>
    </xf>
    <xf numFmtId="14" fontId="0" fillId="7" borderId="0" xfId="0" applyNumberFormat="1" applyFill="1" applyAlignment="1"/>
    <xf numFmtId="9" fontId="0" fillId="7" borderId="0" xfId="0" applyNumberFormat="1" applyFill="1" applyAlignment="1"/>
    <xf numFmtId="0" fontId="0" fillId="9" borderId="0" xfId="0" applyFill="1" applyAlignment="1"/>
    <xf numFmtId="0" fontId="0" fillId="9" borderId="0" xfId="0" applyFill="1" applyBorder="1" applyAlignment="1"/>
    <xf numFmtId="0" fontId="0" fillId="9" borderId="0" xfId="0" applyFill="1" applyAlignment="1">
      <alignment horizontal="center"/>
    </xf>
    <xf numFmtId="14" fontId="0" fillId="9" borderId="0" xfId="0" applyNumberFormat="1" applyFill="1" applyAlignment="1"/>
    <xf numFmtId="9" fontId="0" fillId="9" borderId="0" xfId="0" applyNumberFormat="1" applyFill="1" applyAlignment="1"/>
    <xf numFmtId="0" fontId="0" fillId="17" borderId="0" xfId="0" applyFill="1" applyAlignment="1"/>
    <xf numFmtId="0" fontId="0" fillId="17" borderId="0" xfId="0" applyFill="1" applyBorder="1" applyAlignment="1"/>
    <xf numFmtId="0" fontId="0" fillId="17" borderId="0" xfId="0" applyFill="1" applyAlignment="1">
      <alignment horizontal="center"/>
    </xf>
    <xf numFmtId="14" fontId="0" fillId="17" borderId="0" xfId="0" applyNumberFormat="1" applyFill="1" applyAlignment="1"/>
    <xf numFmtId="9" fontId="0" fillId="17" borderId="0" xfId="0" applyNumberFormat="1" applyFill="1" applyAlignment="1"/>
    <xf numFmtId="9" fontId="0" fillId="8" borderId="0" xfId="0" applyNumberFormat="1" applyFill="1" applyAlignment="1"/>
    <xf numFmtId="0" fontId="145" fillId="8" borderId="0" xfId="0" applyFont="1" applyFill="1" applyAlignment="1"/>
    <xf numFmtId="0" fontId="0" fillId="0" borderId="0" xfId="0" applyFont="1" applyAlignment="1"/>
    <xf numFmtId="0" fontId="0" fillId="18" borderId="0" xfId="0" applyFill="1" applyAlignment="1"/>
    <xf numFmtId="0" fontId="0" fillId="18" borderId="0" xfId="0" applyFill="1" applyBorder="1" applyAlignment="1"/>
    <xf numFmtId="0" fontId="0" fillId="18" borderId="0" xfId="0" applyFill="1" applyAlignment="1">
      <alignment horizontal="center"/>
    </xf>
    <xf numFmtId="14" fontId="0" fillId="18" borderId="0" xfId="0" applyNumberFormat="1" applyFill="1" applyAlignment="1"/>
    <xf numFmtId="9" fontId="0" fillId="18" borderId="0" xfId="0" applyNumberFormat="1" applyFill="1" applyAlignment="1"/>
    <xf numFmtId="0" fontId="145" fillId="9" borderId="0" xfId="0" applyFont="1" applyFill="1" applyAlignment="1"/>
    <xf numFmtId="177"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9" fontId="84" fillId="0" borderId="8" xfId="0" applyNumberFormat="1" applyFont="1" applyFill="1" applyBorder="1" applyAlignment="1" applyProtection="1">
      <alignment horizontal="center" vertical="center" wrapText="1"/>
      <protection locked="0"/>
    </xf>
    <xf numFmtId="9" fontId="84" fillId="0" borderId="2" xfId="0" applyNumberFormat="1"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0" fontId="145" fillId="18" borderId="0" xfId="0" applyFont="1" applyFill="1" applyAlignment="1"/>
    <xf numFmtId="0" fontId="145" fillId="16" borderId="0" xfId="0" applyFont="1" applyFill="1" applyAlignment="1">
      <alignment horizontal="center"/>
    </xf>
    <xf numFmtId="0" fontId="145" fillId="16" borderId="0" xfId="0" applyFont="1" applyFill="1" applyAlignment="1"/>
    <xf numFmtId="0" fontId="156" fillId="17" borderId="2" xfId="0" applyFont="1" applyFill="1" applyBorder="1" applyAlignment="1" applyProtection="1">
      <alignment horizontal="center" vertical="center"/>
      <protection locked="0"/>
    </xf>
    <xf numFmtId="181" fontId="156" fillId="17" borderId="2" xfId="0" applyNumberFormat="1" applyFont="1" applyFill="1" applyBorder="1" applyAlignment="1" applyProtection="1">
      <alignment horizontal="center" vertical="center"/>
      <protection locked="0"/>
    </xf>
    <xf numFmtId="181" fontId="205" fillId="6" borderId="0"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0" fontId="172" fillId="6" borderId="9" xfId="0" applyNumberFormat="1" applyFont="1" applyFill="1" applyBorder="1" applyAlignment="1" applyProtection="1">
      <alignment horizontal="center" vertical="center" wrapText="1"/>
      <protection locked="0"/>
    </xf>
    <xf numFmtId="0" fontId="156" fillId="17" borderId="50" xfId="0" applyNumberFormat="1" applyFont="1" applyFill="1" applyBorder="1" applyAlignment="1" applyProtection="1">
      <alignment horizontal="center" vertical="center" wrapText="1"/>
      <protection locked="0"/>
    </xf>
    <xf numFmtId="49" fontId="205" fillId="6" borderId="20" xfId="0" applyNumberFormat="1" applyFont="1" applyFill="1" applyBorder="1" applyAlignment="1" applyProtection="1">
      <alignment horizontal="center" vertical="center" wrapText="1"/>
      <protection locked="0"/>
    </xf>
    <xf numFmtId="49" fontId="205" fillId="6" borderId="50" xfId="0" applyNumberFormat="1" applyFont="1" applyFill="1" applyBorder="1" applyAlignment="1" applyProtection="1">
      <alignment horizontal="center" vertical="center" wrapText="1"/>
      <protection locked="0"/>
    </xf>
    <xf numFmtId="0" fontId="205" fillId="6" borderId="41" xfId="0" applyNumberFormat="1" applyFont="1" applyFill="1" applyBorder="1" applyAlignment="1" applyProtection="1">
      <alignment horizontal="center" vertical="center" wrapText="1"/>
    </xf>
    <xf numFmtId="0" fontId="205" fillId="6" borderId="40" xfId="0" applyNumberFormat="1" applyFont="1" applyFill="1" applyBorder="1" applyAlignment="1" applyProtection="1">
      <alignment horizontal="center" vertical="center" wrapText="1"/>
    </xf>
    <xf numFmtId="0" fontId="156" fillId="17" borderId="24" xfId="0" applyNumberFormat="1" applyFont="1" applyFill="1" applyBorder="1" applyAlignment="1" applyProtection="1">
      <alignment horizontal="center" vertical="center" wrapText="1"/>
      <protection locked="0"/>
    </xf>
    <xf numFmtId="49" fontId="205" fillId="6" borderId="18" xfId="0" applyNumberFormat="1" applyFont="1" applyFill="1" applyBorder="1" applyAlignment="1" applyProtection="1">
      <alignment horizontal="center" vertical="center" wrapText="1"/>
      <protection locked="0"/>
    </xf>
    <xf numFmtId="49" fontId="205" fillId="6" borderId="24" xfId="0" applyNumberFormat="1" applyFont="1" applyFill="1" applyBorder="1" applyAlignment="1" applyProtection="1">
      <alignment horizontal="center" vertical="center" wrapText="1"/>
      <protection locked="0"/>
    </xf>
    <xf numFmtId="0" fontId="205" fillId="6" borderId="25" xfId="0" applyNumberFormat="1" applyFont="1" applyFill="1" applyBorder="1" applyAlignment="1" applyProtection="1">
      <alignment horizontal="center" vertical="center" wrapText="1"/>
    </xf>
    <xf numFmtId="0" fontId="205" fillId="6" borderId="13" xfId="0" applyNumberFormat="1" applyFont="1" applyFill="1" applyBorder="1" applyAlignment="1" applyProtection="1">
      <alignment horizontal="center" vertical="center" wrapText="1"/>
    </xf>
    <xf numFmtId="0" fontId="205" fillId="6" borderId="4" xfId="0" applyNumberFormat="1" applyFont="1" applyFill="1" applyBorder="1" applyAlignment="1" applyProtection="1">
      <alignment horizontal="center" vertical="center" wrapText="1"/>
    </xf>
    <xf numFmtId="0" fontId="205" fillId="6" borderId="52" xfId="0" applyNumberFormat="1" applyFont="1" applyFill="1" applyBorder="1" applyAlignment="1" applyProtection="1">
      <alignment horizontal="center" vertical="center" wrapText="1"/>
    </xf>
    <xf numFmtId="0" fontId="133" fillId="17" borderId="50" xfId="0" applyNumberFormat="1" applyFont="1" applyFill="1" applyBorder="1" applyAlignment="1" applyProtection="1">
      <alignment horizontal="center" vertical="center" wrapText="1"/>
      <protection locked="0"/>
    </xf>
    <xf numFmtId="181" fontId="156" fillId="17" borderId="12" xfId="0" applyNumberFormat="1" applyFont="1" applyFill="1" applyBorder="1" applyAlignment="1" applyProtection="1">
      <alignment vertical="center"/>
      <protection locked="0"/>
    </xf>
    <xf numFmtId="178" fontId="205" fillId="6" borderId="41" xfId="0"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9" borderId="0" xfId="0" applyFill="1" applyAlignment="1">
      <alignment horizontal="center"/>
    </xf>
    <xf numFmtId="0" fontId="0" fillId="6" borderId="0" xfId="0" applyFill="1" applyAlignment="1">
      <alignment horizontal="center"/>
    </xf>
    <xf numFmtId="0" fontId="0" fillId="17" borderId="0" xfId="0" applyFill="1" applyAlignment="1">
      <alignment horizontal="center"/>
    </xf>
    <xf numFmtId="0" fontId="0" fillId="16" borderId="0" xfId="0" applyFill="1" applyAlignment="1">
      <alignment horizontal="center"/>
    </xf>
    <xf numFmtId="0" fontId="0" fillId="7" borderId="0" xfId="0" applyFill="1" applyAlignment="1">
      <alignment horizontal="center"/>
    </xf>
    <xf numFmtId="0" fontId="145" fillId="9" borderId="0" xfId="0" applyFont="1" applyFill="1" applyAlignment="1">
      <alignment horizontal="center"/>
    </xf>
    <xf numFmtId="0" fontId="145" fillId="6" borderId="0" xfId="0" applyFont="1" applyFill="1" applyAlignment="1">
      <alignment horizontal="center"/>
    </xf>
    <xf numFmtId="0" fontId="145" fillId="17" borderId="0" xfId="0" applyFont="1" applyFill="1" applyAlignment="1">
      <alignment horizontal="center"/>
    </xf>
    <xf numFmtId="0" fontId="145" fillId="7" borderId="0" xfId="0" applyFont="1" applyFill="1" applyAlignment="1">
      <alignment horizont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2661</v>
      </c>
      <c r="B1" s="2915" t="s">
        <v>2758</v>
      </c>
    </row>
    <row r="2" spans="1:55" s="2919" customFormat="1" ht="15" thickTop="1">
      <c r="A2" s="2917" t="s">
        <v>2665</v>
      </c>
      <c r="B2" s="2918" t="str">
        <f>'预评函-封皮'!B37</f>
        <v>四川省峨眉山市峨山镇保宁村2宗住宅、商业出让国有建设用地使用权抵押价格预评估</v>
      </c>
      <c r="AX2" s="2920"/>
      <c r="AZ2" s="2920"/>
      <c r="BA2" s="2921"/>
      <c r="BC2" s="2921"/>
    </row>
    <row r="3" spans="1:55" s="2922" customFormat="1">
      <c r="A3" s="2901" t="s">
        <v>2666</v>
      </c>
      <c r="B3" s="2904" t="str">
        <f>'预评函-封皮'!B40</f>
        <v>四川峨眉山宏远实业有限公司</v>
      </c>
    </row>
    <row r="4" spans="1:55" s="2903" customFormat="1">
      <c r="A4" s="2901" t="s">
        <v>2667</v>
      </c>
      <c r="B4" s="2902" t="str">
        <f>'预评函-封皮'!B46</f>
        <v>王鹏、郑燚</v>
      </c>
      <c r="N4" s="2903" t="str">
        <f>'预评函-1'!A28</f>
        <v/>
      </c>
    </row>
    <row r="5" spans="1:55" s="2916" customFormat="1" ht="15" thickBot="1">
      <c r="A5" s="2923" t="s">
        <v>2668</v>
      </c>
      <c r="B5" s="2924" t="str">
        <f>'预评函-封皮'!B49</f>
        <v>康正预评字号</v>
      </c>
    </row>
    <row r="6" spans="1:55" s="2925" customFormat="1" ht="15" thickTop="1">
      <c r="A6" s="2917" t="s">
        <v>2710</v>
      </c>
      <c r="B6" s="2918" t="str">
        <f>'预评函-1'!A4</f>
        <v>受贵公司委托，我公司对四川省峨眉山市峨山镇保宁村2宗住宅、商业出让国有建设用地使用权抵押价格进行了预评估。</v>
      </c>
      <c r="AM6" s="2926"/>
    </row>
    <row r="7" spans="1:55" s="2900" customFormat="1">
      <c r="A7" s="2901" t="s">
        <v>2662</v>
      </c>
      <c r="B7" s="2902" t="str">
        <f>'预评函-1'!A6</f>
        <v>估价对象为使用的、位于四川省峨眉山市峨山镇保宁村2宗住宅、商业出让国有建设用地使用权。根据《国有土地使用证》[峨眉国用（2014）第73369、73373、86590号]，估价对象（分摊）出让国有建设用地使用权面积为87492平方米。根据《国有建设用地使用权出让合同》[电子监管号：]及附件，估价对象规划建筑面积为104990.4平方米。</v>
      </c>
    </row>
    <row r="8" spans="1:55" s="2900" customFormat="1">
      <c r="A8" s="2901" t="s">
        <v>2663</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2713</v>
      </c>
      <c r="B9" s="2902" t="str">
        <f>'预评函-1'!A9</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2664</v>
      </c>
      <c r="B10" s="2902" t="str">
        <f>'预评函-1'!A11</f>
        <v>2018年1月4日（评估专业人员勘察现场之日）</v>
      </c>
    </row>
    <row r="11" spans="1:55" s="2900" customFormat="1">
      <c r="A11" s="2901" t="s">
        <v>2670</v>
      </c>
      <c r="B11" s="2902" t="str">
        <f>'预评函-1'!A14</f>
        <v>根据《国有土地使用证》[峨眉国用（2012）第57823、57824号]，本次评估估价对象证载（地类）用途为商住。</v>
      </c>
    </row>
    <row r="12" spans="1:55" s="2900" customFormat="1">
      <c r="A12" s="2901" t="s">
        <v>2671</v>
      </c>
      <c r="B12" s="2902" t="str">
        <f>'预评函-1'!A15</f>
        <v>本次评估设定用途即为证载用途住宅、商业。</v>
      </c>
    </row>
    <row r="13" spans="1:55" s="2900" customFormat="1">
      <c r="A13" s="2901" t="s">
        <v>2672</v>
      </c>
      <c r="B13" s="2902" t="str">
        <f>'预评函-1'!A17</f>
        <v>根据委托估价方介绍及评估专业人员现场勘查，本次评估估价对象实际土地开发程度为红线外市政基础设施达“七通”（即通路、通电、通讯、通上水、通下水、、）、宗地红线内场地未平整，宗地内有需要移除的树木。</v>
      </c>
    </row>
    <row r="14" spans="1:55" s="2900" customFormat="1">
      <c r="A14" s="2901" t="s">
        <v>2673</v>
      </c>
      <c r="B14" s="2902" t="str">
        <f>'预评函-1'!A18</f>
        <v>本次评估设定土地开发程度为红线外市政基础设施达“七通”、宗地红线内场地平整。估价结果未扣除树木移除的费用。</v>
      </c>
    </row>
    <row r="15" spans="1:55" s="2900" customFormat="1">
      <c r="A15" s="2901" t="s">
        <v>2669</v>
      </c>
      <c r="B15" s="2902" t="str">
        <f>'预评函-1'!A20</f>
        <v>根据《国有土地使用证》[峨眉国用（2014）第73369、73373、86590号]，估价对象（分摊）出让国有建设用地使用权面积为87492平方米。根据《国有建设用地使用权出让合同》[电子监管号：]及附件，估价对象规划建筑面积为104990.4平方米。</v>
      </c>
    </row>
    <row r="16" spans="1:55" s="2900" customFormat="1">
      <c r="A16" s="2901" t="s">
        <v>2674</v>
      </c>
      <c r="B16" s="2902" t="str">
        <f>'预评函-1'!A22</f>
        <v>本次估价对象为出让国有建设用地使用权，《国有土地使用证》[峨眉国用（2012）第57823、57824号]证载土地终止日期为住宅2084年5月23日、商业2054年5月23日。截至估价期日，出让国有建设用地使用权剩余土地使用年限为住宅66.4年，商业36.4年。</v>
      </c>
    </row>
    <row r="17" spans="1:48" s="2900" customFormat="1">
      <c r="A17" s="2901" t="s">
        <v>2675</v>
      </c>
      <c r="B17" s="2902" t="str">
        <f>'预评函-1'!A23</f>
        <v>本次评估设定估价对象剩余土地使用年限为住宅66.4年，商业36.4年。</v>
      </c>
    </row>
    <row r="18" spans="1:48" s="2900" customFormat="1">
      <c r="A18" s="2901" t="s">
        <v>2676</v>
      </c>
      <c r="B18" s="2902" t="str">
        <f>'预评函-1'!A25</f>
        <v>本次估价的“出让国有建设用地使用权价格”是指在估价对象土地所有权为国家所有，使用权性质为出让，在公开市场条件下、于估价期日2018年1月4日，在规划利用条件下、设定土地开发程度为红线外“七通”、宗地内场地平整，设定用途为住宅、商业，剩余土地使用年限为住宅66.4年，商业36.4年的出让国有建设用地使用权价格。</v>
      </c>
    </row>
    <row r="19" spans="1:48" s="2900" customFormat="1">
      <c r="A19" s="2901" t="s">
        <v>2677</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2678</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2679</v>
      </c>
      <c r="B21" s="2924" t="str">
        <f>'预评函-1'!A28</f>
        <v/>
      </c>
    </row>
    <row r="22" spans="1:48" ht="15" thickTop="1">
      <c r="A22" s="2912" t="s">
        <v>2680</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2681</v>
      </c>
      <c r="B23" s="2902" t="str">
        <f>'预评函-2'!K2</f>
        <v>估价期日：2018年1月4日</v>
      </c>
    </row>
    <row r="24" spans="1:48">
      <c r="A24" s="2901" t="s">
        <v>2682</v>
      </c>
      <c r="B24" s="2902" t="str">
        <f>'预评函-2'!R2</f>
        <v>估价期日的国有建设用地使用权性质：出让</v>
      </c>
    </row>
    <row r="25" spans="1:48">
      <c r="A25" s="2901" t="s">
        <v>2738</v>
      </c>
      <c r="B25" s="2902" t="str">
        <f>'预评函-2'!A3</f>
        <v>估价期日土地使用者</v>
      </c>
    </row>
    <row r="26" spans="1:48">
      <c r="A26" s="2901" t="s">
        <v>2714</v>
      </c>
      <c r="B26" s="2902" t="str">
        <f>'预评函-2'!A5</f>
        <v>中信开发</v>
      </c>
    </row>
    <row r="27" spans="1:48">
      <c r="A27" s="2901" t="s">
        <v>2739</v>
      </c>
      <c r="B27" s="2902" t="str">
        <f>'预评函-2'!B3</f>
        <v>宗地编号/不动产单元号</v>
      </c>
    </row>
    <row r="28" spans="1:48">
      <c r="A28" s="2901" t="s">
        <v>2715</v>
      </c>
      <c r="B28" s="2902" t="str">
        <f>'预评函-2'!B5</f>
        <v>11111111111</v>
      </c>
    </row>
    <row r="29" spans="1:48">
      <c r="A29" s="2901" t="s">
        <v>2741</v>
      </c>
      <c r="B29" s="2902">
        <f>'预评函-2'!C5</f>
        <v>22</v>
      </c>
    </row>
    <row r="30" spans="1:48">
      <c r="A30" s="2901" t="s">
        <v>2742</v>
      </c>
      <c r="B30" s="2902" t="str">
        <f>'预评函-2'!D3</f>
        <v>土地使用证编号/不动产权证书编号</v>
      </c>
    </row>
    <row r="31" spans="1:48">
      <c r="A31" s="2901" t="s">
        <v>2716</v>
      </c>
      <c r="B31" s="2902" t="str">
        <f>'预评函-2'!D5</f>
        <v>京国土字第111号</v>
      </c>
    </row>
    <row r="32" spans="1:48">
      <c r="A32" s="2901" t="s">
        <v>2717</v>
      </c>
      <c r="B32" s="2902" t="str">
        <f>'预评函-2'!E5</f>
        <v>商住</v>
      </c>
      <c r="AV32" s="2906"/>
    </row>
    <row r="33" spans="1:2">
      <c r="A33" s="2901" t="s">
        <v>2718</v>
      </c>
      <c r="B33" s="2902">
        <f>'预评函-2'!F5</f>
        <v>258</v>
      </c>
    </row>
    <row r="34" spans="1:2">
      <c r="A34" s="2901" t="s">
        <v>2719</v>
      </c>
      <c r="B34" s="2902" t="str">
        <f>'预评函-2'!G5</f>
        <v>住宅、商业</v>
      </c>
    </row>
    <row r="35" spans="1:2">
      <c r="A35" s="2901" t="s">
        <v>2720</v>
      </c>
      <c r="B35" s="2902">
        <f>'预评函-2'!H5</f>
        <v>1.5</v>
      </c>
    </row>
    <row r="36" spans="1:2">
      <c r="A36" s="2901" t="s">
        <v>2721</v>
      </c>
      <c r="B36" s="2902">
        <f>'预评函-2'!I5</f>
        <v>1.5</v>
      </c>
    </row>
    <row r="37" spans="1:2">
      <c r="A37" s="2901" t="s">
        <v>2722</v>
      </c>
      <c r="B37" s="2902">
        <f>'预评函-2'!J5</f>
        <v>1.5</v>
      </c>
    </row>
    <row r="38" spans="1:2">
      <c r="A38" s="2901" t="s">
        <v>2723</v>
      </c>
      <c r="B38" s="2902" t="str">
        <f>'预评函-2'!K5</f>
        <v>红线外七通、宗地红线内场地未平整</v>
      </c>
    </row>
    <row r="39" spans="1:2">
      <c r="A39" s="2901" t="s">
        <v>2724</v>
      </c>
      <c r="B39" s="2902" t="str">
        <f>'预评函-2'!L5</f>
        <v>红线外七通、宗地红线内场地平整</v>
      </c>
    </row>
    <row r="40" spans="1:2">
      <c r="A40" s="2901" t="s">
        <v>2743</v>
      </c>
      <c r="B40" s="2902" t="str">
        <f>'预评函-2'!M3</f>
        <v>（剩余）土地使用年限/年</v>
      </c>
    </row>
    <row r="41" spans="1:2">
      <c r="A41" s="2901" t="s">
        <v>2725</v>
      </c>
      <c r="B41" s="2902" t="str">
        <f>'预评函-2'!M5</f>
        <v>住宅66.4年，商业36.4年</v>
      </c>
    </row>
    <row r="42" spans="1:2">
      <c r="A42" s="2901" t="s">
        <v>2744</v>
      </c>
      <c r="B42" s="2902" t="str">
        <f>'预评函-2'!N3</f>
        <v>（分摊）出让国有建设用地使用权面积/㎡</v>
      </c>
    </row>
    <row r="43" spans="1:2">
      <c r="A43" s="2901" t="s">
        <v>2726</v>
      </c>
      <c r="B43" s="2902">
        <f>'预评函-2'!N5</f>
        <v>87492</v>
      </c>
    </row>
    <row r="44" spans="1:2">
      <c r="A44" s="2901" t="s">
        <v>2745</v>
      </c>
      <c r="B44" s="2902" t="str">
        <f>'预评函-2'!O3</f>
        <v>规划建筑面积/㎡</v>
      </c>
    </row>
    <row r="45" spans="1:2">
      <c r="A45" s="2901" t="s">
        <v>2727</v>
      </c>
      <c r="B45" s="2902">
        <f>'预评函-2'!O5</f>
        <v>104990.39999999999</v>
      </c>
    </row>
    <row r="46" spans="1:2">
      <c r="A46" s="2901" t="s">
        <v>2728</v>
      </c>
      <c r="B46" s="2902">
        <f ca="1">'预评函-2'!P5</f>
        <v>3937</v>
      </c>
    </row>
    <row r="47" spans="1:2">
      <c r="A47" s="2901" t="s">
        <v>2729</v>
      </c>
      <c r="B47" s="2902">
        <f ca="1">'预评函-2'!Q5</f>
        <v>3281</v>
      </c>
    </row>
    <row r="48" spans="1:2">
      <c r="A48" s="2901" t="s">
        <v>2730</v>
      </c>
      <c r="B48" s="2902">
        <f ca="1">'预评函-2'!R5</f>
        <v>34446</v>
      </c>
    </row>
    <row r="49" spans="1:2">
      <c r="A49" s="2901" t="s">
        <v>2746</v>
      </c>
      <c r="B49" s="2902" t="str">
        <f>'预评函-2'!A6</f>
        <v>抵押价格</v>
      </c>
    </row>
    <row r="50" spans="1:2">
      <c r="A50" s="2901" t="s">
        <v>2731</v>
      </c>
      <c r="B50" s="2902">
        <f ca="1">'预评函-2'!R6</f>
        <v>34446</v>
      </c>
    </row>
    <row r="51" spans="1:2">
      <c r="A51" s="2901" t="s">
        <v>2747</v>
      </c>
      <c r="B51" s="2902" t="str">
        <f>'预评函-2'!A7</f>
        <v>——</v>
      </c>
    </row>
    <row r="52" spans="1:2">
      <c r="A52" s="2901" t="s">
        <v>2732</v>
      </c>
      <c r="B52" s="2902" t="str">
        <f>'预评函-2'!R7</f>
        <v>——</v>
      </c>
    </row>
    <row r="53" spans="1:2">
      <c r="A53" s="2901" t="s">
        <v>2748</v>
      </c>
      <c r="B53" s="2902" t="str">
        <f>'预评函-2'!A8</f>
        <v>——</v>
      </c>
    </row>
    <row r="54" spans="1:2" s="2916" customFormat="1" ht="15" thickBot="1">
      <c r="A54" s="2923" t="s">
        <v>2733</v>
      </c>
      <c r="B54" s="2924" t="str">
        <f>'预评函-2'!R8</f>
        <v>——</v>
      </c>
    </row>
    <row r="55" spans="1:2" ht="15" thickTop="1">
      <c r="A55" s="2912" t="s">
        <v>2683</v>
      </c>
      <c r="B55" s="2913" t="str">
        <f>'预评函-3'!A2</f>
        <v>1.权利限制：根据估价对象《国有土地使用权》复印件，截至估价期日，估价对象抵押权未见登记。未设定租赁等其他他项权利。</v>
      </c>
    </row>
    <row r="56" spans="1:2">
      <c r="A56" s="2901" t="s">
        <v>2684</v>
      </c>
      <c r="B56" s="2902" t="str">
        <f>'预评函-3'!A3</f>
        <v>2.基础设施条件：估价对象实际开发程度为红线外七通、宗地红线内场地未平整；本次评估设定开发程度为红线外七通、宗地红线内场地平整。</v>
      </c>
    </row>
    <row r="57" spans="1:2">
      <c r="A57" s="2901" t="s">
        <v>2685</v>
      </c>
      <c r="B57" s="2902" t="str">
        <f>'预评函-3'!A4</f>
        <v>3.估价规划限制条件：详见《国有建设用地使用权出让合同》[电子监管号：]及附件。</v>
      </c>
    </row>
    <row r="58" spans="1:2" s="2916" customFormat="1" ht="15" thickBot="1">
      <c r="A58" s="2923" t="s">
        <v>2734</v>
      </c>
      <c r="B58" s="2924" t="str">
        <f>'预评函-3'!A5</f>
        <v>4.影响价格的其他限定条件：无。</v>
      </c>
    </row>
    <row r="59" spans="1:2" ht="15" thickTop="1">
      <c r="A59" s="2912" t="s">
        <v>2686</v>
      </c>
      <c r="B59" s="2913" t="str">
        <f>'预评函-3'!A8</f>
        <v>2.本《评估意见函》仅供金融机构进行内部审核使用，不做其他目的之用。</v>
      </c>
    </row>
    <row r="60" spans="1:2">
      <c r="A60" s="2901" t="s">
        <v>2687</v>
      </c>
      <c r="B60" s="2902" t="str">
        <f>'预评函-3'!A9</f>
        <v>3.抵押双方在办理抵押登记手续时，应使用本公司出具的正式《土地估价报告》，特提请报告使用者注意。</v>
      </c>
    </row>
    <row r="61" spans="1:2">
      <c r="A61" s="2901" t="s">
        <v>2689</v>
      </c>
      <c r="B61" s="2902" t="str">
        <f>'预评函-3'!A10</f>
        <v>4.估价师所知悉的法定优先受偿款情况为：</v>
      </c>
    </row>
    <row r="62" spans="1:2">
      <c r="A62" s="2901" t="s">
        <v>2688</v>
      </c>
      <c r="B62" s="2902" t="str">
        <f>'预评函-3'!A11</f>
        <v>（1）根据估价对象《国有土地使用权》复印件，截至估价期日，估价对象抵押权未见登记。</v>
      </c>
    </row>
    <row r="63" spans="1:2">
      <c r="A63" s="2901" t="s">
        <v>2690</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2691</v>
      </c>
      <c r="B64" s="2907" t="str">
        <f>'预评函-3'!A13</f>
        <v>（3）。</v>
      </c>
    </row>
    <row r="65" spans="1:2">
      <c r="A65" s="2901" t="s">
        <v>2692</v>
      </c>
      <c r="B65" s="2908" t="str">
        <f>'预评函-3'!A14</f>
        <v>综上，本次评估不存在估价师知悉的法定优先受偿款</v>
      </c>
    </row>
    <row r="66" spans="1:2">
      <c r="A66" s="2901" t="s">
        <v>2693</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2694</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2697</v>
      </c>
      <c r="B68" s="2927">
        <f>'预评函-3'!D30</f>
        <v>42558</v>
      </c>
    </row>
    <row r="69" spans="1:2" ht="15" thickTop="1">
      <c r="A69" s="2912" t="s">
        <v>2695</v>
      </c>
      <c r="B69" s="2913" t="str">
        <f>'预评函-3'!A20</f>
        <v>王鹏</v>
      </c>
    </row>
    <row r="70" spans="1:2">
      <c r="A70" s="2901" t="s">
        <v>2695</v>
      </c>
      <c r="B70" s="2908">
        <f ca="1">'预评函-3'!B20</f>
        <v>2002110030</v>
      </c>
    </row>
    <row r="71" spans="1:2">
      <c r="A71" s="2901" t="s">
        <v>2696</v>
      </c>
      <c r="B71" s="2902" t="str">
        <f>'预评函-3'!A21</f>
        <v>郑燚</v>
      </c>
    </row>
    <row r="72" spans="1:2" s="2916" customFormat="1" ht="15" thickBot="1">
      <c r="A72" s="2923" t="s">
        <v>2696</v>
      </c>
      <c r="B72" s="2929">
        <f>'预评函-3'!B21</f>
        <v>2014110011</v>
      </c>
    </row>
    <row r="73" spans="1:2" ht="15" thickTop="1">
      <c r="A73" s="2912" t="s">
        <v>2755</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2756</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2757</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2792</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O23" sqref="O23"/>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0"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1941</v>
      </c>
      <c r="B1" s="3267" t="str">
        <f>IF(B10="北京市","北京市",C10)&amp;F10&amp;B16&amp;"国有建设用地使用权"&amp;B9&amp;"预评估"</f>
        <v>四川省峨眉山市峨山镇保宁村2宗住宅、商业出让国有建设用地使用权抵押价格预评估</v>
      </c>
      <c r="C1" s="3268"/>
      <c r="D1" s="3268"/>
      <c r="E1" s="3268"/>
      <c r="F1" s="3268"/>
      <c r="G1" s="3268"/>
      <c r="H1" s="3268"/>
      <c r="I1" s="3269"/>
      <c r="J1" s="1692"/>
      <c r="K1" s="2476" t="str">
        <f>IF(B10="北京市","北京市",C10)&amp;F10&amp;B16&amp;"国有建设用地使用权"&amp;B9</f>
        <v>四川省峨眉山市峨山镇保宁村2宗住宅、商业出让国有建设用地使用权抵押价格</v>
      </c>
      <c r="L1" s="1720"/>
      <c r="M1" s="1720"/>
      <c r="N1" s="1692"/>
      <c r="O1" s="1693"/>
      <c r="P1" s="1692"/>
      <c r="Q1" s="1692"/>
      <c r="R1" s="1692"/>
      <c r="S1" s="1692"/>
      <c r="T1" s="1692"/>
      <c r="U1" s="1692"/>
    </row>
    <row r="2" spans="1:21">
      <c r="A2" s="1658" t="s">
        <v>1942</v>
      </c>
      <c r="B2" s="1839"/>
      <c r="D2" s="1692"/>
      <c r="E2" s="1692"/>
      <c r="F2" s="1692"/>
      <c r="G2" s="1692"/>
      <c r="H2" s="1658"/>
      <c r="I2" s="1693"/>
      <c r="J2" s="1692"/>
      <c r="K2" s="2476" t="str">
        <f>IF(B10="北京市","北京市",C10)&amp;F10&amp;B16&amp;"国有建设用地使用权"</f>
        <v>四川省峨眉山市峨山镇保宁村2宗住宅、商业出让国有建设用地使用权</v>
      </c>
      <c r="L2" s="1720"/>
      <c r="M2" s="1720"/>
      <c r="N2" s="1692"/>
      <c r="O2" s="1693"/>
      <c r="P2" s="1692"/>
      <c r="Q2" s="1692"/>
      <c r="R2" s="1692"/>
      <c r="S2" s="1692"/>
      <c r="T2" s="1692"/>
      <c r="U2" s="1692"/>
    </row>
    <row r="3" spans="1:21">
      <c r="A3" s="1659" t="s">
        <v>1943</v>
      </c>
      <c r="B3" s="1660">
        <v>43104</v>
      </c>
      <c r="C3" s="1661" t="s">
        <v>1998</v>
      </c>
      <c r="D3" s="1660">
        <v>43104</v>
      </c>
      <c r="E3" s="1692"/>
      <c r="F3" s="1692"/>
      <c r="G3" s="1692"/>
      <c r="H3" s="1658"/>
      <c r="I3" s="1693"/>
      <c r="J3" s="1692"/>
      <c r="K3" s="1771"/>
      <c r="L3" s="1720"/>
      <c r="M3" s="1720"/>
      <c r="N3" s="1692"/>
      <c r="O3" s="1693"/>
      <c r="P3" s="1692"/>
      <c r="Q3" s="1692"/>
      <c r="R3" s="1692"/>
      <c r="S3" s="1692"/>
      <c r="T3" s="1692"/>
      <c r="U3" s="1692"/>
    </row>
    <row r="4" spans="1:21" ht="15" thickBot="1">
      <c r="A4" s="1662" t="s">
        <v>1944</v>
      </c>
      <c r="B4" s="1840" t="s">
        <v>3092</v>
      </c>
      <c r="C4" s="1843">
        <f ca="1">SUMIF(土地估价师,B4,估价师及机构信息!E3:E24)</f>
        <v>2002110030</v>
      </c>
      <c r="D4" s="1840" t="s">
        <v>3093</v>
      </c>
      <c r="E4" s="1843">
        <f>SUMIF(土地估价师,D4,估价师及机构信息!E3:E24)</f>
        <v>2014110011</v>
      </c>
      <c r="F4" s="1840" t="s">
        <v>953</v>
      </c>
      <c r="G4" s="1843">
        <f>SUMIF(土地估价师,F4,估价师及机构信息!E3:E24)</f>
        <v>0</v>
      </c>
      <c r="H4" s="1840" t="s">
        <v>953</v>
      </c>
      <c r="I4" s="1843">
        <f>SUMIF(土地估价师,H4,估价师及机构信息!E3:E24)</f>
        <v>0</v>
      </c>
      <c r="J4" s="1692"/>
      <c r="K4" s="2476" t="str">
        <f>IF(AND(F4="——",H4="——"),B4&amp;"、"&amp;D4,IF(AND(F4&lt;&gt;"——",H4="——"),B4&amp;"、"&amp;D4&amp;"、"&amp;F4,B4&amp;"、"&amp;D4&amp;"、"&amp;F4&amp;"、"&amp;H4))</f>
        <v>王鹏、郑燚</v>
      </c>
      <c r="L4" s="1720"/>
      <c r="M4" s="1720"/>
      <c r="N4" s="1692"/>
      <c r="O4" s="1693"/>
      <c r="P4" s="1692"/>
      <c r="Q4" s="1692"/>
      <c r="R4" s="1692"/>
      <c r="S4" s="1692"/>
      <c r="T4" s="1692"/>
      <c r="U4" s="1692"/>
    </row>
    <row r="5" spans="1:21" ht="15" thickTop="1">
      <c r="A5" s="1663" t="s">
        <v>1945</v>
      </c>
      <c r="B5" s="1786" t="s">
        <v>3247</v>
      </c>
      <c r="C5" s="1664"/>
      <c r="D5" s="1665"/>
      <c r="E5" s="1692"/>
      <c r="F5" s="1692"/>
      <c r="G5" s="1692"/>
      <c r="H5" s="1658"/>
      <c r="I5" s="1693"/>
      <c r="J5" s="1692"/>
      <c r="K5" s="1771"/>
      <c r="L5" s="1720"/>
      <c r="M5" s="1720"/>
      <c r="N5" s="1692"/>
      <c r="O5" s="1693"/>
      <c r="P5" s="1692"/>
      <c r="Q5" s="1692"/>
      <c r="R5" s="1692"/>
      <c r="S5" s="1692"/>
      <c r="T5" s="1692"/>
      <c r="U5" s="1692"/>
    </row>
    <row r="6" spans="1:21" ht="26.25">
      <c r="A6" s="1661" t="s">
        <v>2711</v>
      </c>
      <c r="B6" s="1786" t="s">
        <v>3095</v>
      </c>
      <c r="C6" s="1758"/>
      <c r="D6" s="1666"/>
      <c r="E6" s="1692"/>
      <c r="F6" s="1692"/>
      <c r="G6" s="1692"/>
      <c r="H6" s="1658"/>
      <c r="I6" s="1693"/>
      <c r="J6" s="1692"/>
      <c r="K6" s="3079" t="str">
        <f>IF(COUNTIF(B6,"*上海银行*"),"上海银行","")</f>
        <v/>
      </c>
      <c r="L6" s="1720"/>
      <c r="M6" s="1720"/>
      <c r="N6" s="1692"/>
      <c r="O6" s="1693"/>
      <c r="P6" s="1692"/>
      <c r="Q6" s="1692"/>
      <c r="R6" s="1692"/>
      <c r="S6" s="1692"/>
      <c r="T6" s="1692"/>
      <c r="U6" s="1692"/>
    </row>
    <row r="7" spans="1:21">
      <c r="A7" s="1667" t="s">
        <v>2712</v>
      </c>
      <c r="B7" s="1786" t="s">
        <v>3247</v>
      </c>
      <c r="C7" s="1758"/>
      <c r="D7" s="1666"/>
      <c r="E7" s="1692"/>
      <c r="F7" s="1692"/>
      <c r="G7" s="1692"/>
      <c r="H7" s="1658"/>
      <c r="I7" s="1693"/>
      <c r="J7" s="1692"/>
      <c r="K7" s="1771"/>
      <c r="L7" s="1720"/>
      <c r="M7" s="1720"/>
      <c r="N7" s="1692"/>
      <c r="O7" s="1693"/>
      <c r="P7" s="1692"/>
      <c r="Q7" s="1692"/>
      <c r="R7" s="1692"/>
      <c r="S7" s="1692"/>
      <c r="T7" s="1692"/>
      <c r="U7" s="1692"/>
    </row>
    <row r="8" spans="1:21">
      <c r="A8" s="1667" t="s">
        <v>1946</v>
      </c>
      <c r="B8" s="1668" t="s">
        <v>3096</v>
      </c>
      <c r="C8" s="1669"/>
      <c r="D8" s="3273" t="s">
        <v>1948</v>
      </c>
      <c r="E8" s="1841" t="s">
        <v>3097</v>
      </c>
      <c r="F8" s="1670"/>
      <c r="G8" s="1658"/>
      <c r="H8" s="1658"/>
      <c r="I8" s="1705"/>
      <c r="J8" s="1692"/>
      <c r="K8" s="1771"/>
      <c r="L8" s="1720"/>
      <c r="M8" s="1720"/>
      <c r="N8" s="1692"/>
      <c r="O8" s="1693"/>
      <c r="P8" s="1692"/>
      <c r="Q8" s="1692"/>
      <c r="R8" s="1692"/>
      <c r="S8" s="1692"/>
      <c r="T8" s="1692"/>
      <c r="U8" s="1692"/>
    </row>
    <row r="9" spans="1:21" ht="15" thickBot="1">
      <c r="A9" s="1671" t="s">
        <v>1947</v>
      </c>
      <c r="B9" s="1672" t="s">
        <v>3097</v>
      </c>
      <c r="C9" s="1673"/>
      <c r="D9" s="3274"/>
      <c r="E9" s="1672" t="s">
        <v>953</v>
      </c>
      <c r="F9" s="1744"/>
      <c r="G9" s="1739"/>
      <c r="H9" s="1739"/>
      <c r="I9" s="1740"/>
      <c r="J9" s="1692"/>
      <c r="K9" s="1771"/>
      <c r="L9" s="1720"/>
      <c r="M9" s="1720"/>
      <c r="N9" s="1692"/>
      <c r="O9" s="1693"/>
      <c r="P9" s="1692"/>
      <c r="Q9" s="1692"/>
      <c r="R9" s="1692"/>
      <c r="S9" s="1692"/>
      <c r="T9" s="1692"/>
      <c r="U9" s="1692"/>
    </row>
    <row r="10" spans="1:21" ht="29.25" thickTop="1">
      <c r="A10" s="1741" t="s">
        <v>2001</v>
      </c>
      <c r="B10" s="3163" t="s">
        <v>3098</v>
      </c>
      <c r="C10" s="1674" t="s">
        <v>3099</v>
      </c>
      <c r="D10" s="1665"/>
      <c r="E10" s="1675" t="s">
        <v>1950</v>
      </c>
      <c r="F10" s="1676" t="s">
        <v>3248</v>
      </c>
      <c r="G10" s="1742"/>
      <c r="H10" s="1743"/>
      <c r="I10" s="1665"/>
      <c r="J10" s="1692"/>
      <c r="K10" s="1771"/>
      <c r="L10" s="1720"/>
      <c r="M10" s="1720"/>
      <c r="N10" s="1692"/>
      <c r="O10" s="1693"/>
      <c r="P10" s="1692"/>
      <c r="Q10" s="1692"/>
      <c r="R10" s="1692"/>
      <c r="S10" s="1692"/>
      <c r="T10" s="1692"/>
      <c r="U10" s="1692"/>
    </row>
    <row r="11" spans="1:21">
      <c r="A11" s="1695" t="s">
        <v>2002</v>
      </c>
      <c r="B11" s="1696" t="s">
        <v>3101</v>
      </c>
      <c r="C11" s="1677"/>
      <c r="D11" s="1759"/>
      <c r="E11" s="1658"/>
      <c r="F11" s="1658"/>
      <c r="G11" s="1658"/>
      <c r="H11" s="1658"/>
      <c r="I11" s="1658"/>
      <c r="J11" s="1692"/>
      <c r="K11" s="1771"/>
      <c r="L11" s="1720"/>
      <c r="M11" s="1720"/>
      <c r="N11" s="1692"/>
      <c r="O11" s="1693"/>
      <c r="P11" s="1692"/>
      <c r="Q11" s="1692"/>
      <c r="R11" s="1692"/>
      <c r="S11" s="1692"/>
      <c r="T11" s="1692"/>
      <c r="U11" s="1692"/>
    </row>
    <row r="12" spans="1:21">
      <c r="A12" s="1782" t="s">
        <v>2060</v>
      </c>
      <c r="B12" s="3270" t="s">
        <v>3102</v>
      </c>
      <c r="C12" s="3271"/>
      <c r="D12" s="3272"/>
      <c r="E12" s="1697" t="s">
        <v>2063</v>
      </c>
      <c r="F12" s="3288" t="s">
        <v>3249</v>
      </c>
      <c r="G12" s="3289"/>
      <c r="H12" s="3289"/>
      <c r="I12" s="3290"/>
      <c r="J12" s="1692"/>
      <c r="K12" s="1771"/>
      <c r="L12" s="1720"/>
      <c r="M12" s="1720"/>
      <c r="N12" s="1692"/>
      <c r="O12" s="1693"/>
      <c r="P12" s="1692"/>
      <c r="Q12" s="1692"/>
      <c r="R12" s="1692"/>
      <c r="S12" s="1692"/>
      <c r="T12" s="1692"/>
      <c r="U12" s="1692"/>
    </row>
    <row r="13" spans="1:21">
      <c r="A13" s="1685" t="s">
        <v>2061</v>
      </c>
      <c r="B13" s="3270" t="s">
        <v>3104</v>
      </c>
      <c r="C13" s="3271"/>
      <c r="D13" s="3272"/>
      <c r="E13" s="1697" t="s">
        <v>2063</v>
      </c>
      <c r="F13" s="3288" t="s">
        <v>3250</v>
      </c>
      <c r="G13" s="3289"/>
      <c r="H13" s="3289"/>
      <c r="I13" s="3290"/>
      <c r="J13" s="1692"/>
      <c r="K13" s="1771"/>
      <c r="L13" s="1720"/>
      <c r="M13" s="1720"/>
      <c r="N13" s="1692"/>
      <c r="O13" s="1693"/>
      <c r="P13" s="1692"/>
      <c r="Q13" s="1692"/>
      <c r="R13" s="1692"/>
      <c r="S13" s="1692"/>
      <c r="T13" s="1692"/>
      <c r="U13" s="1692"/>
    </row>
    <row r="14" spans="1:21">
      <c r="A14" s="1659" t="s">
        <v>2064</v>
      </c>
      <c r="B14" s="1697"/>
      <c r="C14" s="1842" t="s">
        <v>3112</v>
      </c>
      <c r="D14" s="1730" t="str">
        <f>IF(C14="不一致","是否符合证载地类范围","")</f>
        <v/>
      </c>
      <c r="E14" s="1697"/>
      <c r="F14" s="1787" t="s">
        <v>3113</v>
      </c>
      <c r="G14" s="1725"/>
      <c r="H14" s="1725"/>
      <c r="I14" s="1834"/>
      <c r="J14" s="1692"/>
      <c r="K14" s="1771"/>
      <c r="L14" s="1720"/>
      <c r="M14" s="1720"/>
      <c r="N14" s="1692"/>
      <c r="O14" s="1693"/>
      <c r="P14" s="1692"/>
      <c r="Q14" s="1692"/>
      <c r="R14" s="1692"/>
      <c r="S14" s="1692"/>
      <c r="T14" s="1692"/>
      <c r="U14" s="1692"/>
    </row>
    <row r="15" spans="1:21" hidden="1">
      <c r="A15" s="2667"/>
      <c r="B15" s="1661"/>
      <c r="C15" s="1661"/>
      <c r="D15" s="1763" t="s">
        <v>1953</v>
      </c>
      <c r="E15" s="1763" t="s">
        <v>1954</v>
      </c>
      <c r="F15" s="1763" t="s">
        <v>1955</v>
      </c>
      <c r="G15" s="1684" t="s">
        <v>1956</v>
      </c>
      <c r="H15" s="1684" t="s">
        <v>1957</v>
      </c>
      <c r="I15" s="1684" t="s">
        <v>1958</v>
      </c>
      <c r="J15" s="1692"/>
      <c r="K15" s="1771"/>
      <c r="L15" s="1720"/>
      <c r="M15" s="1720"/>
      <c r="N15" s="1692"/>
      <c r="O15" s="1693"/>
      <c r="P15" s="1692"/>
      <c r="Q15" s="1692"/>
      <c r="R15" s="1692"/>
      <c r="S15" s="1692"/>
      <c r="T15" s="1692"/>
      <c r="U15" s="1692"/>
    </row>
    <row r="16" spans="1:21" ht="28.5">
      <c r="A16" s="1678" t="s">
        <v>1951</v>
      </c>
      <c r="B16" s="1679" t="s">
        <v>3114</v>
      </c>
      <c r="C16" s="1697" t="s">
        <v>1952</v>
      </c>
      <c r="D16" s="2668" t="s">
        <v>1953</v>
      </c>
      <c r="E16" s="1719" t="s">
        <v>3115</v>
      </c>
      <c r="F16" s="1719"/>
      <c r="G16" s="1719"/>
      <c r="H16" s="1719"/>
      <c r="I16" s="1684" t="s">
        <v>1958</v>
      </c>
      <c r="J16" s="1692"/>
      <c r="K16" s="2477" t="str">
        <f>IF(D17="","",D16&amp;TEXT(D17,"yyyy年m月d日;;"))</f>
        <v>住宅2084年5月23日</v>
      </c>
      <c r="L16" s="1697" t="str">
        <f>IF(OR(K16="",M16=""),"","、")</f>
        <v>、</v>
      </c>
      <c r="M16" s="2477" t="str">
        <f>IF(E17="","",E16&amp;TEXT(E17,"yyyy年m月d日;;"))</f>
        <v>商业2054年5月23日</v>
      </c>
      <c r="N16" s="1697" t="str">
        <f>IF(OR(M16="",O16=""),"","、")</f>
        <v/>
      </c>
      <c r="O16" s="2477" t="str">
        <f>IF(F17="","",F16&amp;TEXT(F17,"yyyy年m月d日;;"))</f>
        <v/>
      </c>
      <c r="P16" s="1697" t="str">
        <f>IF(OR(O16="",Q16=""),"","、")</f>
        <v/>
      </c>
      <c r="Q16" s="2477" t="str">
        <f>IF(G17="","",G16&amp;TEXT(G17,"yyyy年m月d日;;"))</f>
        <v/>
      </c>
      <c r="R16" s="1697" t="str">
        <f>IF(OR(Q16="",S16=""),"","、")</f>
        <v/>
      </c>
      <c r="S16" s="2477" t="str">
        <f>IF(H17="","",H16&amp;TEXT(H17,"yyyy年m月d日;;"))</f>
        <v/>
      </c>
      <c r="T16" s="1697" t="str">
        <f>IF(OR(S16="",U16=""),"","、")</f>
        <v/>
      </c>
      <c r="U16" s="2477" t="str">
        <f>IF(I17="","",I16&amp;TEXT(I17,"yyyy年m月d日;;"))</f>
        <v/>
      </c>
    </row>
    <row r="17" spans="1:21">
      <c r="A17" s="1760"/>
      <c r="B17" s="1680"/>
      <c r="C17" s="1681" t="s">
        <v>1959</v>
      </c>
      <c r="D17" s="1698">
        <v>67350</v>
      </c>
      <c r="E17" s="1698">
        <v>56392</v>
      </c>
      <c r="F17" s="1698"/>
      <c r="G17" s="1698"/>
      <c r="H17" s="1698"/>
      <c r="I17" s="1698"/>
      <c r="J17" s="1692"/>
      <c r="K17" s="2476" t="str">
        <f>CONCATENATE(K16,L16,M16,N16,O16,P16,Q16,R16,S16,T16,,U16)</f>
        <v>住宅2084年5月23日、商业2054年5月23日</v>
      </c>
      <c r="L17" s="1720"/>
      <c r="M17" s="1720"/>
      <c r="N17" s="1692"/>
      <c r="O17" s="1693"/>
      <c r="P17" s="1692"/>
      <c r="Q17" s="1692"/>
      <c r="R17" s="1692"/>
      <c r="S17" s="1692"/>
      <c r="T17" s="1692"/>
      <c r="U17" s="1692"/>
    </row>
    <row r="18" spans="1:21">
      <c r="A18" s="1760"/>
      <c r="B18" s="1680"/>
      <c r="C18" s="1681" t="s">
        <v>1960</v>
      </c>
      <c r="D18" s="1682">
        <v>70</v>
      </c>
      <c r="E18" s="1682">
        <v>40</v>
      </c>
      <c r="F18" s="1682"/>
      <c r="G18" s="1682"/>
      <c r="H18" s="1682"/>
      <c r="I18" s="1682"/>
      <c r="J18" s="1692"/>
      <c r="K18" s="1771"/>
      <c r="L18" s="1720"/>
      <c r="M18" s="1720"/>
      <c r="N18" s="1692"/>
      <c r="O18" s="1693"/>
      <c r="P18" s="1692"/>
      <c r="Q18" s="1692"/>
      <c r="R18" s="1692"/>
      <c r="S18" s="1692"/>
      <c r="T18" s="1692"/>
      <c r="U18" s="1692"/>
    </row>
    <row r="19" spans="1:21">
      <c r="A19" s="1760"/>
      <c r="B19" s="1680"/>
      <c r="C19" s="1658" t="s">
        <v>1961</v>
      </c>
      <c r="D19" s="1755">
        <f>IF(B16="出让",IF(D17="","",ROUNDDOWN(MIN((D17-$D$3)/365,D18),2)),D18)</f>
        <v>66.42</v>
      </c>
      <c r="E19" s="1683">
        <f>IF(B16="出让",IF(E17="","",ROUNDDOWN(MIN((E17-$D$3)/365,E18),2)),E18)</f>
        <v>36.4</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1"/>
      <c r="L19" s="1720"/>
      <c r="M19" s="1720"/>
      <c r="N19" s="1692"/>
      <c r="O19" s="1693"/>
      <c r="P19" s="1692"/>
      <c r="Q19" s="1692"/>
      <c r="R19" s="1692"/>
      <c r="S19" s="1692"/>
      <c r="T19" s="1692"/>
      <c r="U19" s="1692"/>
    </row>
    <row r="20" spans="1:21">
      <c r="A20" s="1783"/>
      <c r="B20" s="1784"/>
      <c r="C20" s="1785" t="s">
        <v>2062</v>
      </c>
      <c r="D20" s="3285" t="s">
        <v>3116</v>
      </c>
      <c r="E20" s="3286"/>
      <c r="F20" s="3286"/>
      <c r="G20" s="3286"/>
      <c r="H20" s="3286"/>
      <c r="I20" s="3287"/>
      <c r="J20" s="1692"/>
      <c r="K20" s="1771"/>
      <c r="L20" s="1720"/>
      <c r="M20" s="1720"/>
      <c r="N20" s="1692"/>
      <c r="O20" s="1693"/>
      <c r="P20" s="1692"/>
      <c r="Q20" s="1692"/>
      <c r="R20" s="1692"/>
      <c r="S20" s="1692"/>
      <c r="T20" s="1692"/>
      <c r="U20" s="1692"/>
    </row>
    <row r="21" spans="1:21">
      <c r="A21" s="1760" t="s">
        <v>1962</v>
      </c>
      <c r="B21" s="1761" t="s">
        <v>1963</v>
      </c>
      <c r="C21" s="1756">
        <f>'数据-汇总表'!E3</f>
        <v>104990.39999999999</v>
      </c>
      <c r="D21" s="1757" t="s">
        <v>1964</v>
      </c>
      <c r="E21" s="3275" t="s">
        <v>3251</v>
      </c>
      <c r="F21" s="3276"/>
      <c r="G21" s="3276"/>
      <c r="H21" s="3276"/>
      <c r="I21" s="3277"/>
      <c r="J21" s="1692"/>
      <c r="K21" s="1771"/>
      <c r="L21" s="1720"/>
      <c r="M21" s="1720"/>
      <c r="N21" s="1692"/>
      <c r="O21" s="1693"/>
      <c r="P21" s="1692"/>
      <c r="Q21" s="1692"/>
      <c r="R21" s="1692"/>
      <c r="S21" s="1692"/>
      <c r="T21" s="1692"/>
      <c r="U21" s="1692"/>
    </row>
    <row r="22" spans="1:21">
      <c r="A22" s="2659" t="s">
        <v>953</v>
      </c>
      <c r="B22" s="1659" t="s">
        <v>1965</v>
      </c>
      <c r="C22" s="1684">
        <f>'数据-汇总表'!D3</f>
        <v>87492</v>
      </c>
      <c r="D22" s="1685" t="s">
        <v>1964</v>
      </c>
      <c r="E22" s="3275" t="s">
        <v>3108</v>
      </c>
      <c r="F22" s="3276"/>
      <c r="G22" s="3276"/>
      <c r="H22" s="3276"/>
      <c r="I22" s="3277"/>
      <c r="J22" s="1692"/>
      <c r="K22" s="1771"/>
      <c r="L22" s="1720"/>
      <c r="M22" s="1720"/>
      <c r="N22" s="1692"/>
      <c r="O22" s="1693"/>
      <c r="P22" s="1692"/>
      <c r="Q22" s="1692"/>
      <c r="R22" s="1692"/>
      <c r="S22" s="1692"/>
      <c r="T22" s="1692"/>
      <c r="U22" s="1692"/>
    </row>
    <row r="23" spans="1:21" ht="43.5" thickBot="1">
      <c r="A23" s="1762" t="s">
        <v>1966</v>
      </c>
      <c r="B23" s="1699" t="s">
        <v>1967</v>
      </c>
      <c r="C23" s="1700" t="s">
        <v>3117</v>
      </c>
      <c r="D23" s="1701" t="s">
        <v>1968</v>
      </c>
      <c r="E23" s="1702" t="s">
        <v>953</v>
      </c>
      <c r="F23" s="1703" t="str">
        <f>IF(AND(C23="是",E23="否"),"是否提供他项权证或相关说明","")</f>
        <v/>
      </c>
      <c r="G23" s="1704" t="s">
        <v>953</v>
      </c>
      <c r="H23" s="1692"/>
      <c r="I23" s="1705"/>
      <c r="J23" s="1692"/>
      <c r="K23" s="1771"/>
      <c r="L23" s="1720"/>
      <c r="M23" s="1720"/>
      <c r="N23" s="1692"/>
      <c r="O23" s="1693"/>
      <c r="P23" s="1692"/>
      <c r="Q23" s="1692"/>
      <c r="R23" s="1692"/>
      <c r="S23" s="1692"/>
      <c r="T23" s="1692"/>
      <c r="U23" s="1692"/>
    </row>
    <row r="24" spans="1:21">
      <c r="A24" s="1747" t="s">
        <v>1969</v>
      </c>
      <c r="B24" s="3278" t="s">
        <v>1970</v>
      </c>
      <c r="C24" s="3279"/>
      <c r="D24" s="3280" t="s">
        <v>1971</v>
      </c>
      <c r="E24" s="3281"/>
      <c r="F24" s="1706" t="s">
        <v>1972</v>
      </c>
      <c r="G24" s="1692"/>
      <c r="H24" s="1692"/>
      <c r="I24" s="1705"/>
      <c r="J24" s="1692"/>
      <c r="K24" s="3266" t="s">
        <v>1973</v>
      </c>
      <c r="L24" s="2478"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0"/>
      <c r="N24" s="1692"/>
      <c r="O24" s="1693"/>
      <c r="P24" s="1692"/>
      <c r="Q24" s="1692"/>
      <c r="R24" s="1692"/>
      <c r="S24" s="1692"/>
      <c r="T24" s="1692"/>
      <c r="U24" s="1692"/>
    </row>
    <row r="25" spans="1:21" ht="28.5">
      <c r="A25" s="1748"/>
      <c r="B25" s="1745" t="s">
        <v>1974</v>
      </c>
      <c r="C25" s="1707" t="s">
        <v>2327</v>
      </c>
      <c r="D25" s="1708"/>
      <c r="E25" s="1709" t="s">
        <v>953</v>
      </c>
      <c r="F25" s="1710"/>
      <c r="G25" s="1692"/>
      <c r="H25" s="1692"/>
      <c r="I25" s="1705"/>
      <c r="J25" s="1692"/>
      <c r="K25" s="3266"/>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2"/>
      <c r="O25" s="1693"/>
      <c r="P25" s="1692"/>
      <c r="Q25" s="1692"/>
      <c r="R25" s="1692"/>
      <c r="S25" s="1692"/>
      <c r="T25" s="1692"/>
      <c r="U25" s="1692"/>
    </row>
    <row r="26" spans="1:21" ht="15" thickBot="1">
      <c r="A26" s="1749"/>
      <c r="B26" s="1746" t="s">
        <v>953</v>
      </c>
      <c r="C26" s="1707" t="s">
        <v>953</v>
      </c>
      <c r="D26" s="1658"/>
      <c r="E26" s="1658"/>
      <c r="F26" s="1686"/>
      <c r="G26" s="1692"/>
      <c r="H26" s="1692"/>
      <c r="I26" s="1705"/>
      <c r="J26" s="1692"/>
      <c r="K26" s="3266"/>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2"/>
      <c r="O26" s="1693"/>
      <c r="P26" s="1692"/>
      <c r="Q26" s="1692"/>
      <c r="R26" s="1692"/>
      <c r="S26" s="1692"/>
      <c r="T26" s="1692"/>
      <c r="U26" s="1692"/>
    </row>
    <row r="27" spans="1:21">
      <c r="A27" s="1752" t="s">
        <v>1975</v>
      </c>
      <c r="B27" s="1750" t="s">
        <v>1976</v>
      </c>
      <c r="C27" s="1711"/>
      <c r="D27" s="2673" t="s">
        <v>1976</v>
      </c>
      <c r="E27" s="1712"/>
      <c r="F27" s="1686"/>
      <c r="G27" s="1692"/>
      <c r="H27" s="1692"/>
      <c r="I27" s="1705"/>
      <c r="J27" s="1692"/>
      <c r="K27" s="1771"/>
      <c r="L27" s="1720"/>
      <c r="M27" s="1720"/>
      <c r="N27" s="1692"/>
      <c r="O27" s="1693"/>
      <c r="P27" s="1692"/>
      <c r="Q27" s="1692"/>
      <c r="R27" s="1692"/>
      <c r="S27" s="1692"/>
      <c r="T27" s="1692"/>
      <c r="U27" s="1692"/>
    </row>
    <row r="28" spans="1:21">
      <c r="A28" s="1753"/>
      <c r="B28" s="1750" t="s">
        <v>1977</v>
      </c>
      <c r="C28" s="1713"/>
      <c r="D28" s="2674" t="s">
        <v>1977</v>
      </c>
      <c r="E28" s="1714"/>
      <c r="F28" s="1686"/>
      <c r="G28" s="1692"/>
      <c r="H28" s="1692"/>
      <c r="I28" s="1705"/>
      <c r="J28" s="1692"/>
      <c r="K28" s="1771"/>
      <c r="L28" s="1720"/>
      <c r="M28" s="1720"/>
      <c r="N28" s="1692"/>
      <c r="O28" s="1693"/>
      <c r="P28" s="1692"/>
      <c r="Q28" s="1692"/>
      <c r="R28" s="1692"/>
      <c r="S28" s="1692"/>
      <c r="T28" s="1692"/>
      <c r="U28" s="1692"/>
    </row>
    <row r="29" spans="1:21">
      <c r="A29" s="1753"/>
      <c r="B29" s="1750" t="s">
        <v>1978</v>
      </c>
      <c r="C29" s="1713"/>
      <c r="D29" s="2674" t="s">
        <v>1978</v>
      </c>
      <c r="E29" s="1714"/>
      <c r="F29" s="1686"/>
      <c r="G29" s="1692"/>
      <c r="H29" s="1692"/>
      <c r="I29" s="1705"/>
      <c r="J29" s="1692"/>
      <c r="K29" s="1771"/>
      <c r="L29" s="1720"/>
      <c r="M29" s="1720"/>
      <c r="N29" s="1692"/>
      <c r="O29" s="1693"/>
      <c r="P29" s="1692"/>
      <c r="Q29" s="1692"/>
      <c r="R29" s="1692"/>
      <c r="S29" s="1692"/>
      <c r="T29" s="1692"/>
      <c r="U29" s="1692"/>
    </row>
    <row r="30" spans="1:21" ht="15" thickBot="1">
      <c r="A30" s="1754"/>
      <c r="B30" s="1751" t="s">
        <v>1979</v>
      </c>
      <c r="C30" s="1715"/>
      <c r="D30" s="2675" t="s">
        <v>1979</v>
      </c>
      <c r="E30" s="1716"/>
      <c r="F30" s="1687"/>
      <c r="G30" s="1739"/>
      <c r="H30" s="1739"/>
      <c r="I30" s="1740"/>
      <c r="J30" s="1692"/>
      <c r="K30" s="1771"/>
      <c r="L30" s="1720"/>
      <c r="M30" s="1720"/>
      <c r="N30" s="1692"/>
      <c r="O30" s="1693"/>
      <c r="P30" s="1692"/>
      <c r="Q30" s="1692"/>
      <c r="R30" s="1692"/>
      <c r="S30" s="1692"/>
      <c r="T30" s="1692"/>
      <c r="U30" s="1692"/>
    </row>
    <row r="31" spans="1:21" ht="15" thickTop="1">
      <c r="A31" s="3293" t="s">
        <v>2003</v>
      </c>
      <c r="B31" s="1761" t="s">
        <v>2004</v>
      </c>
      <c r="C31" s="3291" t="s">
        <v>3118</v>
      </c>
      <c r="D31" s="3292"/>
      <c r="E31" s="1692"/>
      <c r="F31" s="1692"/>
      <c r="G31" s="1692"/>
      <c r="H31" s="1692"/>
      <c r="I31" s="1705"/>
      <c r="J31" s="1692"/>
      <c r="K31" s="2479"/>
      <c r="L31" s="1692"/>
      <c r="M31" s="1692"/>
      <c r="N31" s="1692"/>
      <c r="O31" s="1692"/>
      <c r="P31" s="1692"/>
      <c r="Q31" s="1692"/>
      <c r="R31" s="1692"/>
      <c r="S31" s="1692"/>
      <c r="T31" s="1692"/>
      <c r="U31" s="1692"/>
    </row>
    <row r="32" spans="1:21">
      <c r="A32" s="3293"/>
      <c r="B32" s="1659" t="s">
        <v>2005</v>
      </c>
      <c r="C32" s="3163" t="s">
        <v>3119</v>
      </c>
      <c r="D32" s="1717"/>
      <c r="E32" s="1692"/>
      <c r="F32" s="1692"/>
      <c r="G32" s="1692"/>
      <c r="H32" s="1692"/>
      <c r="I32" s="1705"/>
      <c r="J32" s="1692"/>
      <c r="K32" s="2479"/>
      <c r="L32" s="1692"/>
      <c r="M32" s="1692"/>
      <c r="N32" s="1692"/>
      <c r="O32" s="1692"/>
      <c r="P32" s="1692"/>
      <c r="Q32" s="1692"/>
      <c r="R32" s="1692"/>
      <c r="S32" s="1692"/>
      <c r="T32" s="1692"/>
      <c r="U32" s="1692"/>
    </row>
    <row r="33" spans="1:21">
      <c r="A33" s="3293"/>
      <c r="B33" s="1659" t="s">
        <v>2006</v>
      </c>
      <c r="C33" s="1718" t="s">
        <v>3117</v>
      </c>
      <c r="D33" s="1835"/>
      <c r="E33" s="1692"/>
      <c r="F33" s="1692"/>
      <c r="G33" s="1692"/>
      <c r="H33" s="1692"/>
      <c r="I33" s="1705"/>
      <c r="J33" s="1692"/>
      <c r="K33" s="2479"/>
      <c r="L33" s="1692"/>
      <c r="M33" s="1692"/>
      <c r="N33" s="1692"/>
      <c r="O33" s="1692"/>
      <c r="P33" s="1692"/>
      <c r="Q33" s="1692"/>
      <c r="R33" s="1692"/>
      <c r="S33" s="1692"/>
      <c r="T33" s="1692"/>
      <c r="U33" s="1692"/>
    </row>
    <row r="34" spans="1:21">
      <c r="A34" s="3294"/>
      <c r="B34" s="1659" t="s">
        <v>2007</v>
      </c>
      <c r="C34" s="3295"/>
      <c r="D34" s="3296"/>
      <c r="E34" s="1692"/>
      <c r="F34" s="1692"/>
      <c r="G34" s="1692"/>
      <c r="H34" s="1692"/>
      <c r="I34" s="1705"/>
      <c r="J34" s="1692"/>
      <c r="K34" s="2479"/>
      <c r="L34" s="1692"/>
      <c r="M34" s="1692"/>
      <c r="N34" s="1692"/>
      <c r="O34" s="1692"/>
      <c r="P34" s="1692"/>
      <c r="Q34" s="1692"/>
      <c r="R34" s="1692"/>
      <c r="S34" s="1692"/>
      <c r="T34" s="1692"/>
      <c r="U34" s="1692"/>
    </row>
    <row r="35" spans="1:21">
      <c r="A35" s="3297" t="s">
        <v>848</v>
      </c>
      <c r="B35" s="1719" t="s">
        <v>3120</v>
      </c>
      <c r="C35" s="1773" t="str">
        <f>IF(B35="场地平整","——","具体情况：")</f>
        <v>具体情况：</v>
      </c>
      <c r="D35" s="3299" t="s">
        <v>3122</v>
      </c>
      <c r="E35" s="3300"/>
      <c r="F35" s="3300"/>
      <c r="G35" s="3300"/>
      <c r="H35" s="3300"/>
      <c r="I35" s="3301"/>
      <c r="J35" s="1692"/>
      <c r="K35" s="1772"/>
      <c r="L35" s="1720"/>
      <c r="M35" s="1720"/>
      <c r="N35" s="1692"/>
      <c r="O35" s="1693"/>
      <c r="P35" s="1692"/>
      <c r="Q35" s="1692"/>
      <c r="R35" s="1692"/>
      <c r="S35" s="1692"/>
      <c r="T35" s="1692"/>
      <c r="U35" s="1692"/>
    </row>
    <row r="36" spans="1:21" ht="28.5">
      <c r="A36" s="3293"/>
      <c r="B36" s="3302" t="s">
        <v>2056</v>
      </c>
      <c r="C36" s="3303"/>
      <c r="D36" s="1789" t="s">
        <v>3121</v>
      </c>
      <c r="E36" s="3304"/>
      <c r="F36" s="3304"/>
      <c r="G36" s="1685" t="str">
        <f>IF(B35="场地未平整","估价结果处理","")</f>
        <v>估价结果处理</v>
      </c>
      <c r="H36" s="3305" t="s">
        <v>3123</v>
      </c>
      <c r="I36" s="3305"/>
      <c r="J36" s="1692"/>
      <c r="K36" s="1772"/>
      <c r="L36" s="1720"/>
      <c r="M36" s="1720"/>
      <c r="N36" s="1692"/>
      <c r="O36" s="1693"/>
      <c r="P36" s="1692"/>
      <c r="Q36" s="1692"/>
      <c r="R36" s="1692"/>
      <c r="S36" s="1692"/>
      <c r="T36" s="1692"/>
      <c r="U36" s="1692"/>
    </row>
    <row r="37" spans="1:21" ht="28.5">
      <c r="A37" s="3293"/>
      <c r="B37" s="3282" t="s">
        <v>849</v>
      </c>
      <c r="C37" s="1721" t="s">
        <v>850</v>
      </c>
      <c r="D37" s="1722"/>
      <c r="E37" s="1723"/>
      <c r="F37" s="1692"/>
      <c r="G37" s="1692"/>
      <c r="H37" s="1692"/>
      <c r="I37" s="1705"/>
      <c r="J37" s="1692"/>
      <c r="K37" s="1772"/>
      <c r="L37" s="1692"/>
      <c r="M37" s="1692"/>
      <c r="N37" s="1692"/>
      <c r="O37" s="1692"/>
      <c r="P37" s="1692"/>
      <c r="Q37" s="1692"/>
      <c r="R37" s="1692"/>
      <c r="S37" s="1692"/>
      <c r="T37" s="1692"/>
      <c r="U37" s="1692"/>
    </row>
    <row r="38" spans="1:21">
      <c r="A38" s="3293"/>
      <c r="B38" s="3283"/>
      <c r="C38" s="1667" t="s">
        <v>851</v>
      </c>
      <c r="D38" s="1788">
        <f>ROUNDDOWN(MIN(('数据-取费表'!$B$2-D37)/365,D34),1)</f>
        <v>118</v>
      </c>
      <c r="E38" s="1724" t="s">
        <v>852</v>
      </c>
      <c r="F38" s="1692"/>
      <c r="G38" s="1692"/>
      <c r="H38" s="1692"/>
      <c r="I38" s="1705"/>
      <c r="J38" s="1692"/>
      <c r="K38" s="1772"/>
      <c r="L38" s="1692"/>
      <c r="M38" s="1692"/>
      <c r="N38" s="1692"/>
      <c r="O38" s="1692"/>
      <c r="P38" s="1692"/>
      <c r="Q38" s="1692"/>
      <c r="R38" s="1692"/>
      <c r="S38" s="1692"/>
      <c r="T38" s="1692"/>
      <c r="U38" s="1692"/>
    </row>
    <row r="39" spans="1:21">
      <c r="A39" s="3294"/>
      <c r="B39" s="3284"/>
      <c r="C39" s="1695" t="str">
        <f>IF(D38&lt;1,"不存在土地闲置",IF(B35="宗地内已开工建设","已开工，不存在土地闲置","估价对象已涉嫌土地闲置"))</f>
        <v>估价对象已涉嫌土地闲置</v>
      </c>
      <c r="D39" s="1725"/>
      <c r="E39" s="1726"/>
      <c r="F39" s="1692"/>
      <c r="G39" s="1692"/>
      <c r="H39" s="1692"/>
      <c r="I39" s="1705"/>
      <c r="J39" s="1692"/>
      <c r="K39" s="1771"/>
      <c r="L39" s="1720"/>
      <c r="M39" s="1720"/>
      <c r="N39" s="1692"/>
      <c r="O39" s="1693"/>
      <c r="P39" s="1692"/>
      <c r="Q39" s="1692"/>
      <c r="R39" s="1692"/>
      <c r="S39" s="1692"/>
      <c r="T39" s="1692"/>
      <c r="U39" s="1692"/>
    </row>
    <row r="40" spans="1:21">
      <c r="A40" s="1685" t="s">
        <v>1980</v>
      </c>
      <c r="B40" s="1688" t="s">
        <v>3124</v>
      </c>
      <c r="C40" s="1688" t="s">
        <v>3125</v>
      </c>
      <c r="D40" s="1688" t="s">
        <v>3126</v>
      </c>
      <c r="E40" s="1688" t="s">
        <v>3127</v>
      </c>
      <c r="F40" s="1688" t="s">
        <v>3128</v>
      </c>
      <c r="G40" s="1688"/>
      <c r="H40" s="1688"/>
      <c r="I40" s="1705"/>
      <c r="J40" s="1692"/>
      <c r="K40" s="1727">
        <f>COUNTIF(B40:H40,"——")</f>
        <v>0</v>
      </c>
      <c r="L40" s="1697" t="s">
        <v>1981</v>
      </c>
      <c r="M40" s="1694" t="s">
        <v>1982</v>
      </c>
      <c r="N40" s="1694" t="s">
        <v>1983</v>
      </c>
      <c r="O40" s="1694" t="s">
        <v>1984</v>
      </c>
      <c r="P40" s="1694" t="s">
        <v>1985</v>
      </c>
      <c r="Q40" s="1694" t="s">
        <v>1986</v>
      </c>
      <c r="R40" s="1694" t="s">
        <v>1987</v>
      </c>
      <c r="S40" s="3265" t="s">
        <v>1988</v>
      </c>
      <c r="T40" s="1728" t="str">
        <f>NUMBERSTRING(7-K40,1)&amp;"通"</f>
        <v>七通</v>
      </c>
      <c r="U40" s="1692"/>
    </row>
    <row r="41" spans="1:21" ht="28.5">
      <c r="A41" s="1661"/>
      <c r="B41" s="3298" t="s">
        <v>1723</v>
      </c>
      <c r="C41" s="3298"/>
      <c r="D41" s="3298"/>
      <c r="E41" s="3298"/>
      <c r="F41" s="1729" t="str">
        <f>C10</f>
        <v>四川省峨眉山市</v>
      </c>
      <c r="G41" s="1692"/>
      <c r="H41" s="1692"/>
      <c r="I41" s="1705"/>
      <c r="J41" s="1692"/>
      <c r="K41" s="1697"/>
      <c r="L41" s="1694"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v>
      </c>
      <c r="R41" s="1731" t="str">
        <f>B40&amp;"、"&amp;C40&amp;"、"&amp;D40&amp;"、"&amp;E40&amp;"、"&amp;F40&amp;"、"&amp;G40&amp;"、"&amp;H40</f>
        <v>通路、通电、通讯、通上水、通下水、、</v>
      </c>
      <c r="S41" s="3265"/>
      <c r="T41" s="1730" t="str">
        <f>IF(T40="一通",L41,IF(T40="二通",M41,IF(T40="三通",N41,IF(T40="四通",O41,IF(T40="五通",P41,IF(T40="六通",Q41,R41))))))</f>
        <v>通路、通电、通讯、通上水、通下水、、</v>
      </c>
      <c r="U41" s="1692"/>
    </row>
    <row r="42" spans="1:21">
      <c r="A42" s="1732"/>
      <c r="B42" s="1763" t="s">
        <v>1899</v>
      </c>
      <c r="C42" s="1763" t="s">
        <v>1900</v>
      </c>
      <c r="D42" s="1763" t="s">
        <v>1901</v>
      </c>
      <c r="E42" s="1697" t="s">
        <v>1902</v>
      </c>
      <c r="F42" s="1733"/>
      <c r="G42" s="1692"/>
      <c r="H42" s="1692"/>
      <c r="I42" s="1705"/>
      <c r="J42" s="1692"/>
      <c r="K42" s="1771"/>
      <c r="L42" s="1720"/>
      <c r="M42" s="1720"/>
      <c r="N42" s="1692"/>
      <c r="O42" s="1693"/>
      <c r="P42" s="1692"/>
      <c r="Q42" s="1692"/>
      <c r="R42" s="1692"/>
      <c r="S42" s="1692"/>
      <c r="T42" s="1692"/>
      <c r="U42" s="1692"/>
    </row>
    <row r="43" spans="1:21">
      <c r="A43" s="1734" t="s">
        <v>1708</v>
      </c>
      <c r="B43" s="1735"/>
      <c r="C43" s="1735"/>
      <c r="D43" s="1735"/>
      <c r="E43" s="1735"/>
      <c r="F43" s="1736"/>
      <c r="G43" s="1692"/>
      <c r="H43" s="1692"/>
      <c r="I43" s="1705"/>
      <c r="J43" s="1692"/>
      <c r="K43" s="1771"/>
      <c r="L43" s="1720"/>
      <c r="M43" s="1720"/>
      <c r="N43" s="1692"/>
      <c r="O43" s="1693"/>
      <c r="P43" s="1692"/>
      <c r="Q43" s="1692"/>
      <c r="R43" s="1692"/>
      <c r="S43" s="1692"/>
      <c r="T43" s="1692"/>
      <c r="U43" s="1692"/>
    </row>
    <row r="44" spans="1:21">
      <c r="A44" s="1734" t="s">
        <v>1709</v>
      </c>
      <c r="B44" s="1735"/>
      <c r="C44" s="1735"/>
      <c r="D44" s="1735"/>
      <c r="E44" s="1789"/>
      <c r="F44" s="1736"/>
      <c r="G44" s="1692"/>
      <c r="H44" s="1692"/>
      <c r="I44" s="1705"/>
      <c r="J44" s="1692"/>
      <c r="K44" s="1771"/>
      <c r="L44" s="1720"/>
      <c r="M44" s="1720"/>
      <c r="N44" s="1692"/>
      <c r="O44" s="1693"/>
      <c r="P44" s="1692"/>
      <c r="Q44" s="1692"/>
      <c r="R44" s="1692"/>
      <c r="S44" s="1692"/>
      <c r="T44" s="1692"/>
      <c r="U44" s="1692"/>
    </row>
    <row r="45" spans="1:21" s="3096" customFormat="1" ht="21" thickBot="1">
      <c r="A45" s="3097" t="s">
        <v>2894</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1"/>
      <c r="L46" s="1720"/>
      <c r="M46" s="1720"/>
      <c r="N46" s="1692"/>
      <c r="O46" s="1693"/>
      <c r="P46" s="1692"/>
      <c r="Q46" s="1692"/>
      <c r="R46" s="1692"/>
      <c r="S46" s="1692"/>
      <c r="T46" s="1692"/>
      <c r="U46" s="1692"/>
    </row>
    <row r="47" spans="1:21">
      <c r="A47" s="1737" t="s">
        <v>2008</v>
      </c>
      <c r="B47" s="1738"/>
      <c r="C47" s="1726"/>
      <c r="D47" s="1692"/>
      <c r="E47" s="1692"/>
      <c r="F47" s="1692"/>
      <c r="G47" s="1692"/>
      <c r="H47" s="1692"/>
      <c r="I47" s="1693"/>
      <c r="J47" s="1692"/>
      <c r="K47" s="1771"/>
      <c r="L47" s="1720"/>
      <c r="M47" s="1720"/>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69" t="s">
        <v>2018</v>
      </c>
      <c r="K48" s="1763" t="s">
        <v>2019</v>
      </c>
      <c r="L48" s="1763" t="s">
        <v>2020</v>
      </c>
      <c r="M48" s="1763" t="s">
        <v>2021</v>
      </c>
      <c r="N48" s="1684" t="s">
        <v>2022</v>
      </c>
      <c r="O48" s="1684" t="s">
        <v>2023</v>
      </c>
      <c r="P48" s="1684" t="s">
        <v>2024</v>
      </c>
      <c r="Q48" s="1697" t="s">
        <v>2025</v>
      </c>
      <c r="R48" s="1697" t="s">
        <v>2026</v>
      </c>
      <c r="S48" s="1692"/>
      <c r="T48" s="1692"/>
      <c r="U48" s="1692"/>
    </row>
    <row r="49" spans="1:21">
      <c r="A49" s="1694"/>
      <c r="B49" s="1727"/>
      <c r="C49" s="1727"/>
      <c r="D49" s="1727"/>
      <c r="E49" s="1727"/>
      <c r="F49" s="1727"/>
      <c r="G49" s="1727"/>
      <c r="H49" s="1727"/>
      <c r="I49" s="1727"/>
      <c r="J49" s="1836"/>
      <c r="K49" s="1837"/>
      <c r="L49" s="1837"/>
      <c r="M49" s="1727"/>
      <c r="N49" s="1727"/>
      <c r="O49" s="1727"/>
      <c r="P49" s="1727"/>
      <c r="Q49" s="1727"/>
      <c r="R49" s="1727"/>
      <c r="S49" s="1692"/>
      <c r="T49" s="1692"/>
      <c r="U49" s="1692"/>
    </row>
    <row r="50" spans="1:21">
      <c r="A50" s="1694"/>
      <c r="B50" s="1694"/>
      <c r="C50" s="1727"/>
      <c r="D50" s="1727"/>
      <c r="E50" s="1727"/>
      <c r="F50" s="1727"/>
      <c r="G50" s="1727"/>
      <c r="H50" s="1727"/>
      <c r="I50" s="1727"/>
      <c r="J50" s="1836"/>
      <c r="K50" s="1837"/>
      <c r="L50" s="1837"/>
      <c r="M50" s="1727"/>
      <c r="N50" s="1727"/>
      <c r="O50" s="1727"/>
      <c r="P50" s="1727"/>
      <c r="Q50" s="1727"/>
      <c r="R50" s="1727"/>
      <c r="S50" s="1692"/>
      <c r="T50" s="1692"/>
      <c r="U50" s="1692"/>
    </row>
    <row r="51" spans="1:21">
      <c r="A51" s="1694"/>
      <c r="B51" s="1694"/>
      <c r="C51" s="1727"/>
      <c r="D51" s="1727"/>
      <c r="E51" s="1727"/>
      <c r="F51" s="1727"/>
      <c r="G51" s="1727"/>
      <c r="H51" s="1727"/>
      <c r="I51" s="1727"/>
      <c r="J51" s="1836"/>
      <c r="K51" s="1837"/>
      <c r="L51" s="1837"/>
      <c r="M51" s="1727"/>
      <c r="N51" s="1727"/>
      <c r="O51" s="1727"/>
      <c r="P51" s="1727"/>
      <c r="Q51" s="1727"/>
      <c r="R51" s="1727"/>
      <c r="S51" s="1692"/>
      <c r="T51" s="1692"/>
      <c r="U51" s="1692"/>
    </row>
    <row r="52" spans="1:21">
      <c r="A52" s="1694"/>
      <c r="B52" s="1694"/>
      <c r="C52" s="1727"/>
      <c r="D52" s="1727"/>
      <c r="E52" s="1727"/>
      <c r="F52" s="1727"/>
      <c r="G52" s="1727"/>
      <c r="H52" s="1727"/>
      <c r="I52" s="1727"/>
      <c r="J52" s="1836"/>
      <c r="K52" s="1837"/>
      <c r="L52" s="1837"/>
      <c r="M52" s="1727"/>
      <c r="N52" s="1727"/>
      <c r="O52" s="1727"/>
      <c r="P52" s="1727"/>
      <c r="Q52" s="1727"/>
      <c r="R52" s="1727"/>
      <c r="S52" s="1692"/>
      <c r="T52" s="1692"/>
      <c r="U52" s="1692"/>
    </row>
    <row r="53" spans="1:21">
      <c r="A53" s="1694"/>
      <c r="B53" s="1694"/>
      <c r="C53" s="1727"/>
      <c r="D53" s="1727"/>
      <c r="E53" s="1727"/>
      <c r="F53" s="1727"/>
      <c r="G53" s="1727"/>
      <c r="H53" s="1727"/>
      <c r="I53" s="1727"/>
      <c r="J53" s="1836"/>
      <c r="K53" s="1837"/>
      <c r="L53" s="1837"/>
      <c r="M53" s="1727"/>
      <c r="N53" s="1727"/>
      <c r="O53" s="1727"/>
      <c r="P53" s="1727"/>
      <c r="Q53" s="1727"/>
      <c r="R53" s="1727"/>
      <c r="S53" s="1692"/>
      <c r="T53" s="1692"/>
      <c r="U53" s="1692"/>
    </row>
    <row r="54" spans="1:21">
      <c r="A54" s="1694"/>
      <c r="B54" s="1694"/>
      <c r="C54" s="1694"/>
      <c r="D54" s="1694"/>
      <c r="E54" s="1694"/>
      <c r="F54" s="1727"/>
      <c r="G54" s="1694"/>
      <c r="H54" s="1694"/>
      <c r="I54" s="1694"/>
      <c r="J54" s="1838"/>
      <c r="K54" s="1837"/>
      <c r="L54" s="1837"/>
      <c r="M54" s="1837"/>
      <c r="N54" s="1694"/>
      <c r="O54" s="1694"/>
      <c r="P54" s="1694"/>
      <c r="Q54" s="1694"/>
      <c r="R54" s="1694"/>
      <c r="S54" s="1692"/>
      <c r="T54" s="1692"/>
      <c r="U54" s="1692"/>
    </row>
    <row r="55" spans="1:21">
      <c r="A55" s="1694"/>
      <c r="B55" s="1694"/>
      <c r="C55" s="1694"/>
      <c r="D55" s="1694"/>
      <c r="E55" s="1694"/>
      <c r="F55" s="1727"/>
      <c r="G55" s="1694"/>
      <c r="H55" s="1694"/>
      <c r="I55" s="1694"/>
      <c r="J55" s="1838"/>
      <c r="K55" s="1837"/>
      <c r="L55" s="1837"/>
      <c r="M55" s="1837"/>
      <c r="N55" s="1694"/>
      <c r="O55" s="1694"/>
      <c r="P55" s="1694"/>
      <c r="Q55" s="1694"/>
      <c r="R55" s="1694"/>
      <c r="S55" s="1692"/>
      <c r="T55" s="1692"/>
      <c r="U55" s="1692"/>
    </row>
    <row r="56" spans="1:21">
      <c r="A56" s="1694"/>
      <c r="B56" s="1694"/>
      <c r="C56" s="1694"/>
      <c r="D56" s="1694"/>
      <c r="E56" s="1694"/>
      <c r="F56" s="1727"/>
      <c r="G56" s="1694"/>
      <c r="H56" s="1694"/>
      <c r="I56" s="1694"/>
      <c r="J56" s="1838"/>
      <c r="K56" s="1837"/>
      <c r="L56" s="1837"/>
      <c r="M56" s="1837"/>
      <c r="N56" s="1694"/>
      <c r="O56" s="1694"/>
      <c r="P56" s="1694"/>
      <c r="Q56" s="1694"/>
      <c r="R56" s="1694"/>
      <c r="S56" s="1692"/>
      <c r="T56" s="1692"/>
      <c r="U56" s="1692"/>
    </row>
    <row r="57" spans="1:21">
      <c r="A57" s="1694"/>
      <c r="B57" s="1694"/>
      <c r="C57" s="1694"/>
      <c r="D57" s="1694"/>
      <c r="E57" s="1694"/>
      <c r="F57" s="1727"/>
      <c r="G57" s="1694"/>
      <c r="H57" s="1694"/>
      <c r="I57" s="1694"/>
      <c r="J57" s="1838"/>
      <c r="K57" s="1837"/>
      <c r="L57" s="1837"/>
      <c r="M57" s="1837"/>
      <c r="N57" s="1694"/>
      <c r="O57" s="1694"/>
      <c r="P57" s="1694"/>
      <c r="Q57" s="1694"/>
      <c r="R57" s="1694"/>
      <c r="S57" s="1692"/>
      <c r="T57" s="1692"/>
      <c r="U57" s="1692"/>
    </row>
    <row r="58" spans="1:21">
      <c r="A58" s="1694"/>
      <c r="B58" s="1694"/>
      <c r="C58" s="1694"/>
      <c r="D58" s="1694"/>
      <c r="E58" s="1694"/>
      <c r="F58" s="1727"/>
      <c r="G58" s="1694"/>
      <c r="H58" s="1694"/>
      <c r="I58" s="1694"/>
      <c r="J58" s="1838"/>
      <c r="K58" s="1837"/>
      <c r="L58" s="1837"/>
      <c r="M58" s="1837"/>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O13" sqref="O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hidden="1" customWidth="1"/>
    <col min="10" max="10" width="9.5" style="15" hidden="1" customWidth="1"/>
    <col min="11" max="11" width="11" style="15" customWidth="1"/>
    <col min="12" max="12" width="9.5" style="15" customWidth="1"/>
    <col min="13" max="14" width="9.5" style="15" hidden="1"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hidden="1" customWidth="1"/>
    <col min="30" max="30" width="10" style="15" hidden="1" customWidth="1"/>
    <col min="31" max="31" width="9.75" style="15" hidden="1" customWidth="1"/>
    <col min="32"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7" t="s">
        <v>2334</v>
      </c>
      <c r="BA2" s="2358"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Sheet1!J29</f>
        <v>87492</v>
      </c>
      <c r="B3" s="22">
        <f>IF(C3="否",G5-AT5,G5)</f>
        <v>104990.39999999999</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104990.39999999999</v>
      </c>
      <c r="H5" s="27">
        <f t="shared" ref="H5:AT5" si="0">SUM(H13:H641)</f>
        <v>104990.39999999999</v>
      </c>
      <c r="I5" s="27">
        <f t="shared" si="0"/>
        <v>0</v>
      </c>
      <c r="J5" s="27">
        <f t="shared" si="0"/>
        <v>0</v>
      </c>
      <c r="K5" s="27">
        <f t="shared" si="0"/>
        <v>5249.5199999999895</v>
      </c>
      <c r="L5" s="27">
        <f t="shared" si="0"/>
        <v>0</v>
      </c>
      <c r="M5" s="27">
        <f t="shared" si="0"/>
        <v>0</v>
      </c>
      <c r="N5" s="27">
        <f t="shared" si="0"/>
        <v>0</v>
      </c>
      <c r="O5" s="27">
        <f t="shared" si="0"/>
        <v>99740.88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104990.39999999999</v>
      </c>
      <c r="BA5" s="29">
        <f t="shared" si="1"/>
        <v>104990.39999999999</v>
      </c>
      <c r="BB5" s="29">
        <f t="shared" si="1"/>
        <v>0</v>
      </c>
      <c r="BC5" s="29">
        <f t="shared" si="1"/>
        <v>5249.5199999999895</v>
      </c>
      <c r="BD5" s="29">
        <f t="shared" si="1"/>
        <v>0</v>
      </c>
      <c r="BE5" s="29">
        <f t="shared" si="1"/>
        <v>99740.88</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87492</v>
      </c>
      <c r="F6" s="27" t="s">
        <v>1</v>
      </c>
      <c r="G6" s="27" t="s">
        <v>2</v>
      </c>
      <c r="H6" s="33">
        <f>SUMIF(I$12:AB$12,"总值",I6:AB6)</f>
        <v>87492</v>
      </c>
      <c r="I6" s="27">
        <f t="shared" ref="I6:AB6" si="2">ROUND($A$3*I5/$B$3,2)</f>
        <v>0</v>
      </c>
      <c r="J6" s="27">
        <f t="shared" si="2"/>
        <v>0</v>
      </c>
      <c r="K6" s="27">
        <f t="shared" si="2"/>
        <v>4374.6000000000004</v>
      </c>
      <c r="L6" s="27">
        <f t="shared" si="2"/>
        <v>0</v>
      </c>
      <c r="M6" s="27">
        <f t="shared" si="2"/>
        <v>0</v>
      </c>
      <c r="N6" s="27">
        <f t="shared" si="2"/>
        <v>0</v>
      </c>
      <c r="O6" s="27">
        <f t="shared" si="2"/>
        <v>83117.399999999994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87492</v>
      </c>
      <c r="AZ6" s="27" t="s">
        <v>3</v>
      </c>
      <c r="BA6" s="27">
        <f>ROUND($AY$6*BA5/$AZ$5,2)</f>
        <v>87492</v>
      </c>
      <c r="BB6" s="27">
        <f>ROUND($AY$6*BB5/$AZ$5,2)</f>
        <v>0</v>
      </c>
      <c r="BC6" s="27">
        <f t="shared" ref="BC6:BH6" si="4">ROUND($AY$6*BC5/$AZ$5,2)</f>
        <v>4374.6000000000004</v>
      </c>
      <c r="BD6" s="27">
        <f t="shared" si="4"/>
        <v>0</v>
      </c>
      <c r="BE6" s="27">
        <f t="shared" si="4"/>
        <v>83117.399999999994</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3129</v>
      </c>
      <c r="J9" s="51"/>
      <c r="K9" s="3042" t="s">
        <v>3129</v>
      </c>
      <c r="L9" s="51"/>
      <c r="M9" s="3042" t="s">
        <v>3129</v>
      </c>
      <c r="N9" s="51"/>
      <c r="O9" s="59" t="s">
        <v>3129</v>
      </c>
      <c r="P9" s="51"/>
      <c r="Q9" s="59" t="s">
        <v>3129</v>
      </c>
      <c r="R9" s="51"/>
      <c r="S9" s="59" t="s">
        <v>3129</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924</v>
      </c>
      <c r="J10" s="51"/>
      <c r="K10" s="3044" t="s">
        <v>3115</v>
      </c>
      <c r="L10" s="51"/>
      <c r="M10" s="3044" t="s">
        <v>924</v>
      </c>
      <c r="N10" s="51"/>
      <c r="O10" s="66" t="s">
        <v>924</v>
      </c>
      <c r="P10" s="51"/>
      <c r="Q10" s="66" t="s">
        <v>924</v>
      </c>
      <c r="R10" s="51"/>
      <c r="S10" s="66" t="s">
        <v>924</v>
      </c>
      <c r="T10" s="51"/>
      <c r="U10" s="66"/>
      <c r="V10" s="51"/>
      <c r="W10" s="66"/>
      <c r="X10" s="51"/>
      <c r="Y10" s="66"/>
      <c r="Z10" s="51"/>
      <c r="AA10" s="66"/>
      <c r="AB10" s="51"/>
      <c r="AC10" s="55"/>
      <c r="AD10" s="2311" t="s">
        <v>2319</v>
      </c>
      <c r="AE10" s="2333"/>
      <c r="AF10" s="2311" t="s">
        <v>2319</v>
      </c>
      <c r="AG10" s="2333"/>
      <c r="AH10" s="2311" t="s">
        <v>2320</v>
      </c>
      <c r="AI10" s="2333"/>
      <c r="AJ10" s="26" t="s">
        <v>2332</v>
      </c>
      <c r="AK10" s="2330"/>
      <c r="AL10" s="2311" t="s">
        <v>2321</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地上</v>
      </c>
      <c r="BF10" s="69" t="str">
        <f>Q9</f>
        <v>地上</v>
      </c>
      <c r="BG10" s="69" t="str">
        <f>S9</f>
        <v>地上</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t="s">
        <v>3133</v>
      </c>
      <c r="J11" s="71"/>
      <c r="K11" s="3043" t="s">
        <v>3130</v>
      </c>
      <c r="L11" s="71"/>
      <c r="M11" s="70" t="s">
        <v>3132</v>
      </c>
      <c r="N11" s="71"/>
      <c r="O11" s="70" t="s">
        <v>3134</v>
      </c>
      <c r="P11" s="71"/>
      <c r="Q11" s="70" t="s">
        <v>3135</v>
      </c>
      <c r="R11" s="71"/>
      <c r="S11" s="70" t="s">
        <v>3238</v>
      </c>
      <c r="T11" s="71"/>
      <c r="U11" s="70"/>
      <c r="V11" s="71"/>
      <c r="W11" s="70"/>
      <c r="X11" s="71"/>
      <c r="Y11" s="70"/>
      <c r="Z11" s="71"/>
      <c r="AA11" s="70"/>
      <c r="AB11" s="71"/>
      <c r="AC11" s="55"/>
      <c r="AD11" s="2331" t="s">
        <v>2331</v>
      </c>
      <c r="AE11" s="1001"/>
      <c r="AF11" s="2331" t="s">
        <v>2331</v>
      </c>
      <c r="AG11" s="1001"/>
      <c r="AH11" s="2331" t="s">
        <v>2330</v>
      </c>
      <c r="AI11" s="2332"/>
      <c r="AJ11" s="2331" t="s">
        <v>2330</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t="str">
        <f>O10</f>
        <v>住宅</v>
      </c>
      <c r="BF11" s="50" t="str">
        <f>Q10</f>
        <v>住宅</v>
      </c>
      <c r="BG11" s="50" t="str">
        <f>S10</f>
        <v>住宅</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底商</v>
      </c>
      <c r="BD12" s="79" t="str">
        <f>M11</f>
        <v>普通住宅</v>
      </c>
      <c r="BE12" s="50" t="str">
        <f>O11</f>
        <v>联排</v>
      </c>
      <c r="BF12" s="50" t="str">
        <f>Q11</f>
        <v>独栋</v>
      </c>
      <c r="BG12" s="50" t="str">
        <f>S11</f>
        <v>叠拼</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c r="D13" s="3038" t="s">
        <v>1680</v>
      </c>
      <c r="E13" s="27">
        <f t="shared" ref="E13:E20" si="6">IF($C$3="是",ROUND($A$3*G13/$B$3,2),ROUND($A$3*(G13-AT13)/$B$3,2))</f>
        <v>87492</v>
      </c>
      <c r="F13" s="81"/>
      <c r="G13" s="82">
        <f t="shared" ref="G13:G20" si="7">H13+AC13+AT13</f>
        <v>104990.39999999999</v>
      </c>
      <c r="H13" s="33">
        <f t="shared" ref="H13:H20" si="8">SUMIF(I$12:AB$12,"总值",I13:AB13)</f>
        <v>104990.39999999999</v>
      </c>
      <c r="I13" s="3041"/>
      <c r="J13" s="3041"/>
      <c r="K13" s="3041">
        <f>Sheet1!M29</f>
        <v>5249.5199999999895</v>
      </c>
      <c r="L13" s="3041"/>
      <c r="M13" s="3041"/>
      <c r="N13" s="83"/>
      <c r="O13" s="83">
        <f>Sheet1!L29</f>
        <v>99740.88</v>
      </c>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f t="shared" si="10"/>
        <v>0</v>
      </c>
      <c r="AY13" s="995">
        <f t="shared" ref="AY13:AY20" si="11">ROUND($AY$6*AZ13/$AZ$5,2)</f>
        <v>87492</v>
      </c>
      <c r="AZ13" s="27">
        <f t="shared" ref="AZ13:AZ20" si="12">BA13+BL13</f>
        <v>104990.39999999999</v>
      </c>
      <c r="BA13" s="27">
        <f t="shared" ref="BA13:BA20" si="13">SUM(BB13:BK13)</f>
        <v>104990.39999999999</v>
      </c>
      <c r="BB13" s="27">
        <f t="shared" ref="BB13:BB20" si="14">IF($D13="是",I13-J13,0)</f>
        <v>0</v>
      </c>
      <c r="BC13" s="27">
        <f t="shared" ref="BC13:BC20" si="15">IF($D13="是",K13-L13,0)</f>
        <v>5249.5199999999895</v>
      </c>
      <c r="BD13" s="27">
        <f t="shared" ref="BD13:BD20" si="16">IF($D13="是",M13-N13,0)</f>
        <v>0</v>
      </c>
      <c r="BE13" s="27">
        <f t="shared" ref="BE13:BE20" si="17">IF($D13="是",O13-P13,0)</f>
        <v>99740.88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5"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6" t="s">
        <v>0</v>
      </c>
      <c r="B1" s="3306" t="s">
        <v>4</v>
      </c>
      <c r="C1" s="3306" t="s">
        <v>5</v>
      </c>
      <c r="D1" s="3307" t="s">
        <v>40</v>
      </c>
      <c r="E1" s="3307" t="s">
        <v>41</v>
      </c>
      <c r="F1" s="3307"/>
      <c r="G1" s="3307"/>
      <c r="H1" s="3307"/>
      <c r="I1" s="3307"/>
      <c r="J1" s="3307"/>
      <c r="K1" s="3307"/>
      <c r="L1" s="3307"/>
      <c r="M1" s="3307"/>
    </row>
    <row r="2" spans="1:13" ht="27" customHeight="1">
      <c r="A2" s="3306"/>
      <c r="B2" s="3306"/>
      <c r="C2" s="3306"/>
      <c r="D2" s="3307"/>
      <c r="E2" s="3307" t="s">
        <v>24</v>
      </c>
      <c r="F2" s="3307" t="s">
        <v>25</v>
      </c>
      <c r="G2" s="3307"/>
      <c r="H2" s="3307"/>
      <c r="I2" s="3307"/>
      <c r="J2" s="3307" t="s">
        <v>26</v>
      </c>
      <c r="K2" s="3307"/>
      <c r="L2" s="3307"/>
      <c r="M2" s="3307"/>
    </row>
    <row r="3" spans="1:13" ht="28.5">
      <c r="A3" s="3306"/>
      <c r="B3" s="3306"/>
      <c r="C3" s="3306"/>
      <c r="D3" s="3307"/>
      <c r="E3" s="330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7" t="s">
        <v>42</v>
      </c>
      <c r="B9" s="3307"/>
      <c r="C9" s="330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317" t="s">
        <v>203</v>
      </c>
      <c r="B2" s="3317"/>
      <c r="C2" s="3317"/>
      <c r="D2" s="1972" t="s">
        <v>204</v>
      </c>
      <c r="E2" s="106" t="s">
        <v>205</v>
      </c>
      <c r="F2" s="1981"/>
      <c r="G2" s="1197"/>
      <c r="H2" s="1198"/>
      <c r="I2" s="1199" t="s">
        <v>858</v>
      </c>
      <c r="J2" s="1981"/>
      <c r="K2" s="1981"/>
      <c r="L2" s="1981"/>
    </row>
    <row r="3" spans="1:16" ht="15.75" thickBot="1">
      <c r="A3" s="3318" t="s">
        <v>206</v>
      </c>
      <c r="B3" s="3318"/>
      <c r="C3" s="3318"/>
      <c r="D3" s="107">
        <f>'数据-基础表'!AY6</f>
        <v>87492</v>
      </c>
      <c r="E3" s="107">
        <f>'数据-基础表'!AZ5</f>
        <v>104990.39999999999</v>
      </c>
      <c r="F3" s="1981"/>
      <c r="G3" s="279" t="s">
        <v>859</v>
      </c>
      <c r="H3" s="274" t="s">
        <v>860</v>
      </c>
      <c r="I3" s="1973">
        <f>ROUND('数据-基础表'!B3/'数据-基础表'!A3,2)</f>
        <v>1.2</v>
      </c>
      <c r="J3" s="1981"/>
      <c r="K3" s="1981"/>
      <c r="L3" s="1981"/>
    </row>
    <row r="4" spans="1:16" ht="15">
      <c r="A4" s="3319"/>
      <c r="B4" s="3320"/>
      <c r="C4" s="3321"/>
      <c r="D4" s="108" t="s">
        <v>204</v>
      </c>
      <c r="E4" s="109" t="s">
        <v>205</v>
      </c>
      <c r="F4" s="1981"/>
      <c r="G4" s="1200"/>
      <c r="H4" s="274" t="s">
        <v>861</v>
      </c>
      <c r="I4" s="1973">
        <f>ROUND(SUMIF('数据-基础表'!I9:AS9,"地上",'数据-基础表'!I5:AS5)/'数据-基础表'!A3,2)</f>
        <v>1.2</v>
      </c>
      <c r="J4" s="1981"/>
      <c r="K4" s="1981"/>
      <c r="L4" s="1981"/>
    </row>
    <row r="5" spans="1:16">
      <c r="A5" s="110" t="s">
        <v>207</v>
      </c>
      <c r="B5" s="3322" t="s">
        <v>230</v>
      </c>
      <c r="C5" s="3322"/>
      <c r="D5" s="111">
        <f>ROUND($D$3*E5/$E$3,2)</f>
        <v>83117.399999999994</v>
      </c>
      <c r="E5" s="112">
        <f>SUMIF('数据-基础表'!$11:$11,"住宅",'数据-基础表'!$5:$5)</f>
        <v>99740.88</v>
      </c>
      <c r="F5" s="1981"/>
      <c r="G5" s="279" t="s">
        <v>862</v>
      </c>
      <c r="H5" s="274" t="s">
        <v>860</v>
      </c>
      <c r="I5" s="1973">
        <f>ROUND(E31/D31,2)</f>
        <v>1.2</v>
      </c>
      <c r="J5" s="1981"/>
      <c r="K5" s="1981"/>
      <c r="L5" s="1981"/>
    </row>
    <row r="6" spans="1:16" ht="15" thickBot="1">
      <c r="A6" s="113"/>
      <c r="B6" s="3322" t="s">
        <v>208</v>
      </c>
      <c r="C6" s="3322"/>
      <c r="D6" s="111">
        <f>ROUND($D$3*E6/$E$3,2)</f>
        <v>4374.6000000000004</v>
      </c>
      <c r="E6" s="112">
        <f>E3-E5</f>
        <v>5249.5199999999895</v>
      </c>
      <c r="F6" s="1981"/>
      <c r="G6" s="1200"/>
      <c r="H6" s="274" t="s">
        <v>861</v>
      </c>
      <c r="I6" s="1973">
        <f>ROUND(F31/D31,2)</f>
        <v>1.2</v>
      </c>
      <c r="J6" s="1981"/>
      <c r="K6" s="1981"/>
      <c r="L6" s="1981"/>
    </row>
    <row r="7" spans="1:16" ht="15">
      <c r="A7" s="3314"/>
      <c r="B7" s="3315"/>
      <c r="C7" s="3316"/>
      <c r="D7" s="108" t="s">
        <v>204</v>
      </c>
      <c r="E7" s="114" t="s">
        <v>231</v>
      </c>
      <c r="F7" s="1981"/>
      <c r="G7" s="1155" t="s">
        <v>1647</v>
      </c>
      <c r="H7" s="1156"/>
      <c r="I7" s="3217">
        <f>I6</f>
        <v>1.2</v>
      </c>
      <c r="J7" s="1981"/>
      <c r="K7" s="1981"/>
      <c r="L7" s="1981"/>
    </row>
    <row r="8" spans="1:16">
      <c r="A8" s="110" t="s">
        <v>209</v>
      </c>
      <c r="B8" s="115" t="s">
        <v>210</v>
      </c>
      <c r="C8" s="111" t="s">
        <v>211</v>
      </c>
      <c r="D8" s="111">
        <f t="shared" ref="D8:D15" si="0">ROUND($D$3*E8/$E$3,2)</f>
        <v>87492</v>
      </c>
      <c r="E8" s="116">
        <f>SUMIF('数据-基础表'!BB10:BK10,"地上",'数据-基础表'!BB5:BK5)</f>
        <v>104990.39999999999</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2335</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87492</v>
      </c>
      <c r="E16" s="120">
        <f>SUM(E8:E15)</f>
        <v>104990.39999999999</v>
      </c>
      <c r="F16" s="1981"/>
      <c r="G16" s="1983"/>
      <c r="H16" s="967" t="s">
        <v>219</v>
      </c>
      <c r="I16" s="968"/>
      <c r="J16" s="1981"/>
      <c r="K16" s="3308" t="s">
        <v>2569</v>
      </c>
      <c r="L16" s="3309"/>
      <c r="M16" s="3309"/>
      <c r="N16" s="3309"/>
      <c r="O16" s="3309"/>
      <c r="P16" s="3310"/>
    </row>
    <row r="17" spans="1:19" ht="15">
      <c r="A17" s="121" t="s">
        <v>216</v>
      </c>
      <c r="B17" s="122" t="s">
        <v>217</v>
      </c>
      <c r="C17" s="2295" t="s">
        <v>2315</v>
      </c>
      <c r="D17" s="108" t="s">
        <v>204</v>
      </c>
      <c r="E17" s="124" t="s">
        <v>205</v>
      </c>
      <c r="F17" s="125"/>
      <c r="G17" s="1364"/>
      <c r="H17" s="969" t="s">
        <v>218</v>
      </c>
      <c r="I17" s="970" t="s">
        <v>2314</v>
      </c>
      <c r="J17" s="1981"/>
      <c r="K17" s="3311" t="s">
        <v>2570</v>
      </c>
      <c r="L17" s="3312"/>
      <c r="M17" s="3313"/>
      <c r="N17" s="3311" t="s">
        <v>2571</v>
      </c>
      <c r="O17" s="3312"/>
      <c r="P17" s="3313"/>
      <c r="R17" s="2296" t="s">
        <v>2313</v>
      </c>
      <c r="S17" s="144"/>
    </row>
    <row r="18" spans="1:19" ht="15">
      <c r="A18" s="117"/>
      <c r="B18" s="128"/>
      <c r="C18" s="129"/>
      <c r="D18" s="2664"/>
      <c r="E18" s="130" t="s">
        <v>220</v>
      </c>
      <c r="F18" s="131" t="s">
        <v>221</v>
      </c>
      <c r="G18" s="1365" t="s">
        <v>222</v>
      </c>
      <c r="H18" s="971" t="s">
        <v>223</v>
      </c>
      <c r="I18" s="972" t="s">
        <v>224</v>
      </c>
      <c r="J18" s="1981"/>
      <c r="K18" s="2626" t="s">
        <v>2572</v>
      </c>
      <c r="L18" s="2627" t="s">
        <v>2573</v>
      </c>
      <c r="M18" s="2628" t="s">
        <v>2574</v>
      </c>
      <c r="N18" s="2626" t="s">
        <v>2572</v>
      </c>
      <c r="O18" s="2627" t="s">
        <v>2573</v>
      </c>
      <c r="P18" s="2628" t="s">
        <v>2574</v>
      </c>
      <c r="R18" s="2297" t="s">
        <v>2311</v>
      </c>
      <c r="S18" s="2297" t="s">
        <v>2312</v>
      </c>
    </row>
    <row r="19" spans="1:19">
      <c r="A19" s="133"/>
      <c r="B19" s="115" t="s">
        <v>225</v>
      </c>
      <c r="C19" s="3048" t="s">
        <v>3136</v>
      </c>
      <c r="D19" s="111">
        <f t="shared" ref="D19:D26" si="1">ROUND($D$3*E19/$E$3,2)</f>
        <v>0</v>
      </c>
      <c r="E19" s="134">
        <f t="shared" ref="E19:E26" si="2">SUM(F19:G19)</f>
        <v>0</v>
      </c>
      <c r="F19" s="135"/>
      <c r="G19" s="1366"/>
      <c r="H19" s="973">
        <f>ROUND($D$3*I19/$E$3,2)</f>
        <v>0</v>
      </c>
      <c r="I19" s="116">
        <f>IF($I$17="自定义",P19,M19)</f>
        <v>0</v>
      </c>
      <c r="J19" s="1981"/>
      <c r="K19" s="2629">
        <f t="shared" ref="K19:K26" si="3">ROUND(E$28*E19/E$27,2)</f>
        <v>0</v>
      </c>
      <c r="L19" s="274">
        <f t="shared" ref="L19:L26" si="4">ROUND(IF(COUNTIF(C19,"*住宅*")&gt;0,E$29*E19/E$32,0),2)</f>
        <v>0</v>
      </c>
      <c r="M19" s="2630">
        <f>K19+L19</f>
        <v>0</v>
      </c>
      <c r="N19" s="2631"/>
      <c r="O19" s="2632"/>
      <c r="P19" s="2633">
        <f>N19+O19</f>
        <v>0</v>
      </c>
      <c r="R19" s="274">
        <f t="shared" ref="R19:S26" si="5">D19+H19</f>
        <v>0</v>
      </c>
      <c r="S19" s="2298">
        <f t="shared" si="5"/>
        <v>0</v>
      </c>
    </row>
    <row r="20" spans="1:19">
      <c r="A20" s="138"/>
      <c r="B20" s="115" t="s">
        <v>226</v>
      </c>
      <c r="C20" s="3048" t="s">
        <v>3131</v>
      </c>
      <c r="D20" s="111">
        <f t="shared" si="1"/>
        <v>4374.6000000000004</v>
      </c>
      <c r="E20" s="134">
        <f t="shared" si="2"/>
        <v>5249.5199999999895</v>
      </c>
      <c r="F20" s="135">
        <f>'数据-基础表'!K13</f>
        <v>5249.5199999999895</v>
      </c>
      <c r="G20" s="1366"/>
      <c r="H20" s="973">
        <f t="shared" ref="H20:H26" si="6">ROUND($D$3*I20/$E$3,2)</f>
        <v>0</v>
      </c>
      <c r="I20" s="116">
        <f t="shared" ref="I20:I26" si="7">IF($I$17="自定义",P20,M20)</f>
        <v>0</v>
      </c>
      <c r="J20" s="1981"/>
      <c r="K20" s="2629">
        <f t="shared" si="3"/>
        <v>0</v>
      </c>
      <c r="L20" s="274">
        <f t="shared" si="4"/>
        <v>0</v>
      </c>
      <c r="M20" s="2630">
        <f t="shared" ref="M20:M26" si="8">K20+L20</f>
        <v>0</v>
      </c>
      <c r="N20" s="2631"/>
      <c r="O20" s="2632"/>
      <c r="P20" s="2633">
        <f t="shared" ref="P20:P26" si="9">N20+O20</f>
        <v>0</v>
      </c>
      <c r="R20" s="274">
        <f t="shared" si="5"/>
        <v>4374.6000000000004</v>
      </c>
      <c r="S20" s="2298">
        <f t="shared" si="5"/>
        <v>5249.5199999999895</v>
      </c>
    </row>
    <row r="21" spans="1:19">
      <c r="A21" s="138"/>
      <c r="B21" s="115" t="s">
        <v>226</v>
      </c>
      <c r="C21" s="3048" t="s">
        <v>3137</v>
      </c>
      <c r="D21" s="111">
        <f t="shared" si="1"/>
        <v>0</v>
      </c>
      <c r="E21" s="134">
        <f t="shared" si="2"/>
        <v>0</v>
      </c>
      <c r="F21" s="135"/>
      <c r="G21" s="1366"/>
      <c r="H21" s="973">
        <f t="shared" si="6"/>
        <v>0</v>
      </c>
      <c r="I21" s="116">
        <f t="shared" si="7"/>
        <v>0</v>
      </c>
      <c r="J21" s="1981"/>
      <c r="K21" s="2629">
        <f t="shared" si="3"/>
        <v>0</v>
      </c>
      <c r="L21" s="274">
        <f t="shared" si="4"/>
        <v>0</v>
      </c>
      <c r="M21" s="2630">
        <f t="shared" si="8"/>
        <v>0</v>
      </c>
      <c r="N21" s="2631"/>
      <c r="O21" s="2632"/>
      <c r="P21" s="2633">
        <f t="shared" si="9"/>
        <v>0</v>
      </c>
      <c r="R21" s="274">
        <f t="shared" si="5"/>
        <v>0</v>
      </c>
      <c r="S21" s="2298">
        <f t="shared" si="5"/>
        <v>0</v>
      </c>
    </row>
    <row r="22" spans="1:19">
      <c r="A22" s="138"/>
      <c r="B22" s="115" t="s">
        <v>226</v>
      </c>
      <c r="C22" s="3202" t="s">
        <v>3138</v>
      </c>
      <c r="D22" s="111">
        <f t="shared" si="1"/>
        <v>83117.399999999994</v>
      </c>
      <c r="E22" s="134">
        <f t="shared" si="2"/>
        <v>99740.88</v>
      </c>
      <c r="F22" s="140">
        <f>'数据-基础表'!O13</f>
        <v>99740.88</v>
      </c>
      <c r="G22" s="1367"/>
      <c r="H22" s="973">
        <f t="shared" si="6"/>
        <v>0</v>
      </c>
      <c r="I22" s="116">
        <f t="shared" si="7"/>
        <v>0</v>
      </c>
      <c r="J22" s="1981"/>
      <c r="K22" s="2629">
        <f t="shared" si="3"/>
        <v>0</v>
      </c>
      <c r="L22" s="274">
        <f t="shared" si="4"/>
        <v>0</v>
      </c>
      <c r="M22" s="2630">
        <f t="shared" si="8"/>
        <v>0</v>
      </c>
      <c r="N22" s="2631"/>
      <c r="O22" s="2632"/>
      <c r="P22" s="2633">
        <f t="shared" si="9"/>
        <v>0</v>
      </c>
      <c r="R22" s="274">
        <f t="shared" si="5"/>
        <v>83117.399999999994</v>
      </c>
      <c r="S22" s="2298">
        <f t="shared" si="5"/>
        <v>99740.88</v>
      </c>
    </row>
    <row r="23" spans="1:19">
      <c r="A23" s="138"/>
      <c r="B23" s="115" t="s">
        <v>226</v>
      </c>
      <c r="C23" s="3202" t="s">
        <v>3139</v>
      </c>
      <c r="D23" s="111">
        <f>ROUND($D$3*E23/$E$3,2)</f>
        <v>0</v>
      </c>
      <c r="E23" s="134">
        <f>SUM(F23:G23)</f>
        <v>0</v>
      </c>
      <c r="F23" s="140"/>
      <c r="G23" s="1367"/>
      <c r="H23" s="973">
        <f>ROUND($D$3*I23/$E$3,2)</f>
        <v>0</v>
      </c>
      <c r="I23" s="116">
        <f t="shared" si="7"/>
        <v>0</v>
      </c>
      <c r="J23" s="1981"/>
      <c r="K23" s="2629">
        <f t="shared" si="3"/>
        <v>0</v>
      </c>
      <c r="L23" s="274">
        <f t="shared" si="4"/>
        <v>0</v>
      </c>
      <c r="M23" s="2630">
        <f t="shared" si="8"/>
        <v>0</v>
      </c>
      <c r="N23" s="2631"/>
      <c r="O23" s="2632"/>
      <c r="P23" s="2633">
        <f t="shared" si="9"/>
        <v>0</v>
      </c>
      <c r="R23" s="274">
        <f t="shared" si="5"/>
        <v>0</v>
      </c>
      <c r="S23" s="2298">
        <f t="shared" si="5"/>
        <v>0</v>
      </c>
    </row>
    <row r="24" spans="1:19">
      <c r="A24" s="138"/>
      <c r="B24" s="115" t="s">
        <v>226</v>
      </c>
      <c r="C24" s="3202" t="s">
        <v>3239</v>
      </c>
      <c r="D24" s="111">
        <f>ROUND($D$3*E24/$E$3,2)</f>
        <v>0</v>
      </c>
      <c r="E24" s="134">
        <f>SUM(F24:G24)</f>
        <v>0</v>
      </c>
      <c r="F24" s="140"/>
      <c r="G24" s="1367"/>
      <c r="H24" s="973">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215</v>
      </c>
      <c r="D27" s="134">
        <f>SUM(D19:D26)</f>
        <v>87492</v>
      </c>
      <c r="E27" s="143">
        <f>IF(SUM(E19:E26)='数据-基础表'!BA5,SUM(E19:E26),IF(F27="地上面积有误","面积有误","地下面积有误"))</f>
        <v>104990.39999999999</v>
      </c>
      <c r="F27" s="134">
        <f>IF(SUM(F19:F26)=E8,SUM(F19:F26),"地上面积有误")</f>
        <v>104990.39999999999</v>
      </c>
      <c r="G27" s="112">
        <f>SUM(G19:G26)</f>
        <v>0</v>
      </c>
      <c r="H27" s="974">
        <f>SUM(H19:H26)</f>
        <v>0</v>
      </c>
      <c r="I27" s="975">
        <f>SUM(I19:I26)</f>
        <v>0</v>
      </c>
      <c r="J27" s="1981"/>
      <c r="K27" s="2638">
        <f>SUM(K19:K26)</f>
        <v>0</v>
      </c>
      <c r="L27" s="2639">
        <f>SUM(L19:L26)</f>
        <v>0</v>
      </c>
      <c r="M27" s="2640">
        <f>SUM(M19:M26)</f>
        <v>0</v>
      </c>
      <c r="N27" s="2638">
        <f t="shared" ref="N27:O27" si="10">SUM(N19:N26)</f>
        <v>0</v>
      </c>
      <c r="O27" s="2639">
        <f t="shared" si="10"/>
        <v>0</v>
      </c>
      <c r="P27" s="2641">
        <f>SUM(P19:P26)</f>
        <v>0</v>
      </c>
      <c r="R27" s="2302">
        <f>IF(SUM(R19:R26)=$D$3,SUM(R19:R26),SUM(R19:R26)&amp;"误差"&amp;ROUND(SUM(R19:R26)-$D$3,2))</f>
        <v>87492</v>
      </c>
      <c r="S27" s="274">
        <f>IF(SUM(S19:S26)=$E$3,SUM(S19:S26),SUM(S19:S26)&amp;"误差"&amp;ROUND(SUM(S19:S26)-E3,2))</f>
        <v>104990.39999999999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2322</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8"/>
      <c r="B31" s="1369" t="s">
        <v>229</v>
      </c>
      <c r="C31" s="2327" t="s">
        <v>2324</v>
      </c>
      <c r="D31" s="1370">
        <f>D27+D30</f>
        <v>87492</v>
      </c>
      <c r="E31" s="1370">
        <f>E27+E30</f>
        <v>104990.39999999999</v>
      </c>
      <c r="F31" s="1371">
        <f>F27+F30</f>
        <v>104990.39999999999</v>
      </c>
      <c r="G31" s="1372">
        <f>G27+G30</f>
        <v>0</v>
      </c>
      <c r="H31" s="1981"/>
      <c r="I31" s="1981"/>
      <c r="J31" s="1981"/>
      <c r="K31" s="1981"/>
      <c r="L31" s="1981"/>
    </row>
    <row r="32" spans="1:19">
      <c r="A32" s="1981"/>
      <c r="B32" s="2360" t="s">
        <v>2323</v>
      </c>
      <c r="C32" s="2669"/>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M34" activePane="bottomRight" state="frozen"/>
      <selection pane="topRight" activeCell="D1" sqref="D1"/>
      <selection pane="bottomLeft" activeCell="A4" sqref="A4"/>
      <selection pane="bottomRight" activeCell="R52" sqref="R5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43104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2833</v>
      </c>
      <c r="O5" s="163" t="s">
        <v>246</v>
      </c>
      <c r="P5" s="165" t="s">
        <v>247</v>
      </c>
      <c r="Q5" s="166" t="s">
        <v>248</v>
      </c>
      <c r="R5" s="167" t="s">
        <v>249</v>
      </c>
      <c r="S5" s="2642" t="s">
        <v>2575</v>
      </c>
      <c r="T5" s="168" t="s">
        <v>250</v>
      </c>
      <c r="U5" s="169" t="s">
        <v>251</v>
      </c>
      <c r="V5" s="159" t="s">
        <v>252</v>
      </c>
      <c r="W5" s="159" t="s">
        <v>253</v>
      </c>
      <c r="X5" s="1816"/>
      <c r="Y5" s="170" t="s">
        <v>254</v>
      </c>
      <c r="Z5" s="171" t="s">
        <v>255</v>
      </c>
      <c r="AA5" s="159" t="s">
        <v>252</v>
      </c>
      <c r="AB5" s="159" t="s">
        <v>253</v>
      </c>
      <c r="AC5" s="1817"/>
      <c r="AD5" s="172" t="s">
        <v>254</v>
      </c>
      <c r="AE5" s="1" t="s">
        <v>871</v>
      </c>
      <c r="AF5" s="159" t="s">
        <v>256</v>
      </c>
      <c r="AG5" s="170" t="s">
        <v>257</v>
      </c>
      <c r="AH5" s="1817" t="s">
        <v>2325</v>
      </c>
      <c r="AI5" s="171" t="s">
        <v>2294</v>
      </c>
      <c r="AJ5" s="171" t="s">
        <v>258</v>
      </c>
      <c r="AK5" s="159" t="s">
        <v>259</v>
      </c>
      <c r="AL5" s="159" t="s">
        <v>260</v>
      </c>
      <c r="AM5" s="172" t="s">
        <v>261</v>
      </c>
      <c r="AN5" s="2412"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hidden="1">
      <c r="A6" s="2299" t="str">
        <f>'数据-汇总表'!C19</f>
        <v>洋房</v>
      </c>
      <c r="B6" s="2334" t="str">
        <f>IF(A6=0,"","经营性")</f>
        <v>经营性</v>
      </c>
      <c r="C6" s="173" t="s">
        <v>924</v>
      </c>
      <c r="D6" s="2305">
        <f>SUMIF(项目基本情况!D$15:I$15,C6,项目基本情况!D$18:I$18)</f>
        <v>70</v>
      </c>
      <c r="E6" s="2306">
        <f>IF(B6="","",SUMIF(项目基本情况!D$15:I$15,C6,项目基本情况!D$17:I$17))</f>
        <v>67350</v>
      </c>
      <c r="F6" s="174">
        <f>SUMIF(项目基本情况!D$15:I$15,C6,项目基本情况!D$19:I$19)</f>
        <v>66.42</v>
      </c>
      <c r="G6" s="175">
        <f>IF(ISERROR(ROUND(POWER(1+H6,D6-F6)*(POWER(1+H6,F6)-1)/(POWER(1+H6,D6)-1),3)),0,ROUND(POWER(1+H6,D6-F6)*(POWER(1+H6,F6)-1)/(POWER(1+H6,D6)-1),3))</f>
        <v>0.99199999999999999</v>
      </c>
      <c r="H6" s="3049">
        <v>4.4999999999999998E-2</v>
      </c>
      <c r="I6" s="3049">
        <v>0.05</v>
      </c>
      <c r="J6" s="176">
        <v>0.08</v>
      </c>
      <c r="K6" s="179">
        <f>SUMIF('数据-汇总表'!C$19:C$33,'数据-取费表'!A6,'数据-汇总表'!E$19:E$33)</f>
        <v>0</v>
      </c>
      <c r="L6" s="3050">
        <v>1800</v>
      </c>
      <c r="M6" s="177">
        <f t="shared" ref="M6:M14" si="0">ROUND(K6*L6/10000,0)</f>
        <v>0</v>
      </c>
      <c r="N6" s="3051">
        <v>0</v>
      </c>
      <c r="O6" s="177">
        <f>IF($N$5="成新度","——",ROUND(M6*N6,0))</f>
        <v>0</v>
      </c>
      <c r="P6" s="178">
        <f>IF($N$5="成新度","——",M6-O6)</f>
        <v>0</v>
      </c>
      <c r="Q6" s="3052">
        <v>0.15</v>
      </c>
      <c r="R6" s="179">
        <f>SUMIF('数据-汇总表'!C$19:C$33,A6,'数据-汇总表'!R$19:R$33)</f>
        <v>0</v>
      </c>
      <c r="S6" s="132">
        <f>IF('数据-汇总表'!$I$17="按面积比例",SUMIF('数据-汇总表'!C$19:C$33,A6,'数据-汇总表'!K$19:K$33),SUMIF('数据-汇总表'!C$19:C$33,A6,'数据-汇总表'!N$19:N$33))</f>
        <v>0</v>
      </c>
      <c r="T6" s="2231" t="str">
        <f>IF($T$4="按面积比例",IF(ISERROR(ROUND($M$14*S6/S$16,0)),"0",ROUND($M$14*S6/S$16,0)),"需自行计算录入")</f>
        <v>0</v>
      </c>
      <c r="U6" s="180"/>
      <c r="V6" s="181"/>
      <c r="W6" s="181"/>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63"/>
      <c r="AN6" s="2413"/>
      <c r="AO6" s="1997"/>
      <c r="AP6" s="1203">
        <f>ROUND(1-1/(1+H6)^F6,3)</f>
        <v>0.94599999999999995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5">
      <c r="A7" s="2299" t="str">
        <f>'数据-汇总表'!C20</f>
        <v>商业</v>
      </c>
      <c r="B7" s="2334" t="str">
        <f t="shared" ref="B7:B13" si="1">IF(A7=0,"","经营性")</f>
        <v>经营性</v>
      </c>
      <c r="C7" s="173" t="s">
        <v>3115</v>
      </c>
      <c r="D7" s="2305">
        <f>SUMIF(项目基本情况!D$15:I$15,C7,项目基本情况!D$18:I$18)</f>
        <v>40</v>
      </c>
      <c r="E7" s="2306">
        <f>IF(B7="","",SUMIF(项目基本情况!D$15:I$15,C7,项目基本情况!D$17:I$17))</f>
        <v>56392</v>
      </c>
      <c r="F7" s="174">
        <f>SUMIF(项目基本情况!D$15:I$15,C7,项目基本情况!D$19:I$19)</f>
        <v>36.4</v>
      </c>
      <c r="G7" s="175">
        <f t="shared" ref="G7:G11" si="2">IF(ISERROR(ROUND(POWER(1+H7,D7-F7)*(POWER(1+H7,F7)-1)/(POWER(1+H7,D7)-1),3)),0,ROUND(POWER(1+H7,D7-F7)*(POWER(1+H7,F7)-1)/(POWER(1+H7,D7)-1),3))</f>
        <v>0.96799999999999997</v>
      </c>
      <c r="H7" s="3049">
        <v>0.05</v>
      </c>
      <c r="I7" s="3049">
        <v>5.5E-2</v>
      </c>
      <c r="J7" s="3218">
        <v>8.5000000000000006E-2</v>
      </c>
      <c r="K7" s="179">
        <f>SUMIF('数据-汇总表'!C$19:C$33,'数据-取费表'!A7,'数据-汇总表'!E$19:E$33)</f>
        <v>5249.5199999999895</v>
      </c>
      <c r="L7" s="3050">
        <v>2200</v>
      </c>
      <c r="M7" s="177">
        <f t="shared" si="0"/>
        <v>1155</v>
      </c>
      <c r="N7" s="3051">
        <v>0</v>
      </c>
      <c r="O7" s="177">
        <f t="shared" ref="O7:O14" si="3">IF($N$5="成新度","——",ROUND(M7*N7,0))</f>
        <v>0</v>
      </c>
      <c r="P7" s="178">
        <f t="shared" ref="P7:P14" si="4">IF($N$5="成新度","——",M7-O7)</f>
        <v>1155</v>
      </c>
      <c r="Q7" s="3052">
        <v>0.2</v>
      </c>
      <c r="R7" s="179">
        <f>SUMIF('数据-汇总表'!C$19:C$33,A7,'数据-汇总表'!R$19:R$33)</f>
        <v>4374.6000000000004</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v>60</v>
      </c>
      <c r="V7" s="181">
        <v>0.03</v>
      </c>
      <c r="W7" s="181">
        <v>0.25</v>
      </c>
      <c r="X7" s="2318"/>
      <c r="Y7" s="3235">
        <v>1</v>
      </c>
      <c r="Z7" s="183"/>
      <c r="AA7" s="176"/>
      <c r="AB7" s="176"/>
      <c r="AC7" s="2321"/>
      <c r="AD7" s="184"/>
      <c r="AE7" s="971">
        <f t="shared" ref="AE7:AE13" ca="1" si="6">IF(AN7="",0,SUMIF(INDIRECT("'"&amp;AN7&amp;"'"&amp;"!E:E"),$AE$5,INDIRECT("'"&amp;AN7&amp;"'"&amp;"!F:F")))</f>
        <v>34.4</v>
      </c>
      <c r="AF7" s="141"/>
      <c r="AG7" s="1212">
        <f t="shared" ref="AG7:AG13" si="7">IF(AF7="",0,AE7-AF7)</f>
        <v>0</v>
      </c>
      <c r="AH7" s="141"/>
      <c r="AI7" s="187">
        <v>12</v>
      </c>
      <c r="AJ7" s="188"/>
      <c r="AK7" s="189">
        <v>1.4999999999999999E-2</v>
      </c>
      <c r="AL7" s="190">
        <v>1.5E-3</v>
      </c>
      <c r="AM7" s="2411">
        <v>0.01</v>
      </c>
      <c r="AN7" s="2413" t="s">
        <v>3140</v>
      </c>
      <c r="AO7" s="1997"/>
      <c r="AP7" s="1203">
        <f t="shared" ref="AP7:AP13" si="8">ROUND(1-1/(1+H7)^F7,3)</f>
        <v>0.83099999999999996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5" hidden="1">
      <c r="A8" s="2299" t="str">
        <f>'数据-汇总表'!C21</f>
        <v>小高层</v>
      </c>
      <c r="B8" s="2334" t="str">
        <f t="shared" si="1"/>
        <v>经营性</v>
      </c>
      <c r="C8" s="173" t="s">
        <v>924</v>
      </c>
      <c r="D8" s="2305">
        <f>SUMIF(项目基本情况!D$15:I$15,C8,项目基本情况!D$18:I$18)</f>
        <v>70</v>
      </c>
      <c r="E8" s="2306">
        <f>IF(B8="","",SUMIF(项目基本情况!D$15:I$15,C8,项目基本情况!D$17:I$17))</f>
        <v>67350</v>
      </c>
      <c r="F8" s="174">
        <f>SUMIF(项目基本情况!D$15:I$15,C8,项目基本情况!D$19:I$19)</f>
        <v>66.42</v>
      </c>
      <c r="G8" s="175">
        <f t="shared" si="2"/>
        <v>0.99199999999999999</v>
      </c>
      <c r="H8" s="3049">
        <v>4.4999999999999998E-2</v>
      </c>
      <c r="I8" s="3049">
        <v>0.05</v>
      </c>
      <c r="J8" s="176">
        <v>0.08</v>
      </c>
      <c r="K8" s="179">
        <f>SUMIF('数据-汇总表'!C$19:C$33,'数据-取费表'!A8,'数据-汇总表'!E$19:E$33)</f>
        <v>0</v>
      </c>
      <c r="L8" s="3050">
        <v>1800</v>
      </c>
      <c r="M8" s="177">
        <f>ROUND(K8*L8/10000,0)</f>
        <v>0</v>
      </c>
      <c r="N8" s="3051">
        <v>0</v>
      </c>
      <c r="O8" s="177">
        <f t="shared" si="3"/>
        <v>0</v>
      </c>
      <c r="P8" s="178">
        <f t="shared" si="4"/>
        <v>0</v>
      </c>
      <c r="Q8" s="3052">
        <v>0.15</v>
      </c>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3235"/>
      <c r="Z8" s="183"/>
      <c r="AA8" s="176"/>
      <c r="AB8" s="176"/>
      <c r="AC8" s="2321"/>
      <c r="AD8" s="184"/>
      <c r="AE8" s="971">
        <f t="shared" ca="1" si="6"/>
        <v>0</v>
      </c>
      <c r="AF8" s="141"/>
      <c r="AG8" s="1212">
        <f t="shared" si="7"/>
        <v>0</v>
      </c>
      <c r="AH8" s="141"/>
      <c r="AI8" s="187"/>
      <c r="AJ8" s="188"/>
      <c r="AK8" s="189"/>
      <c r="AL8" s="190"/>
      <c r="AM8" s="2411"/>
      <c r="AN8" s="2413"/>
      <c r="AO8" s="1997"/>
      <c r="AP8" s="1203">
        <f t="shared" si="8"/>
        <v>0.94599999999999995</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5">
      <c r="A9" s="2299" t="str">
        <f>'数据-汇总表'!C22</f>
        <v>联排</v>
      </c>
      <c r="B9" s="2334" t="str">
        <f t="shared" si="1"/>
        <v>经营性</v>
      </c>
      <c r="C9" s="173" t="s">
        <v>924</v>
      </c>
      <c r="D9" s="2305">
        <f>SUMIF(项目基本情况!D$15:I$15,C9,项目基本情况!D$18:I$18)</f>
        <v>70</v>
      </c>
      <c r="E9" s="2306">
        <f>IF(B9="","",SUMIF(项目基本情况!D$15:I$15,C9,项目基本情况!D$17:I$17))</f>
        <v>67350</v>
      </c>
      <c r="F9" s="174">
        <f>SUMIF(项目基本情况!D$15:I$15,C9,项目基本情况!D$19:I$19)</f>
        <v>66.42</v>
      </c>
      <c r="G9" s="175">
        <f t="shared" si="2"/>
        <v>0.99199999999999999</v>
      </c>
      <c r="H9" s="3049">
        <v>4.4999999999999998E-2</v>
      </c>
      <c r="I9" s="3049">
        <v>0.05</v>
      </c>
      <c r="J9" s="3218">
        <v>8.5000000000000006E-2</v>
      </c>
      <c r="K9" s="179">
        <f>SUMIF('数据-汇总表'!C$19:C$33,'数据-取费表'!A9,'数据-汇总表'!E$19:E$33)</f>
        <v>99740.88</v>
      </c>
      <c r="L9" s="193">
        <v>1800</v>
      </c>
      <c r="M9" s="177">
        <f t="shared" si="0"/>
        <v>17953</v>
      </c>
      <c r="N9" s="3051">
        <v>0</v>
      </c>
      <c r="O9" s="177">
        <f t="shared" si="3"/>
        <v>0</v>
      </c>
      <c r="P9" s="178">
        <f t="shared" si="4"/>
        <v>17953</v>
      </c>
      <c r="Q9" s="192">
        <v>0.2</v>
      </c>
      <c r="R9" s="179">
        <f>SUMIF('数据-汇总表'!C$19:C$33,A9,'数据-汇总表'!R$19:R$33)</f>
        <v>83117.399999999994</v>
      </c>
      <c r="S9" s="132">
        <f>IF('数据-汇总表'!$I$17="按面积比例",SUMIF('数据-汇总表'!C$19:C$33,A9,'数据-汇总表'!K$19:K$33),SUMIF('数据-汇总表'!C$19:C$33,A9,'数据-汇总表'!N$19:N$33))</f>
        <v>0</v>
      </c>
      <c r="T9" s="2231" t="str">
        <f t="shared" si="5"/>
        <v>0</v>
      </c>
      <c r="U9" s="180"/>
      <c r="V9" s="181"/>
      <c r="W9" s="181"/>
      <c r="X9" s="2318"/>
      <c r="Y9" s="3235">
        <v>1</v>
      </c>
      <c r="Z9" s="183"/>
      <c r="AA9" s="176"/>
      <c r="AB9" s="176"/>
      <c r="AC9" s="2321"/>
      <c r="AD9" s="184"/>
      <c r="AE9" s="971">
        <f t="shared" ca="1" si="6"/>
        <v>0</v>
      </c>
      <c r="AF9" s="141"/>
      <c r="AG9" s="1212">
        <f t="shared" si="7"/>
        <v>0</v>
      </c>
      <c r="AH9" s="141"/>
      <c r="AI9" s="187"/>
      <c r="AJ9" s="188"/>
      <c r="AK9" s="189"/>
      <c r="AL9" s="190"/>
      <c r="AM9" s="2411"/>
      <c r="AN9" s="2413"/>
      <c r="AO9" s="1997"/>
      <c r="AP9" s="1203">
        <f t="shared" si="8"/>
        <v>0.94599999999999995</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hidden="1">
      <c r="A10" s="2299" t="str">
        <f>'数据-汇总表'!C23</f>
        <v>独栋</v>
      </c>
      <c r="B10" s="2334" t="str">
        <f t="shared" si="1"/>
        <v>经营性</v>
      </c>
      <c r="C10" s="173" t="s">
        <v>924</v>
      </c>
      <c r="D10" s="2305">
        <f>SUMIF(项目基本情况!D$15:I$15,C10,项目基本情况!D$18:I$18)</f>
        <v>70</v>
      </c>
      <c r="E10" s="2306">
        <f>IF(B10="","",SUMIF(项目基本情况!D$15:I$15,C10,项目基本情况!D$17:I$17))</f>
        <v>67350</v>
      </c>
      <c r="F10" s="174">
        <f>SUMIF(项目基本情况!D$15:I$15,C10,项目基本情况!D$19:I$19)</f>
        <v>66.42</v>
      </c>
      <c r="G10" s="175">
        <f t="shared" si="2"/>
        <v>0.99199999999999999</v>
      </c>
      <c r="H10" s="3049">
        <v>4.4999999999999998E-2</v>
      </c>
      <c r="I10" s="3049">
        <v>0.05</v>
      </c>
      <c r="J10" s="176">
        <v>0.08</v>
      </c>
      <c r="K10" s="179">
        <f>SUMIF('数据-汇总表'!C$19:C$33,'数据-取费表'!A10,'数据-汇总表'!E$19:E$33)</f>
        <v>0</v>
      </c>
      <c r="L10" s="193">
        <v>1800</v>
      </c>
      <c r="M10" s="177">
        <f t="shared" si="0"/>
        <v>0</v>
      </c>
      <c r="N10" s="3051">
        <v>0</v>
      </c>
      <c r="O10" s="177">
        <f t="shared" si="3"/>
        <v>0</v>
      </c>
      <c r="P10" s="178">
        <f t="shared" si="4"/>
        <v>0</v>
      </c>
      <c r="Q10" s="192">
        <v>0.2</v>
      </c>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411"/>
      <c r="AN10" s="2413"/>
      <c r="AO10" s="1997"/>
      <c r="AP10" s="1203">
        <f t="shared" si="8"/>
        <v>0.94599999999999995</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hidden="1">
      <c r="A11" s="2299" t="str">
        <f>'数据-汇总表'!C24</f>
        <v>叠拼</v>
      </c>
      <c r="B11" s="2334" t="str">
        <f t="shared" si="1"/>
        <v>经营性</v>
      </c>
      <c r="C11" s="173" t="s">
        <v>924</v>
      </c>
      <c r="D11" s="2305">
        <f>SUMIF(项目基本情况!D$15:I$15,C11,项目基本情况!D$18:I$18)</f>
        <v>70</v>
      </c>
      <c r="E11" s="2306">
        <f>IF(B11="","",SUMIF(项目基本情况!D$15:I$15,C11,项目基本情况!D$17:I$17))</f>
        <v>67350</v>
      </c>
      <c r="F11" s="174">
        <f>SUMIF(项目基本情况!D$15:I$15,C11,项目基本情况!D$19:I$19)</f>
        <v>66.42</v>
      </c>
      <c r="G11" s="175">
        <f t="shared" si="2"/>
        <v>0.99199999999999999</v>
      </c>
      <c r="H11" s="3049">
        <v>4.4999999999999998E-2</v>
      </c>
      <c r="I11" s="3049">
        <v>0.05</v>
      </c>
      <c r="J11" s="176">
        <v>0.08</v>
      </c>
      <c r="K11" s="179">
        <f>SUMIF('数据-汇总表'!C$19:C$33,'数据-取费表'!A11,'数据-汇总表'!E$19:E$33)</f>
        <v>0</v>
      </c>
      <c r="L11" s="193">
        <v>1800</v>
      </c>
      <c r="M11" s="177">
        <f t="shared" si="0"/>
        <v>0</v>
      </c>
      <c r="N11" s="194">
        <v>0</v>
      </c>
      <c r="O11" s="177">
        <f t="shared" si="3"/>
        <v>0</v>
      </c>
      <c r="P11" s="178">
        <f t="shared" si="4"/>
        <v>0</v>
      </c>
      <c r="Q11" s="192">
        <v>0.2</v>
      </c>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5"/>
      <c r="AN11" s="2413"/>
      <c r="AO11" s="1997"/>
      <c r="AP11" s="1203">
        <f t="shared" si="8"/>
        <v>0.94599999999999995</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5"/>
      <c r="AN12" s="2413"/>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411"/>
      <c r="AN13" s="2413"/>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2316</v>
      </c>
      <c r="B14" s="2303" t="s">
        <v>1681</v>
      </c>
      <c r="C14" s="2304" t="s">
        <v>2316</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2"/>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2318</v>
      </c>
      <c r="B15" s="2303" t="s">
        <v>1681</v>
      </c>
      <c r="C15" s="2304" t="s">
        <v>2317</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0.99099999999999999</v>
      </c>
      <c r="H16" s="203">
        <f>ROUND(SUMPRODUCT(H6:H13,K6:K13)/SUMPRODUCT((H6:H13&gt;0)*(K6:K13)),3)</f>
        <v>4.4999999999999998E-2</v>
      </c>
      <c r="I16" s="204"/>
      <c r="J16" s="204"/>
      <c r="K16" s="205">
        <f>SUM(K6:K15)</f>
        <v>104990.39999999999</v>
      </c>
      <c r="L16" s="206">
        <f>ROUND(M16*10000/SUM(K6:K14),0)</f>
        <v>1820</v>
      </c>
      <c r="M16" s="206">
        <f>SUM(M6:M14)</f>
        <v>19108</v>
      </c>
      <c r="N16" s="207">
        <f>ROUND(SUMPRODUCT(M6:M14,N6:N14)/M16,3)</f>
        <v>0</v>
      </c>
      <c r="O16" s="206">
        <f>SUM(O6:O14)</f>
        <v>0</v>
      </c>
      <c r="P16" s="206">
        <f>SUM(P6:P14)</f>
        <v>19108</v>
      </c>
      <c r="Q16" s="208">
        <f>ROUND(SUMPRODUCT(Q6:Q13,K6:K13)/SUMPRODUCT((Q6:Q13&gt;0)*(K6:K13)),2)</f>
        <v>0.2</v>
      </c>
      <c r="R16" s="2308">
        <f>SUM(R6:R13)</f>
        <v>87492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0.94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2339</v>
      </c>
      <c r="B27" s="227">
        <v>45</v>
      </c>
      <c r="C27" s="3098" t="s">
        <v>3141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2340</v>
      </c>
      <c r="B28" s="229">
        <v>45</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2338</v>
      </c>
      <c r="B29" s="232"/>
      <c r="C29" s="1551"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5" t="s">
        <v>273</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7" t="s">
        <v>275</v>
      </c>
      <c r="B32" s="1376">
        <v>100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7">
        <v>0.05</v>
      </c>
      <c r="C33" s="2362" t="s">
        <v>2895</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2896</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2897</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2898</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0.02</v>
      </c>
      <c r="C37" s="2362" t="s">
        <v>2899</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2899</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2458</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2459</v>
      </c>
      <c r="B40" s="2502">
        <f ca="1">存贷款利率!E2</f>
        <v>4.7500000000000001E-2</v>
      </c>
      <c r="C40" s="2362"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6.2719999999999998E-2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40">
        <v>5.6000000000000001E-2</v>
      </c>
      <c r="C42" s="3124">
        <f>IF(B2&lt;DATE(2016,5,1),0,B42)</f>
        <v>5.6000000000000001E-2</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1">
        <f>B42*(B44+B45+B46)+B47</f>
        <v>6.7200000000000003E-3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2900</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2901</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2902</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c r="C47" s="3098" t="s">
        <v>2903</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0.04</v>
      </c>
      <c r="C48" s="3099" t="s">
        <v>2904</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9" t="s">
        <v>2905</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5">
      <c r="A52" s="247" t="s">
        <v>293</v>
      </c>
      <c r="B52" s="3236">
        <f>SUMIF(A54:A63,B53,B54:B63)</f>
        <v>10</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0" t="s">
        <v>1098</v>
      </c>
      <c r="C53" s="3100" t="s">
        <v>2906</v>
      </c>
      <c r="D53" s="3101" t="s">
        <v>2907</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3" t="s">
        <v>2908</v>
      </c>
      <c r="B54" s="186">
        <v>10</v>
      </c>
      <c r="C54" s="1991">
        <v>30</v>
      </c>
      <c r="D54" s="3102"/>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3" t="s">
        <v>2909</v>
      </c>
      <c r="B55" s="186"/>
      <c r="C55" s="1991">
        <v>24</v>
      </c>
      <c r="D55" s="3102"/>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3" t="s">
        <v>2910</v>
      </c>
      <c r="B56" s="186"/>
      <c r="C56" s="1991">
        <v>18</v>
      </c>
      <c r="D56" s="3102"/>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3" t="s">
        <v>2911</v>
      </c>
      <c r="B57" s="186"/>
      <c r="C57" s="1991">
        <v>12</v>
      </c>
      <c r="D57" s="3102"/>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3" t="s">
        <v>2912</v>
      </c>
      <c r="B58" s="186"/>
      <c r="C58" s="1991">
        <v>3</v>
      </c>
      <c r="D58" s="3102"/>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3" t="s">
        <v>2913</v>
      </c>
      <c r="B59" s="186"/>
      <c r="C59" s="1991">
        <v>1.5</v>
      </c>
      <c r="D59" s="3102"/>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3" t="s">
        <v>2914</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3" t="s">
        <v>2915</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3" t="s">
        <v>2916</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4" t="s">
        <v>2917</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23" t="s">
        <v>1665</v>
      </c>
      <c r="B1" s="3324"/>
      <c r="C1" s="3324"/>
      <c r="D1" s="3324"/>
      <c r="E1" s="3324"/>
      <c r="F1" s="3324"/>
      <c r="G1" s="3324"/>
      <c r="H1" s="1999"/>
      <c r="I1" s="2000"/>
      <c r="J1" s="2001"/>
      <c r="K1" s="1999"/>
      <c r="L1" s="2000"/>
      <c r="M1" s="2001"/>
      <c r="N1" s="1999"/>
      <c r="O1" s="2000"/>
      <c r="P1" s="2001"/>
      <c r="Q1" s="2002"/>
      <c r="R1" s="2003"/>
    </row>
    <row r="2" spans="1:18" ht="14.25" thickBot="1">
      <c r="A2" s="1220"/>
      <c r="B2" s="1221"/>
      <c r="C2" s="1222" t="s">
        <v>1666</v>
      </c>
      <c r="D2" s="1223"/>
      <c r="E2" s="1224"/>
      <c r="F2" s="1225"/>
      <c r="G2" s="1222" t="s">
        <v>1667</v>
      </c>
      <c r="H2" s="2005"/>
      <c r="I2" s="2005"/>
      <c r="J2" s="2005"/>
      <c r="K2" s="2005"/>
      <c r="L2" s="2005"/>
      <c r="M2" s="2005"/>
      <c r="N2" s="2005"/>
      <c r="O2" s="2005"/>
      <c r="P2" s="2005"/>
      <c r="Q2" s="2005"/>
      <c r="R2" s="2005"/>
    </row>
    <row r="3" spans="1:18" ht="54">
      <c r="A3" s="1226" t="s">
        <v>1668</v>
      </c>
      <c r="B3" s="1227" t="s">
        <v>1655</v>
      </c>
      <c r="C3" s="3105" t="s">
        <v>2924</v>
      </c>
      <c r="D3" s="2006"/>
      <c r="E3" s="1228" t="s">
        <v>1668</v>
      </c>
      <c r="F3" s="1229" t="s">
        <v>1656</v>
      </c>
      <c r="G3" s="3109" t="s">
        <v>2923</v>
      </c>
      <c r="H3" s="2005"/>
      <c r="I3" s="2005"/>
      <c r="J3" s="2005"/>
      <c r="K3" s="2005"/>
      <c r="L3" s="2005"/>
      <c r="M3" s="2005"/>
      <c r="N3" s="2005"/>
      <c r="O3" s="2005"/>
      <c r="P3" s="2005"/>
      <c r="Q3" s="2005"/>
      <c r="R3" s="2005"/>
    </row>
    <row r="4" spans="1:18" ht="41.25">
      <c r="A4" s="1228"/>
      <c r="B4" s="1230" t="s">
        <v>1669</v>
      </c>
      <c r="C4" s="3106" t="s">
        <v>2925</v>
      </c>
      <c r="D4" s="2006"/>
      <c r="E4" s="1231"/>
      <c r="F4" s="1232" t="s">
        <v>1670</v>
      </c>
      <c r="G4" s="3107" t="s">
        <v>2920</v>
      </c>
      <c r="H4" s="2005"/>
      <c r="I4" s="2005"/>
      <c r="J4" s="2005"/>
      <c r="K4" s="2005"/>
      <c r="L4" s="2005"/>
      <c r="M4" s="2005"/>
      <c r="N4" s="2005"/>
      <c r="O4" s="2005"/>
      <c r="P4" s="2005"/>
      <c r="Q4" s="2005"/>
      <c r="R4" s="2005"/>
    </row>
    <row r="5" spans="1:18" ht="41.25">
      <c r="A5" s="1228"/>
      <c r="B5" s="1230" t="s">
        <v>1671</v>
      </c>
      <c r="C5" s="3106" t="s">
        <v>2926</v>
      </c>
      <c r="D5" s="2006"/>
      <c r="E5" s="1231"/>
      <c r="F5" s="1230" t="s">
        <v>2549</v>
      </c>
      <c r="G5" s="3107" t="s">
        <v>2921</v>
      </c>
      <c r="H5" s="2005"/>
      <c r="I5" s="2005"/>
      <c r="J5" s="2005"/>
      <c r="K5" s="2005"/>
      <c r="L5" s="2005"/>
      <c r="M5" s="2005"/>
      <c r="N5" s="2005"/>
      <c r="O5" s="2005"/>
      <c r="P5" s="2005"/>
      <c r="Q5" s="2005"/>
      <c r="R5" s="2005"/>
    </row>
    <row r="6" spans="1:18" ht="54">
      <c r="A6" s="1228"/>
      <c r="B6" s="1230" t="s">
        <v>1657</v>
      </c>
      <c r="C6" s="3107" t="s">
        <v>2920</v>
      </c>
      <c r="D6" s="2006"/>
      <c r="E6" s="1231"/>
      <c r="F6" s="1230" t="s">
        <v>2550</v>
      </c>
      <c r="G6" s="3107" t="s">
        <v>2918</v>
      </c>
      <c r="H6" s="2005"/>
      <c r="I6" s="2005"/>
      <c r="J6" s="2005"/>
      <c r="K6" s="2005"/>
      <c r="L6" s="2005"/>
      <c r="M6" s="2005"/>
      <c r="N6" s="2005"/>
      <c r="O6" s="2005"/>
      <c r="P6" s="2005"/>
      <c r="Q6" s="2005"/>
      <c r="R6" s="2005"/>
    </row>
    <row r="7" spans="1:18" ht="41.25" thickBot="1">
      <c r="A7" s="1228"/>
      <c r="B7" s="1230" t="s">
        <v>2549</v>
      </c>
      <c r="C7" s="3107" t="s">
        <v>2921</v>
      </c>
      <c r="D7" s="2007"/>
      <c r="E7" s="1233"/>
      <c r="F7" s="1234" t="s">
        <v>1672</v>
      </c>
      <c r="G7" s="3110" t="s">
        <v>2922</v>
      </c>
      <c r="H7" s="2005"/>
      <c r="I7" s="2005"/>
      <c r="J7" s="2005"/>
      <c r="K7" s="2005"/>
      <c r="L7" s="2005"/>
      <c r="M7" s="2005"/>
      <c r="N7" s="2005"/>
      <c r="O7" s="2005"/>
      <c r="P7" s="2005"/>
      <c r="Q7" s="2005"/>
      <c r="R7" s="2005"/>
    </row>
    <row r="8" spans="1:18" ht="27">
      <c r="A8" s="1228"/>
      <c r="B8" s="1230" t="s">
        <v>2550</v>
      </c>
      <c r="C8" s="3107" t="s">
        <v>2918</v>
      </c>
      <c r="D8" s="2007"/>
      <c r="E8" s="2007"/>
      <c r="F8" s="1552"/>
      <c r="G8" s="1552"/>
      <c r="H8" s="2005"/>
      <c r="I8" s="2005"/>
      <c r="J8" s="2005"/>
      <c r="K8" s="2005"/>
      <c r="L8" s="2005"/>
      <c r="M8" s="2005"/>
      <c r="N8" s="2005"/>
      <c r="O8" s="2005"/>
      <c r="P8" s="2005"/>
      <c r="Q8" s="2005"/>
      <c r="R8" s="2005"/>
    </row>
    <row r="9" spans="1:18" ht="40.5">
      <c r="A9" s="1228"/>
      <c r="B9" s="1230" t="s">
        <v>1658</v>
      </c>
      <c r="C9" s="3106" t="s">
        <v>2919</v>
      </c>
      <c r="D9" s="2006"/>
      <c r="E9" s="2007"/>
      <c r="F9" s="1552"/>
      <c r="G9" s="1552"/>
      <c r="H9" s="2005"/>
      <c r="I9" s="2005"/>
      <c r="J9" s="2005"/>
      <c r="K9" s="2005"/>
      <c r="L9" s="2005"/>
      <c r="M9" s="2005"/>
      <c r="N9" s="2005"/>
      <c r="O9" s="2005"/>
      <c r="P9" s="2005"/>
      <c r="Q9" s="2005"/>
      <c r="R9" s="2005"/>
    </row>
    <row r="10" spans="1:18" s="2013" customFormat="1" ht="15" thickBot="1">
      <c r="A10" s="1235"/>
      <c r="B10" s="1236" t="s">
        <v>1673</v>
      </c>
      <c r="C10" s="3108"/>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1674</v>
      </c>
      <c r="B13" s="2599"/>
      <c r="C13" s="2599"/>
      <c r="D13" s="1223"/>
      <c r="E13" s="2599"/>
      <c r="F13" s="2599"/>
      <c r="G13" s="2599"/>
    </row>
    <row r="14" spans="1:18" ht="14.25" thickBot="1">
      <c r="A14" s="1237"/>
      <c r="B14" s="1238"/>
      <c r="C14" s="1239" t="s">
        <v>1666</v>
      </c>
      <c r="D14" s="2006"/>
      <c r="E14" s="1240"/>
      <c r="F14" s="1240"/>
      <c r="G14" s="1222" t="s">
        <v>1667</v>
      </c>
    </row>
    <row r="15" spans="1:18" ht="54">
      <c r="A15" s="2609" t="s">
        <v>1659</v>
      </c>
      <c r="B15" s="1241" t="s">
        <v>1655</v>
      </c>
      <c r="C15" s="1242" t="str">
        <f>C3</f>
        <v>估价对象周边居住用地比例、居住小区规模和社区发展完善程度，综合评价居住社区成熟度一般</v>
      </c>
      <c r="D15" s="2006"/>
      <c r="E15" s="2606" t="s">
        <v>1660</v>
      </c>
      <c r="F15" s="1241" t="s">
        <v>1675</v>
      </c>
      <c r="G15" s="1243" t="str">
        <f>G3</f>
        <v>估价对象位于XX开发区，园区建设成熟度XX，产业集聚程度XX</v>
      </c>
    </row>
    <row r="16" spans="1:18" ht="40.5">
      <c r="A16" s="2610"/>
      <c r="B16" s="1244" t="s">
        <v>1669</v>
      </c>
      <c r="C16" s="1245" t="str">
        <f>C4</f>
        <v>估价对象位于XX商圈，周边商业氛围成熟，人流量大，商业繁华度好</v>
      </c>
      <c r="D16" s="2006"/>
      <c r="E16" s="2607"/>
      <c r="F16" s="1246" t="s">
        <v>1670</v>
      </c>
      <c r="G16" s="1004" t="str">
        <f>G4</f>
        <v>估价对象周边道路状况、公共交通通达情况、停车便捷程度，综合评价交通便捷度较好</v>
      </c>
    </row>
    <row r="17" spans="1:7" ht="40.5">
      <c r="A17" s="2610"/>
      <c r="B17" s="1244" t="s">
        <v>1671</v>
      </c>
      <c r="C17" s="1245" t="str">
        <f>C5</f>
        <v>估价对象位于XX商圈，周边办公楼项目较多，入驻率高，办公集聚程度较好</v>
      </c>
      <c r="D17" s="2007"/>
      <c r="E17" s="2607"/>
      <c r="F17" s="1246" t="s">
        <v>1676</v>
      </c>
      <c r="G17" s="2817"/>
    </row>
    <row r="18" spans="1:7" ht="54">
      <c r="A18" s="2610"/>
      <c r="B18" s="1246" t="s">
        <v>1657</v>
      </c>
      <c r="C18" s="1004" t="str">
        <f>C6</f>
        <v>估价对象周边道路状况、公共交通通达情况、停车便捷程度，综合评价交通便捷度较好</v>
      </c>
      <c r="D18" s="2007"/>
      <c r="E18" s="2607"/>
      <c r="F18" s="1246" t="s">
        <v>1672</v>
      </c>
      <c r="G18" s="1004" t="str">
        <f>G7</f>
        <v>该园区内是否有污染型企业，绿化情况，卫生条件，整体环境状况判断</v>
      </c>
    </row>
    <row r="19" spans="1:7" ht="27">
      <c r="A19" s="2610"/>
      <c r="B19" s="1246" t="s">
        <v>1661</v>
      </c>
      <c r="C19" s="2817"/>
      <c r="D19" s="2006"/>
      <c r="E19" s="2607"/>
      <c r="F19" s="1230" t="s">
        <v>2549</v>
      </c>
      <c r="G19" s="1004" t="str">
        <f>G5</f>
        <v>估价对象所在区域公共配套设施齐备情况</v>
      </c>
    </row>
    <row r="20" spans="1:7" ht="40.5">
      <c r="A20" s="2610"/>
      <c r="B20" s="1246" t="s">
        <v>1662</v>
      </c>
      <c r="C20" s="1245" t="str">
        <f>C9</f>
        <v>区域自然环境：；人文环境；综合评价环境状况一般</v>
      </c>
      <c r="D20" s="2007"/>
      <c r="E20" s="2607"/>
      <c r="F20" s="1230" t="s">
        <v>2550</v>
      </c>
      <c r="G20" s="1004" t="str">
        <f>G6</f>
        <v>估价对象所在区域基础设施水平</v>
      </c>
    </row>
    <row r="21" spans="1:7" ht="27">
      <c r="A21" s="2610"/>
      <c r="B21" s="1230" t="s">
        <v>2549</v>
      </c>
      <c r="C21" s="1004" t="str">
        <f>C7</f>
        <v>估价对象所在区域公共配套设施齐备情况</v>
      </c>
      <c r="D21" s="2006"/>
      <c r="E21" s="2607"/>
      <c r="F21" s="1246" t="s">
        <v>1663</v>
      </c>
      <c r="G21" s="3111"/>
    </row>
    <row r="22" spans="1:7" ht="27">
      <c r="A22" s="2610"/>
      <c r="B22" s="1230" t="s">
        <v>2550</v>
      </c>
      <c r="C22" s="1004" t="str">
        <f>C8</f>
        <v>估价对象所在区域基础设施水平</v>
      </c>
      <c r="D22" s="2006"/>
      <c r="E22" s="2607"/>
      <c r="F22" s="1246" t="s">
        <v>1673</v>
      </c>
      <c r="G22" s="2817"/>
    </row>
    <row r="23" spans="1:7" ht="15" thickBot="1">
      <c r="A23" s="2610"/>
      <c r="B23" s="1246" t="s">
        <v>1663</v>
      </c>
      <c r="C23" s="3111"/>
      <c r="E23" s="2608"/>
      <c r="F23" s="1247" t="s">
        <v>1677</v>
      </c>
      <c r="G23" s="3112"/>
    </row>
    <row r="24" spans="1:7" ht="14.25" thickBot="1">
      <c r="A24" s="2611"/>
      <c r="B24" s="1247" t="s">
        <v>1664</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F8" sqref="F8"/>
    </sheetView>
  </sheetViews>
  <sheetFormatPr defaultColWidth="14.625" defaultRowHeight="13.5"/>
  <cols>
    <col min="1" max="1" width="24.375" customWidth="1"/>
  </cols>
  <sheetData>
    <row r="1" spans="1:9" ht="16.5">
      <c r="A1" s="3069" t="s">
        <v>2849</v>
      </c>
      <c r="B1" s="3069">
        <f>SUM(B14:B23)</f>
        <v>112367.84999999999</v>
      </c>
      <c r="C1" s="3070"/>
      <c r="D1" s="3070"/>
      <c r="E1" s="3070"/>
      <c r="F1" s="3070"/>
    </row>
    <row r="2" spans="1:9" ht="16.5">
      <c r="A2" s="3069" t="s">
        <v>2850</v>
      </c>
      <c r="B2" s="3069">
        <f>SUM(C14:C23)</f>
        <v>136675</v>
      </c>
      <c r="C2" s="3070"/>
      <c r="D2" s="3070"/>
      <c r="E2" s="3070"/>
      <c r="F2" s="3070"/>
    </row>
    <row r="3" spans="1:9" ht="16.5">
      <c r="A3" s="3069" t="s">
        <v>2851</v>
      </c>
      <c r="B3" s="3071">
        <f>项目基本情况!D3</f>
        <v>43104</v>
      </c>
      <c r="C3" s="3070"/>
      <c r="D3" s="3070"/>
      <c r="E3" s="3070"/>
      <c r="F3" s="3070"/>
    </row>
    <row r="4" spans="1:9" ht="33">
      <c r="A4" s="3069" t="s">
        <v>2852</v>
      </c>
      <c r="B4" s="3069" t="s">
        <v>2853</v>
      </c>
      <c r="C4" s="3069" t="s">
        <v>2854</v>
      </c>
      <c r="D4" s="3069" t="s">
        <v>2855</v>
      </c>
      <c r="E4" s="3070"/>
      <c r="F4" s="3070"/>
    </row>
    <row r="5" spans="1:9" ht="16.5">
      <c r="A5" s="3069" t="s">
        <v>2856</v>
      </c>
      <c r="B5" s="3069">
        <f ca="1">SUM(D14:D23)</f>
        <v>42545</v>
      </c>
      <c r="C5" s="3069">
        <f ca="1">ROUND(B5*10000/$B$1,0)</f>
        <v>3786</v>
      </c>
      <c r="D5" s="3069">
        <f ca="1">ROUND(B5*10000/$B$2,0)</f>
        <v>3113</v>
      </c>
      <c r="E5" s="3070"/>
      <c r="F5" s="3070"/>
    </row>
    <row r="6" spans="1:9" ht="16.5">
      <c r="A6" s="3069" t="s">
        <v>2857</v>
      </c>
      <c r="B6" s="3069">
        <f ca="1">SUM(G14:G23)</f>
        <v>42545</v>
      </c>
      <c r="C6" s="3069">
        <f t="shared" ref="C6:C8" ca="1" si="0">ROUND(B6*10000/$B$1,0)</f>
        <v>3786</v>
      </c>
      <c r="D6" s="3069">
        <f t="shared" ref="D6:D8" ca="1" si="1">ROUND(B6*10000/$B$2,0)</f>
        <v>3113</v>
      </c>
      <c r="E6" s="3070"/>
      <c r="F6" s="3070"/>
    </row>
    <row r="7" spans="1:9" ht="16.5">
      <c r="A7" s="3069" t="s">
        <v>2858</v>
      </c>
      <c r="B7" s="3069">
        <f>SUM(H14:H23)</f>
        <v>0</v>
      </c>
      <c r="C7" s="3069">
        <f t="shared" si="0"/>
        <v>0</v>
      </c>
      <c r="D7" s="3069">
        <f t="shared" si="1"/>
        <v>0</v>
      </c>
      <c r="E7" s="3070"/>
      <c r="F7" s="3070"/>
    </row>
    <row r="8" spans="1:9" ht="16.5">
      <c r="A8" s="3069" t="s">
        <v>2859</v>
      </c>
      <c r="B8" s="3069">
        <f>SUM(I14:I23)</f>
        <v>0</v>
      </c>
      <c r="C8" s="3069">
        <f t="shared" si="0"/>
        <v>0</v>
      </c>
      <c r="D8" s="3069">
        <f t="shared" si="1"/>
        <v>0</v>
      </c>
      <c r="E8" s="3070"/>
      <c r="F8" s="3070"/>
    </row>
    <row r="9" spans="1:9" ht="16.5">
      <c r="A9" s="3069" t="s">
        <v>2860</v>
      </c>
      <c r="B9" s="3072"/>
      <c r="C9" s="3070"/>
      <c r="D9" s="3070"/>
      <c r="E9" s="3070"/>
      <c r="F9" s="3070"/>
    </row>
    <row r="10" spans="1:9" ht="16.5">
      <c r="A10" s="3069" t="s">
        <v>2861</v>
      </c>
      <c r="B10" s="3072"/>
      <c r="C10" s="3070"/>
      <c r="D10" s="3070"/>
      <c r="E10" s="3070"/>
      <c r="F10" s="3070"/>
    </row>
    <row r="11" spans="1:9" ht="16.5">
      <c r="A11" s="3069" t="s">
        <v>2878</v>
      </c>
      <c r="B11" s="3072"/>
      <c r="C11" s="3070"/>
      <c r="D11" s="3070"/>
      <c r="E11" s="3070"/>
      <c r="F11" s="3070"/>
    </row>
    <row r="12" spans="1:9" ht="16.5">
      <c r="A12" s="3070"/>
      <c r="B12" s="3070"/>
      <c r="C12" s="3070"/>
      <c r="D12" s="3070"/>
      <c r="E12" s="3070"/>
      <c r="F12" s="3070"/>
    </row>
    <row r="13" spans="1:9" ht="33">
      <c r="A13" s="3075" t="s">
        <v>2877</v>
      </c>
      <c r="B13" s="3073" t="s">
        <v>2849</v>
      </c>
      <c r="C13" s="3073" t="s">
        <v>2850</v>
      </c>
      <c r="D13" s="3073" t="s">
        <v>2862</v>
      </c>
      <c r="E13" s="3069" t="s">
        <v>2876</v>
      </c>
      <c r="F13" s="3069" t="s">
        <v>2855</v>
      </c>
      <c r="G13" s="3073" t="s">
        <v>2863</v>
      </c>
      <c r="H13" s="3073" t="s">
        <v>2864</v>
      </c>
      <c r="I13" s="3073" t="s">
        <v>2865</v>
      </c>
    </row>
    <row r="14" spans="1:9" ht="16.5">
      <c r="A14" s="3076" t="s">
        <v>2875</v>
      </c>
      <c r="B14" s="3073">
        <f>结果表!L38</f>
        <v>104990.39999999999</v>
      </c>
      <c r="C14" s="3073">
        <f>结果表!K38</f>
        <v>87492</v>
      </c>
      <c r="D14" s="3073">
        <f ca="1">结果表!C42</f>
        <v>34446</v>
      </c>
      <c r="E14" s="3073">
        <f ca="1">ROUND(D14*10000/B14,0)</f>
        <v>3281</v>
      </c>
      <c r="F14" s="3073">
        <f ca="1">ROUND(D14*10000/C14,0)</f>
        <v>3937</v>
      </c>
      <c r="G14" s="3073">
        <f ca="1">结果表!C44</f>
        <v>34446</v>
      </c>
      <c r="H14" s="3073" t="str">
        <f>结果表!C45</f>
        <v>——</v>
      </c>
      <c r="I14" s="3073" t="str">
        <f>结果表!C46</f>
        <v>——</v>
      </c>
    </row>
    <row r="15" spans="1:9" ht="16.5">
      <c r="A15" s="3076" t="s">
        <v>2866</v>
      </c>
      <c r="B15" s="3077">
        <v>7377.45</v>
      </c>
      <c r="C15" s="3077">
        <v>49183</v>
      </c>
      <c r="D15" s="3077">
        <v>8099</v>
      </c>
      <c r="E15" s="3073">
        <f t="shared" ref="E15:E23" si="2">ROUND(D15*10000/B15,0)</f>
        <v>10978</v>
      </c>
      <c r="F15" s="3073">
        <f t="shared" ref="F15:F23" si="3">ROUND(D15*10000/C15,0)</f>
        <v>1647</v>
      </c>
      <c r="G15" s="3074">
        <v>8099</v>
      </c>
      <c r="H15" s="3074"/>
      <c r="I15" s="3077"/>
    </row>
    <row r="16" spans="1:9" ht="16.5">
      <c r="A16" s="3076" t="s">
        <v>2867</v>
      </c>
      <c r="B16" s="3077"/>
      <c r="C16" s="3077"/>
      <c r="D16" s="3077"/>
      <c r="E16" s="3073" t="e">
        <f t="shared" si="2"/>
        <v>#DIV/0!</v>
      </c>
      <c r="F16" s="3073" t="e">
        <f t="shared" si="3"/>
        <v>#DIV/0!</v>
      </c>
      <c r="G16" s="3074"/>
      <c r="H16" s="3074"/>
      <c r="I16" s="3077"/>
    </row>
    <row r="17" spans="1:9" ht="16.5">
      <c r="A17" s="3076" t="s">
        <v>2868</v>
      </c>
      <c r="B17" s="3077"/>
      <c r="C17" s="3077"/>
      <c r="D17" s="3077"/>
      <c r="E17" s="3073" t="e">
        <f t="shared" si="2"/>
        <v>#DIV/0!</v>
      </c>
      <c r="F17" s="3073" t="e">
        <f t="shared" si="3"/>
        <v>#DIV/0!</v>
      </c>
      <c r="G17" s="3074"/>
      <c r="H17" s="3074"/>
      <c r="I17" s="3077"/>
    </row>
    <row r="18" spans="1:9" ht="16.5">
      <c r="A18" s="3076" t="s">
        <v>2869</v>
      </c>
      <c r="B18" s="3077"/>
      <c r="C18" s="3077"/>
      <c r="D18" s="3077"/>
      <c r="E18" s="3073" t="e">
        <f t="shared" si="2"/>
        <v>#DIV/0!</v>
      </c>
      <c r="F18" s="3073" t="e">
        <f t="shared" si="3"/>
        <v>#DIV/0!</v>
      </c>
      <c r="G18" s="3077"/>
      <c r="H18" s="3077"/>
      <c r="I18" s="3077"/>
    </row>
    <row r="19" spans="1:9" ht="16.5">
      <c r="A19" s="3076" t="s">
        <v>2870</v>
      </c>
      <c r="B19" s="3077"/>
      <c r="C19" s="3077"/>
      <c r="D19" s="3077"/>
      <c r="E19" s="3073" t="e">
        <f t="shared" si="2"/>
        <v>#DIV/0!</v>
      </c>
      <c r="F19" s="3073" t="e">
        <f t="shared" si="3"/>
        <v>#DIV/0!</v>
      </c>
      <c r="G19" s="3077"/>
      <c r="H19" s="3077"/>
      <c r="I19" s="3077"/>
    </row>
    <row r="20" spans="1:9" ht="16.5">
      <c r="A20" s="3076" t="s">
        <v>2871</v>
      </c>
      <c r="B20" s="3077"/>
      <c r="C20" s="3077"/>
      <c r="D20" s="3077"/>
      <c r="E20" s="3073" t="e">
        <f t="shared" si="2"/>
        <v>#DIV/0!</v>
      </c>
      <c r="F20" s="3073" t="e">
        <f t="shared" si="3"/>
        <v>#DIV/0!</v>
      </c>
      <c r="G20" s="3077"/>
      <c r="H20" s="3077"/>
      <c r="I20" s="3077"/>
    </row>
    <row r="21" spans="1:9" ht="16.5">
      <c r="A21" s="3076" t="s">
        <v>2872</v>
      </c>
      <c r="B21" s="3077"/>
      <c r="C21" s="3077"/>
      <c r="D21" s="3077"/>
      <c r="E21" s="3073" t="e">
        <f t="shared" si="2"/>
        <v>#DIV/0!</v>
      </c>
      <c r="F21" s="3073" t="e">
        <f t="shared" si="3"/>
        <v>#DIV/0!</v>
      </c>
      <c r="G21" s="3077"/>
      <c r="H21" s="3077"/>
      <c r="I21" s="3077"/>
    </row>
    <row r="22" spans="1:9" ht="16.5">
      <c r="A22" s="3076" t="s">
        <v>2873</v>
      </c>
      <c r="B22" s="3077"/>
      <c r="C22" s="3077"/>
      <c r="D22" s="3077"/>
      <c r="E22" s="3073" t="e">
        <f t="shared" si="2"/>
        <v>#DIV/0!</v>
      </c>
      <c r="F22" s="3073" t="e">
        <f t="shared" si="3"/>
        <v>#DIV/0!</v>
      </c>
      <c r="G22" s="3077"/>
      <c r="H22" s="3077"/>
      <c r="I22" s="3077"/>
    </row>
    <row r="23" spans="1:9" ht="16.5">
      <c r="A23" s="3076" t="s">
        <v>2874</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SheetLayoutView="100" zoomScalePageLayoutView="80" workbookViewId="0">
      <selection activeCell="I22" sqref="I22"/>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4" t="s">
        <v>2057</v>
      </c>
      <c r="B1" s="1775"/>
      <c r="C1" s="1803" t="s">
        <v>2058</v>
      </c>
      <c r="D1" s="1804" t="s">
        <v>3217</v>
      </c>
      <c r="E1" s="1803" t="s">
        <v>2059</v>
      </c>
      <c r="F1" s="1805" t="s">
        <v>3184</v>
      </c>
      <c r="G1" s="310"/>
      <c r="H1" s="310"/>
      <c r="I1" s="310"/>
      <c r="J1" s="2026"/>
      <c r="K1" s="2026"/>
      <c r="L1" s="2026"/>
      <c r="M1" s="2026"/>
      <c r="N1" s="2026"/>
      <c r="O1" s="2026"/>
      <c r="P1" s="2026"/>
      <c r="Q1" s="2026"/>
      <c r="R1" s="2026"/>
      <c r="S1" s="2026"/>
      <c r="T1" s="2026"/>
      <c r="U1" s="2026"/>
      <c r="V1" s="2026"/>
    </row>
    <row r="2" spans="1:22" ht="21.75" customHeight="1" thickBot="1">
      <c r="A2" s="3370" t="str">
        <f>项目基本情况!K2</f>
        <v>四川省峨眉山市峨山镇保宁村2宗住宅、商业出让国有建设用地使用权</v>
      </c>
      <c r="B2" s="3371"/>
      <c r="C2" s="3372"/>
      <c r="D2" s="3372"/>
      <c r="E2" s="3372"/>
      <c r="F2" s="3372"/>
      <c r="G2" s="3371"/>
      <c r="H2" s="3371"/>
      <c r="I2" s="3373"/>
      <c r="J2" s="2027"/>
      <c r="K2" s="2026"/>
      <c r="L2" s="2026"/>
      <c r="M2" s="2026"/>
      <c r="N2" s="2026"/>
      <c r="O2" s="2026"/>
      <c r="P2" s="2026"/>
      <c r="Q2" s="2026"/>
      <c r="R2" s="2026"/>
      <c r="S2" s="2026"/>
      <c r="T2" s="2026"/>
      <c r="U2" s="2026"/>
      <c r="V2" s="2026"/>
    </row>
    <row r="3" spans="1:22" ht="14.25">
      <c r="A3" s="3381" t="s">
        <v>298</v>
      </c>
      <c r="B3" s="3382"/>
      <c r="C3" s="3382"/>
      <c r="D3" s="3382"/>
      <c r="E3" s="3382"/>
      <c r="F3" s="3382"/>
      <c r="G3" s="3382"/>
      <c r="H3" s="3382"/>
      <c r="I3" s="3382"/>
      <c r="J3" s="2027"/>
      <c r="K3" s="2026"/>
      <c r="L3" s="2026"/>
      <c r="M3" s="2026"/>
      <c r="N3" s="2026"/>
      <c r="O3" s="2026"/>
      <c r="P3" s="2026"/>
      <c r="Q3" s="2026"/>
      <c r="R3" s="2026"/>
      <c r="S3" s="2026"/>
      <c r="T3" s="2026"/>
      <c r="U3" s="2026"/>
      <c r="V3" s="2026"/>
    </row>
    <row r="4" spans="1:22" ht="14.25">
      <c r="A4" s="257" t="s">
        <v>299</v>
      </c>
      <c r="B4" s="258" t="s">
        <v>300</v>
      </c>
      <c r="C4" s="259" t="s">
        <v>3185</v>
      </c>
      <c r="D4" s="259" t="s">
        <v>3216</v>
      </c>
      <c r="E4" s="3345" t="s">
        <v>301</v>
      </c>
      <c r="F4" s="3387"/>
      <c r="G4" s="3387"/>
      <c r="H4" s="3387"/>
      <c r="I4" s="3346"/>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74" t="s">
        <v>302</v>
      </c>
      <c r="B5" s="3375">
        <v>25</v>
      </c>
      <c r="C5" s="3383"/>
      <c r="D5" s="3386"/>
      <c r="E5" s="260" t="s">
        <v>303</v>
      </c>
      <c r="F5" s="261"/>
      <c r="G5" s="261"/>
      <c r="H5" s="261"/>
      <c r="I5" s="262"/>
      <c r="J5" s="2027"/>
      <c r="K5" s="2026"/>
      <c r="L5" s="2026"/>
      <c r="M5" s="2026"/>
      <c r="N5" s="2026"/>
      <c r="O5" s="2026"/>
      <c r="P5" s="2026"/>
      <c r="Q5" s="2026"/>
      <c r="R5" s="2026"/>
      <c r="S5" s="2026"/>
      <c r="T5" s="2026"/>
      <c r="U5" s="2026"/>
      <c r="V5" s="2026"/>
    </row>
    <row r="6" spans="1:22" ht="14.25">
      <c r="A6" s="3374"/>
      <c r="B6" s="3375"/>
      <c r="C6" s="3384"/>
      <c r="D6" s="3386"/>
      <c r="E6" s="260" t="s">
        <v>304</v>
      </c>
      <c r="F6" s="261"/>
      <c r="G6" s="261"/>
      <c r="H6" s="261"/>
      <c r="I6" s="262"/>
      <c r="J6" s="2027"/>
      <c r="K6" s="2026"/>
      <c r="L6" s="2026"/>
      <c r="M6" s="2026"/>
      <c r="N6" s="2026"/>
      <c r="O6" s="2026"/>
      <c r="P6" s="2026"/>
      <c r="Q6" s="2026"/>
      <c r="R6" s="2026"/>
      <c r="S6" s="2026"/>
      <c r="T6" s="2026"/>
      <c r="U6" s="2026"/>
      <c r="V6" s="2026"/>
    </row>
    <row r="7" spans="1:22" ht="14.25">
      <c r="A7" s="3374"/>
      <c r="B7" s="3375"/>
      <c r="C7" s="3385"/>
      <c r="D7" s="3386"/>
      <c r="E7" s="260" t="s">
        <v>305</v>
      </c>
      <c r="F7" s="261"/>
      <c r="G7" s="261"/>
      <c r="H7" s="261"/>
      <c r="I7" s="262"/>
      <c r="J7" s="2027"/>
      <c r="K7" s="2026"/>
      <c r="L7" s="2026"/>
      <c r="M7" s="2026"/>
      <c r="N7" s="2026"/>
      <c r="O7" s="2026"/>
      <c r="P7" s="2026"/>
      <c r="Q7" s="2026"/>
      <c r="R7" s="2026"/>
      <c r="S7" s="2026"/>
      <c r="T7" s="2026"/>
      <c r="U7" s="2026"/>
      <c r="V7" s="2026"/>
    </row>
    <row r="8" spans="1:22" ht="14.25">
      <c r="A8" s="3374" t="s">
        <v>306</v>
      </c>
      <c r="B8" s="3375">
        <v>15</v>
      </c>
      <c r="C8" s="3383"/>
      <c r="D8" s="3386"/>
      <c r="E8" s="260" t="s">
        <v>307</v>
      </c>
      <c r="F8" s="261"/>
      <c r="G8" s="261"/>
      <c r="H8" s="261"/>
      <c r="I8" s="262"/>
      <c r="J8" s="2027"/>
      <c r="K8" s="2026"/>
      <c r="L8" s="2026"/>
      <c r="M8" s="2026"/>
      <c r="N8" s="2026"/>
      <c r="O8" s="2026"/>
      <c r="P8" s="2026"/>
      <c r="Q8" s="2026"/>
      <c r="R8" s="2026"/>
      <c r="S8" s="2026"/>
      <c r="T8" s="2026"/>
      <c r="U8" s="2026"/>
      <c r="V8" s="2026"/>
    </row>
    <row r="9" spans="1:22" ht="14.25">
      <c r="A9" s="3374"/>
      <c r="B9" s="3375"/>
      <c r="C9" s="3385"/>
      <c r="D9" s="3386"/>
      <c r="E9" s="260" t="s">
        <v>308</v>
      </c>
      <c r="F9" s="261"/>
      <c r="G9" s="261"/>
      <c r="H9" s="261"/>
      <c r="I9" s="262"/>
      <c r="J9" s="2027"/>
      <c r="K9" s="2026"/>
      <c r="L9" s="2026"/>
      <c r="M9" s="2026"/>
      <c r="N9" s="2026"/>
      <c r="O9" s="2026"/>
      <c r="P9" s="2026"/>
      <c r="Q9" s="2026"/>
      <c r="R9" s="2026"/>
      <c r="S9" s="2026"/>
      <c r="T9" s="2026"/>
      <c r="U9" s="2026"/>
      <c r="V9" s="2026"/>
    </row>
    <row r="10" spans="1:22" ht="14.25">
      <c r="A10" s="3374" t="s">
        <v>309</v>
      </c>
      <c r="B10" s="3375">
        <v>15</v>
      </c>
      <c r="C10" s="3383"/>
      <c r="D10" s="3386"/>
      <c r="E10" s="260" t="s">
        <v>310</v>
      </c>
      <c r="F10" s="261"/>
      <c r="G10" s="261"/>
      <c r="H10" s="261"/>
      <c r="I10" s="262"/>
      <c r="J10" s="2027"/>
      <c r="K10" s="2026"/>
      <c r="L10" s="2026"/>
      <c r="M10" s="2026"/>
      <c r="N10" s="2026"/>
      <c r="O10" s="2026"/>
      <c r="P10" s="2026"/>
      <c r="Q10" s="2026"/>
      <c r="R10" s="2026"/>
      <c r="S10" s="2026"/>
      <c r="T10" s="2026"/>
      <c r="U10" s="2026"/>
      <c r="V10" s="2026"/>
    </row>
    <row r="11" spans="1:22" ht="14.25">
      <c r="A11" s="3374"/>
      <c r="B11" s="3375"/>
      <c r="C11" s="3385"/>
      <c r="D11" s="3386"/>
      <c r="E11" s="260" t="s">
        <v>311</v>
      </c>
      <c r="F11" s="261"/>
      <c r="G11" s="261"/>
      <c r="H11" s="261"/>
      <c r="I11" s="262"/>
      <c r="J11" s="2027"/>
      <c r="K11" s="2026"/>
      <c r="L11" s="2026"/>
      <c r="M11" s="2026"/>
      <c r="N11" s="2026"/>
      <c r="O11" s="2026"/>
      <c r="P11" s="2026"/>
      <c r="Q11" s="2026"/>
      <c r="R11" s="2026"/>
      <c r="S11" s="2026"/>
      <c r="T11" s="2026"/>
      <c r="U11" s="2026"/>
      <c r="V11" s="2026"/>
    </row>
    <row r="12" spans="1:22" ht="14.25">
      <c r="A12" s="3374" t="s">
        <v>312</v>
      </c>
      <c r="B12" s="3375">
        <v>15</v>
      </c>
      <c r="C12" s="3383"/>
      <c r="D12" s="3386"/>
      <c r="E12" s="260" t="s">
        <v>313</v>
      </c>
      <c r="F12" s="261"/>
      <c r="G12" s="261"/>
      <c r="H12" s="261"/>
      <c r="I12" s="262"/>
      <c r="J12" s="2027"/>
      <c r="K12" s="2026"/>
      <c r="L12" s="2026"/>
      <c r="M12" s="2026"/>
      <c r="N12" s="2026"/>
      <c r="O12" s="2026"/>
      <c r="P12" s="2026"/>
      <c r="Q12" s="2026"/>
      <c r="R12" s="2026"/>
      <c r="S12" s="2026"/>
      <c r="T12" s="2026"/>
      <c r="U12" s="2026"/>
      <c r="V12" s="2026"/>
    </row>
    <row r="13" spans="1:22" ht="14.25">
      <c r="A13" s="3374"/>
      <c r="B13" s="3375"/>
      <c r="C13" s="3385"/>
      <c r="D13" s="3386"/>
      <c r="E13" s="260" t="s">
        <v>314</v>
      </c>
      <c r="F13" s="261"/>
      <c r="G13" s="261"/>
      <c r="H13" s="261"/>
      <c r="I13" s="262"/>
      <c r="J13" s="2027"/>
      <c r="K13" s="2026"/>
      <c r="L13" s="2026"/>
      <c r="M13" s="2026"/>
      <c r="N13" s="2026"/>
      <c r="O13" s="2026"/>
      <c r="P13" s="2026"/>
      <c r="Q13" s="2026"/>
      <c r="R13" s="2026"/>
      <c r="S13" s="2026"/>
      <c r="T13" s="2026"/>
      <c r="U13" s="2026"/>
      <c r="V13" s="2026"/>
    </row>
    <row r="14" spans="1:22" ht="14.25">
      <c r="A14" s="3374" t="s">
        <v>315</v>
      </c>
      <c r="B14" s="3375">
        <v>30</v>
      </c>
      <c r="C14" s="3383">
        <v>6</v>
      </c>
      <c r="D14" s="3386">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74"/>
      <c r="B15" s="3375"/>
      <c r="C15" s="3384"/>
      <c r="D15" s="3386"/>
      <c r="E15" s="260" t="s">
        <v>317</v>
      </c>
      <c r="F15" s="261"/>
      <c r="G15" s="261"/>
      <c r="H15" s="261"/>
      <c r="I15" s="262"/>
      <c r="J15" s="2027"/>
      <c r="K15" s="2026"/>
      <c r="L15" s="2026"/>
      <c r="M15" s="2026"/>
      <c r="N15" s="2026"/>
      <c r="O15" s="2026"/>
      <c r="P15" s="2026"/>
      <c r="Q15" s="2026"/>
      <c r="R15" s="2026"/>
      <c r="S15" s="2026"/>
      <c r="T15" s="2026"/>
      <c r="U15" s="2026"/>
      <c r="V15" s="2026"/>
    </row>
    <row r="16" spans="1:22" ht="14.25">
      <c r="A16" s="3374"/>
      <c r="B16" s="3375"/>
      <c r="C16" s="3385"/>
      <c r="D16" s="3386"/>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19274</v>
      </c>
      <c r="D19" s="270">
        <f ca="1">SUMIF(INDIRECT("'"&amp;D4&amp;"'"&amp;"!A:A"),结果表!B19,INDIRECT("'"&amp;D4&amp;"'"&amp;"!B:B"))</f>
        <v>57205</v>
      </c>
      <c r="E19" s="267" t="s">
        <v>323</v>
      </c>
      <c r="F19" s="268" t="s">
        <v>322</v>
      </c>
      <c r="G19" s="271">
        <f ca="1">ROUND(C19*$C$18+D19*$D$18,0)</f>
        <v>34446</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1836</v>
      </c>
      <c r="D20" s="276">
        <f ca="1">SUMIF(INDIRECT("'"&amp;D4&amp;"'"&amp;"!A:A"),结果表!B20,INDIRECT("'"&amp;D4&amp;"'"&amp;"!B:B"))</f>
        <v>5449</v>
      </c>
      <c r="E20" s="273"/>
      <c r="F20" s="274" t="s">
        <v>325</v>
      </c>
      <c r="G20" s="277">
        <f ca="1">ROUND(C20*$C$18+D20*$D$18,0)</f>
        <v>3281</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2203</v>
      </c>
      <c r="D21" s="151">
        <f ca="1">SUMIF(INDIRECT("'"&amp;D4&amp;"'"&amp;"!A:A"),结果表!B21,INDIRECT("'"&amp;D4&amp;"'"&amp;"!B:B"))</f>
        <v>6538</v>
      </c>
      <c r="E21" s="273"/>
      <c r="F21" s="279" t="s">
        <v>327</v>
      </c>
      <c r="G21" s="281">
        <f ca="1">ROUND(C21*$C$18+D21*$D$18,0)</f>
        <v>3937</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1.9679879630590431</v>
      </c>
      <c r="E22" s="283"/>
      <c r="F22" s="284"/>
      <c r="G22" s="285">
        <f ca="1">ROUND(G19/('数据-汇总表'!D3/666.67),0)</f>
        <v>262</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47"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89"/>
      <c r="B25" s="1320" t="s">
        <v>331</v>
      </c>
      <c r="C25" s="289">
        <f>IF(B30=0,0,C30)</f>
        <v>0</v>
      </c>
      <c r="D25" s="290"/>
      <c r="E25" s="310"/>
      <c r="F25" s="310"/>
      <c r="G25" s="310"/>
      <c r="H25" s="310"/>
      <c r="I25" s="310"/>
      <c r="J25" s="2026"/>
      <c r="K25" s="1254" t="str">
        <f ca="1">项目基本情况!B16&amp;"国有建设用地使用权价格："&amp;O38&amp;"万元"</f>
        <v>出让国有建设用地使用权价格：34446万元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大写金额：人民币叁亿肆仟肆佰肆拾陆万元整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单位面积地价：3937元/平方米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楼面地价：3281元/平方米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抵押价格：34446万元</v>
      </c>
      <c r="L29" s="1251"/>
      <c r="M29" s="1251"/>
      <c r="N29" s="1251"/>
      <c r="O29" s="1250"/>
      <c r="P29" s="2026"/>
      <c r="V29" s="2026"/>
    </row>
    <row r="30" spans="1:26" ht="18.75" thickBot="1">
      <c r="A30" s="3164" t="s">
        <v>336</v>
      </c>
      <c r="B30" s="308"/>
      <c r="C30" s="308"/>
      <c r="D30" s="309"/>
      <c r="E30" s="3165" t="s">
        <v>2975</v>
      </c>
      <c r="F30" s="310"/>
      <c r="G30" s="310"/>
      <c r="H30" s="310"/>
      <c r="I30" s="310"/>
      <c r="J30" s="2026"/>
      <c r="K30" s="1257" t="str">
        <f ca="1">IF(K29="——","——","大写金额：人民币"&amp;NUMBERSTRING(INT(O39*10000),2)&amp;"元整")</f>
        <v>大写金额：人民币叁亿肆仟肆佰肆拾陆万元整</v>
      </c>
      <c r="L30" s="1251"/>
      <c r="M30" s="1251"/>
      <c r="N30" s="1251"/>
      <c r="O30" s="1250"/>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v>
      </c>
      <c r="L31" s="2486"/>
      <c r="M31" s="2486"/>
      <c r="N31" s="2486"/>
      <c r="O31" s="2487"/>
      <c r="P31" s="2026"/>
      <c r="V31" s="2026"/>
    </row>
    <row r="32" spans="1:26" ht="18.75" thickBot="1">
      <c r="A32" s="267" t="s">
        <v>337</v>
      </c>
      <c r="B32" s="1380" t="s">
        <v>1690</v>
      </c>
      <c r="C32" s="1381">
        <f ca="1">G19-C24</f>
        <v>34446</v>
      </c>
      <c r="D32" s="1382" t="s">
        <v>1691</v>
      </c>
      <c r="E32" s="310"/>
      <c r="F32" s="310"/>
      <c r="G32" s="310"/>
      <c r="H32" s="310"/>
      <c r="I32" s="310"/>
      <c r="J32" s="2026"/>
      <c r="K32" s="2485" t="str">
        <f>IF(K31="——","——","大写金额：人民币"&amp;NUMBERSTRING(INT(O40*10000),2)&amp;"元整")</f>
        <v>——</v>
      </c>
      <c r="L32" s="2488"/>
      <c r="M32" s="2488"/>
      <c r="N32" s="2488"/>
      <c r="O32" s="2489"/>
      <c r="P32" s="2026"/>
      <c r="V32" s="2026"/>
    </row>
    <row r="33" spans="1:26" ht="18.75" thickBot="1">
      <c r="A33" s="297" t="s">
        <v>340</v>
      </c>
      <c r="B33" s="1383" t="s">
        <v>1692</v>
      </c>
      <c r="C33" s="263">
        <f ca="1">ROUND(C32*10000/'数据-汇总表'!E3,0)</f>
        <v>3281</v>
      </c>
      <c r="D33" s="1384" t="s">
        <v>1693</v>
      </c>
      <c r="E33" s="3347" t="s">
        <v>338</v>
      </c>
      <c r="F33" s="295" t="s">
        <v>339</v>
      </c>
      <c r="G33" s="296"/>
      <c r="H33" s="979"/>
      <c r="I33" s="1258"/>
      <c r="J33" s="2026"/>
      <c r="K33" s="1257" t="str">
        <f>IF(项目基本情况!E9="——","——","抵押净值："&amp;C46&amp;"万元")</f>
        <v>——</v>
      </c>
      <c r="L33" s="1251"/>
      <c r="M33" s="1251"/>
      <c r="N33" s="1251"/>
      <c r="O33" s="1250"/>
      <c r="P33" s="2026"/>
      <c r="V33" s="2026"/>
    </row>
    <row r="34" spans="1:26" s="1253" customFormat="1" ht="18.75" thickBot="1">
      <c r="A34" s="299"/>
      <c r="B34" s="1385" t="s">
        <v>1694</v>
      </c>
      <c r="C34" s="263">
        <f ca="1">ROUND(C32*10000/'数据-汇总表'!D3,0)</f>
        <v>3937</v>
      </c>
      <c r="D34" s="1386" t="s">
        <v>1693</v>
      </c>
      <c r="E34" s="3348"/>
      <c r="F34" s="127" t="s">
        <v>341</v>
      </c>
      <c r="G34" s="298"/>
      <c r="H34" s="105"/>
      <c r="I34" s="310"/>
      <c r="J34" s="2026"/>
      <c r="K34" s="1260" t="str">
        <f>IF(K33="——","——","大写金额：人民币"&amp;NUMBERSTRING(INT(O41*10000),2)&amp;"元整")</f>
        <v>——</v>
      </c>
      <c r="L34" s="1261"/>
      <c r="M34" s="1261"/>
      <c r="N34" s="1261"/>
      <c r="O34" s="1262"/>
      <c r="P34" s="2026"/>
      <c r="Q34" s="291"/>
      <c r="R34" s="291"/>
      <c r="S34" s="291"/>
      <c r="T34" s="291"/>
      <c r="U34" s="291"/>
      <c r="V34" s="2026"/>
      <c r="W34" s="291"/>
      <c r="X34" s="291"/>
      <c r="Y34" s="291"/>
      <c r="Z34" s="291"/>
    </row>
    <row r="35" spans="1:26" ht="15.75" thickBot="1">
      <c r="A35" s="283"/>
      <c r="B35" s="1387"/>
      <c r="C35" s="1388">
        <f ca="1">ROUND(C32/('数据-汇总表'!D3/666.67),0)</f>
        <v>262</v>
      </c>
      <c r="D35" s="1389" t="s">
        <v>1695</v>
      </c>
      <c r="E35" s="3349"/>
      <c r="F35" s="300" t="s">
        <v>342</v>
      </c>
      <c r="G35" s="981"/>
      <c r="H35" s="980" t="s">
        <v>343</v>
      </c>
      <c r="I35" s="310"/>
      <c r="J35" s="2026"/>
      <c r="K35" s="3353" t="s">
        <v>350</v>
      </c>
      <c r="L35" s="3353" t="s">
        <v>351</v>
      </c>
      <c r="M35" s="1263" t="s">
        <v>352</v>
      </c>
      <c r="N35" s="3353" t="s">
        <v>353</v>
      </c>
      <c r="O35" s="3353" t="s">
        <v>354</v>
      </c>
      <c r="P35" s="2026"/>
      <c r="V35" s="2026"/>
    </row>
    <row r="36" spans="1:26" ht="16.5" customHeight="1">
      <c r="A36" s="302" t="s">
        <v>344</v>
      </c>
      <c r="B36" s="303" t="s">
        <v>333</v>
      </c>
      <c r="C36" s="304" t="s">
        <v>345</v>
      </c>
      <c r="D36" s="304" t="s">
        <v>346</v>
      </c>
      <c r="E36" s="305" t="s">
        <v>347</v>
      </c>
      <c r="F36" s="310"/>
      <c r="G36" s="310"/>
      <c r="H36" s="310"/>
      <c r="I36" s="310"/>
      <c r="J36" s="2028"/>
      <c r="K36" s="3354"/>
      <c r="L36" s="3354"/>
      <c r="M36" s="1265" t="s">
        <v>355</v>
      </c>
      <c r="N36" s="3354"/>
      <c r="O36" s="3354"/>
      <c r="P36" s="2026"/>
      <c r="V36" s="2026"/>
    </row>
    <row r="37" spans="1:26" ht="16.5" customHeight="1" thickBot="1">
      <c r="A37" s="1259" t="s">
        <v>348</v>
      </c>
      <c r="B37" s="306"/>
      <c r="C37" s="293"/>
      <c r="D37" s="293"/>
      <c r="E37" s="294"/>
      <c r="F37" s="310"/>
      <c r="G37" s="310"/>
      <c r="H37" s="310"/>
      <c r="I37" s="310"/>
      <c r="J37" s="2028"/>
      <c r="K37" s="3355"/>
      <c r="L37" s="3355"/>
      <c r="M37" s="1266"/>
      <c r="N37" s="3355"/>
      <c r="O37" s="3355"/>
      <c r="P37" s="2026"/>
      <c r="V37" s="2026"/>
    </row>
    <row r="38" spans="1:26" ht="16.5" customHeight="1" thickBot="1">
      <c r="A38" s="1259" t="s">
        <v>349</v>
      </c>
      <c r="B38" s="306"/>
      <c r="C38" s="293"/>
      <c r="D38" s="293"/>
      <c r="E38" s="294"/>
      <c r="F38" s="310"/>
      <c r="G38" s="310"/>
      <c r="H38" s="310"/>
      <c r="I38" s="310"/>
      <c r="J38" s="2028"/>
      <c r="K38" s="1267">
        <f>'数据-汇总表'!D3</f>
        <v>87492</v>
      </c>
      <c r="L38" s="1268">
        <f>'数据-汇总表'!E3</f>
        <v>104990.39999999999</v>
      </c>
      <c r="M38" s="1268">
        <f ca="1">C34</f>
        <v>3937</v>
      </c>
      <c r="N38" s="1268">
        <f ca="1">C33</f>
        <v>3281</v>
      </c>
      <c r="O38" s="1269">
        <f ca="1">C32</f>
        <v>34446</v>
      </c>
      <c r="P38" s="2026"/>
      <c r="V38" s="2026"/>
    </row>
    <row r="39" spans="1:26" ht="16.5" customHeight="1" thickBot="1">
      <c r="A39" s="1264"/>
      <c r="B39" s="307"/>
      <c r="C39" s="308"/>
      <c r="D39" s="308"/>
      <c r="E39" s="309"/>
      <c r="F39" s="310"/>
      <c r="G39" s="310"/>
      <c r="H39" s="310"/>
      <c r="I39" s="310"/>
      <c r="J39" s="2028"/>
      <c r="K39" s="3330" t="str">
        <f>MID(A44,3,LEN(A44)-2)</f>
        <v>抵押价格</v>
      </c>
      <c r="L39" s="3331"/>
      <c r="M39" s="3331"/>
      <c r="N39" s="3332"/>
      <c r="O39" s="1391">
        <f ca="1">C44</f>
        <v>34446</v>
      </c>
      <c r="P39" s="2026"/>
      <c r="V39" s="2026"/>
    </row>
    <row r="40" spans="1:26" ht="19.5" thickBot="1">
      <c r="A40" s="104" t="s">
        <v>874</v>
      </c>
      <c r="B40" s="310"/>
      <c r="C40" s="310"/>
      <c r="D40" s="310"/>
      <c r="E40" s="310"/>
      <c r="F40" s="310"/>
      <c r="G40" s="310"/>
      <c r="H40" s="310"/>
      <c r="I40" s="310"/>
      <c r="J40" s="2028"/>
      <c r="K40" s="3330" t="str">
        <f t="shared" ref="K40:K41" si="0">MID(A45,3,LEN(A45)-2)</f>
        <v/>
      </c>
      <c r="L40" s="3331"/>
      <c r="M40" s="3331"/>
      <c r="N40" s="3332"/>
      <c r="O40" s="1391" t="str">
        <f>C45</f>
        <v>——</v>
      </c>
      <c r="P40" s="2026"/>
      <c r="V40" s="2026"/>
    </row>
    <row r="41" spans="1:26" ht="16.5" thickBot="1">
      <c r="A41" s="311" t="s">
        <v>356</v>
      </c>
      <c r="B41" s="312"/>
      <c r="C41" s="313" t="s">
        <v>357</v>
      </c>
      <c r="D41" s="314" t="s">
        <v>358</v>
      </c>
      <c r="E41" s="314" t="s">
        <v>359</v>
      </c>
      <c r="F41" s="315" t="s">
        <v>360</v>
      </c>
      <c r="G41" s="310"/>
      <c r="H41" s="310"/>
      <c r="I41" s="310"/>
      <c r="J41" s="2028"/>
      <c r="K41" s="3330" t="str">
        <f t="shared" si="0"/>
        <v/>
      </c>
      <c r="L41" s="3331"/>
      <c r="M41" s="3331"/>
      <c r="N41" s="3332"/>
      <c r="O41" s="1391" t="str">
        <f>C46</f>
        <v>——</v>
      </c>
      <c r="P41" s="2026"/>
      <c r="V41" s="2026"/>
    </row>
    <row r="42" spans="1:26" ht="29.25">
      <c r="A42" s="3390" t="s">
        <v>2069</v>
      </c>
      <c r="B42" s="3391"/>
      <c r="C42" s="263">
        <f ca="1">C32</f>
        <v>34446</v>
      </c>
      <c r="D42" s="316">
        <f ca="1">C33</f>
        <v>3281</v>
      </c>
      <c r="E42" s="316">
        <f ca="1">C34</f>
        <v>3937</v>
      </c>
      <c r="F42" s="317">
        <f ca="1">C35</f>
        <v>262</v>
      </c>
      <c r="G42" s="310"/>
      <c r="H42" s="310"/>
      <c r="I42" s="318"/>
      <c r="J42" s="2028"/>
      <c r="K42" s="1270" t="s">
        <v>361</v>
      </c>
      <c r="L42" s="2045" t="s">
        <v>362</v>
      </c>
      <c r="M42" s="1271" t="s">
        <v>363</v>
      </c>
      <c r="N42" s="2046" t="s">
        <v>364</v>
      </c>
      <c r="O42" s="2047" t="s">
        <v>365</v>
      </c>
      <c r="P42" s="2026"/>
      <c r="V42" s="2026"/>
    </row>
    <row r="43" spans="1:26" ht="30">
      <c r="A43" s="3400" t="s">
        <v>2735</v>
      </c>
      <c r="B43" s="3401"/>
      <c r="C43" s="263">
        <f>IF(H33="正常操作",G33+G34+G35,G34+G35)</f>
        <v>0</v>
      </c>
      <c r="D43" s="316" t="s">
        <v>43</v>
      </c>
      <c r="E43" s="316" t="s">
        <v>44</v>
      </c>
      <c r="F43" s="317" t="s">
        <v>44</v>
      </c>
      <c r="G43" s="2890" t="s">
        <v>953</v>
      </c>
      <c r="H43" s="310"/>
      <c r="I43" s="318"/>
      <c r="J43" s="2028"/>
      <c r="K43" s="1272" t="str">
        <f>C4</f>
        <v>比较法-住宅、综合</v>
      </c>
      <c r="L43" s="1273">
        <f ca="1">IF(L42="估价结果/万元",C19,C20)</f>
        <v>19274</v>
      </c>
      <c r="M43" s="1274">
        <f>C18</f>
        <v>0.6</v>
      </c>
      <c r="N43" s="1275">
        <f ca="1">IF(N42="测算结果/万元",G19,G20)</f>
        <v>34446</v>
      </c>
      <c r="O43" s="1276">
        <f ca="1">IF(O42="最终结果/万元",C32,C33)</f>
        <v>34446</v>
      </c>
      <c r="P43" s="2026"/>
      <c r="V43" s="2026"/>
    </row>
    <row r="44" spans="1:26" ht="30.75" thickBot="1">
      <c r="A44" s="3390" t="str">
        <f>IF(OR(项目基本情况!E8="抵押价格",项目基本情况!E8="已注销及未注销"),"3.抵押价格","——")</f>
        <v>3.抵押价格</v>
      </c>
      <c r="B44" s="3391"/>
      <c r="C44" s="263">
        <f ca="1">IF(A44="——","——",C42-C43)</f>
        <v>34446</v>
      </c>
      <c r="D44" s="316">
        <f ca="1">ROUND(C44*10000/'数据-汇总表'!E3,0)</f>
        <v>3281</v>
      </c>
      <c r="E44" s="316">
        <f ca="1">ROUND(C44*10000/'数据-汇总表'!D3,0)</f>
        <v>3937</v>
      </c>
      <c r="F44" s="317">
        <f ca="1">ROUND(C44/('数据-汇总表'!D3/666.67),0)</f>
        <v>262</v>
      </c>
      <c r="G44" s="310"/>
      <c r="H44" s="310"/>
      <c r="I44" s="318"/>
      <c r="J44" s="2028"/>
      <c r="K44" s="1277" t="str">
        <f>D4</f>
        <v>剩余法-待开发</v>
      </c>
      <c r="L44" s="1278">
        <f ca="1">IF(L42="估价结果/万元",D19,D20)</f>
        <v>57205</v>
      </c>
      <c r="M44" s="1279">
        <f>D18</f>
        <v>0.4</v>
      </c>
      <c r="N44" s="1280"/>
      <c r="O44" s="1281"/>
      <c r="P44" s="2026"/>
      <c r="V44" s="2026"/>
    </row>
    <row r="45" spans="1:26" ht="15">
      <c r="A45" s="3395" t="str">
        <f>IF(项目基本情况!E8="已注销及未注销","4.抵押担保权已注销时的抵押价格",IF(项目基本情况!E8="已注销","3.抵押担保权已注销时的抵押价格","——"))</f>
        <v>——</v>
      </c>
      <c r="B45" s="3396"/>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92" t="str">
        <f>IF(项目基本情况!E9="抵押净值",IF(A45="——","4.抵押净值","5.抵押净值"),"——")</f>
        <v>——</v>
      </c>
      <c r="B46" s="3393"/>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58" t="s">
        <v>374</v>
      </c>
      <c r="B63" s="3359"/>
      <c r="C63" s="3360"/>
      <c r="D63" s="340">
        <f ca="1">ROUND(C42*F63,0)</f>
        <v>20668</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97" t="s">
        <v>378</v>
      </c>
      <c r="B64" s="3398"/>
      <c r="C64" s="3398"/>
      <c r="D64" s="3398"/>
      <c r="E64" s="3398"/>
      <c r="F64" s="3398"/>
      <c r="G64" s="3399"/>
      <c r="H64" s="1287"/>
      <c r="I64" s="947"/>
      <c r="J64" s="1988"/>
      <c r="K64" s="1560"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94" t="s">
        <v>386</v>
      </c>
      <c r="B66" s="3365"/>
      <c r="C66" s="3365"/>
      <c r="D66" s="260">
        <f ca="1">IF(H66="情况1",0,IF(H66="情况2",D70,IF(H66="情况3",D71,IF(H66="情况4",D72))))</f>
        <v>1228</v>
      </c>
      <c r="E66" s="992" t="str">
        <f>IF(H66="情况4","(销售额-原购置价)×税（费）率","销售额×税（费）率")</f>
        <v>销售额×税（费）率</v>
      </c>
      <c r="F66" s="349">
        <f>IF(H66="情况1","免征",'数据-取费表'!B41)</f>
        <v>6.2719999999999998E-2</v>
      </c>
      <c r="G66" s="350" t="s">
        <v>387</v>
      </c>
      <c r="H66" s="191" t="s">
        <v>388</v>
      </c>
      <c r="I66" s="1287"/>
      <c r="J66" s="2032"/>
      <c r="K66" s="1290">
        <v>1</v>
      </c>
      <c r="L66" s="3334" t="s">
        <v>385</v>
      </c>
      <c r="M66" s="3335"/>
      <c r="N66" s="2480"/>
      <c r="O66" s="2481"/>
      <c r="P66" s="2482"/>
      <c r="Q66" s="2026"/>
      <c r="R66" s="2026"/>
      <c r="S66" s="2026"/>
      <c r="T66" s="2026"/>
      <c r="U66" s="2026"/>
      <c r="V66" s="2026"/>
    </row>
    <row r="67" spans="1:22" ht="25.5" customHeight="1">
      <c r="A67" s="351" t="s">
        <v>390</v>
      </c>
      <c r="B67" s="3377" t="s">
        <v>391</v>
      </c>
      <c r="C67" s="3377"/>
      <c r="D67" s="352">
        <v>0</v>
      </c>
      <c r="E67" s="41" t="s">
        <v>392</v>
      </c>
      <c r="F67" s="62" t="s">
        <v>21</v>
      </c>
      <c r="G67" s="3361"/>
      <c r="H67" s="310"/>
      <c r="I67" s="1291"/>
      <c r="J67" s="2033"/>
      <c r="K67" s="1974">
        <v>2</v>
      </c>
      <c r="L67" s="3333" t="s">
        <v>389</v>
      </c>
      <c r="M67" s="3333"/>
      <c r="N67" s="1324">
        <f>'数据-取费表'!B2</f>
        <v>43104</v>
      </c>
      <c r="O67" s="1324"/>
      <c r="P67" s="1324"/>
      <c r="Q67" s="2026"/>
      <c r="R67" s="2026"/>
      <c r="S67" s="2026"/>
      <c r="T67" s="2026"/>
      <c r="U67" s="2026"/>
      <c r="V67" s="2026"/>
    </row>
    <row r="68" spans="1:22" ht="25.5" customHeight="1">
      <c r="A68" s="353"/>
      <c r="B68" s="3377" t="s">
        <v>394</v>
      </c>
      <c r="C68" s="3377"/>
      <c r="D68" s="354"/>
      <c r="E68" s="77"/>
      <c r="F68" s="355"/>
      <c r="G68" s="3362"/>
      <c r="H68" s="310"/>
      <c r="I68" s="1291"/>
      <c r="J68" s="2033"/>
      <c r="K68" s="1974">
        <v>3</v>
      </c>
      <c r="L68" s="3333" t="s">
        <v>393</v>
      </c>
      <c r="M68" s="3333"/>
      <c r="N68" s="1292">
        <f ca="1">C42</f>
        <v>34446</v>
      </c>
      <c r="O68" s="1292"/>
      <c r="P68" s="1292"/>
      <c r="Q68" s="2026"/>
      <c r="R68" s="2026"/>
      <c r="S68" s="2026"/>
      <c r="T68" s="2026"/>
      <c r="U68" s="2026"/>
      <c r="V68" s="2026"/>
    </row>
    <row r="69" spans="1:22" ht="12" customHeight="1">
      <c r="A69" s="356"/>
      <c r="B69" s="3377" t="s">
        <v>395</v>
      </c>
      <c r="C69" s="3377"/>
      <c r="D69" s="357"/>
      <c r="E69" s="73"/>
      <c r="F69" s="355"/>
      <c r="G69" s="3363"/>
      <c r="H69" s="310"/>
      <c r="I69" s="1291"/>
      <c r="J69" s="2033"/>
      <c r="K69" s="1293">
        <v>4</v>
      </c>
      <c r="L69" s="3339" t="s">
        <v>2888</v>
      </c>
      <c r="M69" s="3340"/>
      <c r="N69" s="1294">
        <f ca="1">C44</f>
        <v>34446</v>
      </c>
      <c r="O69" s="1294"/>
      <c r="P69" s="1294"/>
      <c r="Q69" s="2026"/>
      <c r="R69" s="2026"/>
      <c r="S69" s="2026"/>
      <c r="T69" s="2026"/>
      <c r="U69" s="2026"/>
      <c r="V69" s="2026"/>
    </row>
    <row r="70" spans="1:22" ht="24" customHeight="1">
      <c r="A70" s="358" t="s">
        <v>396</v>
      </c>
      <c r="B70" s="3377" t="s">
        <v>397</v>
      </c>
      <c r="C70" s="3377"/>
      <c r="D70" s="357">
        <f ca="1">ROUND(D63*'数据-取费表'!B41/(1+'数据-取费表'!C42),0)</f>
        <v>1228</v>
      </c>
      <c r="E70" s="17" t="s">
        <v>398</v>
      </c>
      <c r="F70" s="359">
        <f>'数据-取费表'!B41</f>
        <v>6.2719999999999998E-2</v>
      </c>
      <c r="G70" s="360"/>
      <c r="H70" s="310"/>
      <c r="I70" s="1291"/>
      <c r="J70" s="2033"/>
      <c r="K70" s="3086"/>
      <c r="L70" s="3087"/>
      <c r="M70" s="3087"/>
      <c r="N70" s="3088" t="s">
        <v>2893</v>
      </c>
      <c r="O70" s="3087"/>
      <c r="P70" s="3089"/>
      <c r="Q70" s="2026"/>
      <c r="R70" s="2026"/>
      <c r="S70" s="2026"/>
      <c r="T70" s="2026"/>
      <c r="U70" s="2026"/>
      <c r="V70" s="2026"/>
    </row>
    <row r="71" spans="1:22" ht="12" customHeight="1">
      <c r="A71" s="358" t="s">
        <v>404</v>
      </c>
      <c r="B71" s="3376" t="s">
        <v>405</v>
      </c>
      <c r="C71" s="3388"/>
      <c r="D71" s="357">
        <f ca="1">ROUND(D63*'数据-取费表'!B41/(1+'数据-取费表'!C42),0)</f>
        <v>1228</v>
      </c>
      <c r="E71" s="17" t="s">
        <v>398</v>
      </c>
      <c r="F71" s="359">
        <f>'数据-取费表'!B41</f>
        <v>6.2719999999999998E-2</v>
      </c>
      <c r="G71" s="360"/>
      <c r="H71" s="310"/>
      <c r="I71" s="1291"/>
      <c r="J71" s="2033"/>
      <c r="K71" s="3085" t="s">
        <v>399</v>
      </c>
      <c r="L71" s="3341" t="s">
        <v>400</v>
      </c>
      <c r="M71" s="3341"/>
      <c r="N71" s="3085" t="s">
        <v>401</v>
      </c>
      <c r="O71" s="3085" t="s">
        <v>402</v>
      </c>
      <c r="P71" s="3085" t="s">
        <v>403</v>
      </c>
      <c r="Q71" s="2026"/>
      <c r="R71" s="2026"/>
      <c r="S71" s="2026"/>
      <c r="T71" s="2026"/>
      <c r="U71" s="2026"/>
      <c r="V71" s="2026"/>
    </row>
    <row r="72" spans="1:22" ht="12" customHeight="1">
      <c r="A72" s="358" t="s">
        <v>407</v>
      </c>
      <c r="B72" s="3376" t="s">
        <v>408</v>
      </c>
      <c r="C72" s="3388"/>
      <c r="D72" s="357">
        <f ca="1">C86</f>
        <v>1102</v>
      </c>
      <c r="E72" s="73" t="s">
        <v>409</v>
      </c>
      <c r="F72" s="359">
        <f>'数据-取费表'!B41</f>
        <v>6.2719999999999998E-2</v>
      </c>
      <c r="G72" s="360"/>
      <c r="H72" s="1297"/>
      <c r="I72" s="1291"/>
      <c r="J72" s="2033"/>
      <c r="K72" s="1974">
        <v>1</v>
      </c>
      <c r="L72" s="3338" t="s">
        <v>406</v>
      </c>
      <c r="M72" s="3338"/>
      <c r="N72" s="1295">
        <f ca="1">D66</f>
        <v>1228</v>
      </c>
      <c r="O72" s="1857" t="str">
        <f>E66</f>
        <v>销售额×税（费）率</v>
      </c>
      <c r="P72" s="1296">
        <f>F66</f>
        <v>6.2719999999999998E-2</v>
      </c>
      <c r="Q72" s="2026"/>
      <c r="R72" s="2026"/>
      <c r="S72" s="2026"/>
      <c r="T72" s="2026"/>
      <c r="U72" s="2026"/>
      <c r="V72" s="2026"/>
    </row>
    <row r="73" spans="1:22" ht="24" customHeight="1">
      <c r="A73" s="3364" t="s">
        <v>411</v>
      </c>
      <c r="B73" s="3365"/>
      <c r="C73" s="3365"/>
      <c r="D73" s="361">
        <f>IF(H73="个人住宅",0,ROUND(D63*I73,0))</f>
        <v>0</v>
      </c>
      <c r="E73" s="17" t="s">
        <v>412</v>
      </c>
      <c r="F73" s="359" t="str">
        <f>IF(H73="正常",I73,"免征")</f>
        <v>免征</v>
      </c>
      <c r="G73" s="360"/>
      <c r="H73" s="191" t="s">
        <v>2457</v>
      </c>
      <c r="I73" s="359">
        <f>'数据-取费表'!B49</f>
        <v>5.0000000000000001E-4</v>
      </c>
      <c r="J73" s="2033"/>
      <c r="K73" s="1974">
        <v>2</v>
      </c>
      <c r="L73" s="3338" t="s">
        <v>410</v>
      </c>
      <c r="M73" s="3338"/>
      <c r="N73" s="1295">
        <f t="shared" ref="N73:P74" si="1">D73</f>
        <v>0</v>
      </c>
      <c r="O73" s="1857" t="str">
        <f t="shared" si="1"/>
        <v>销售额×税（费）率</v>
      </c>
      <c r="P73" s="1296" t="str">
        <f t="shared" si="1"/>
        <v>免征</v>
      </c>
      <c r="Q73" s="2026"/>
      <c r="R73" s="2026"/>
      <c r="S73" s="2026"/>
      <c r="T73" s="2026"/>
      <c r="U73" s="2026"/>
      <c r="V73" s="2026"/>
    </row>
    <row r="74" spans="1:22" ht="24.75">
      <c r="A74" s="3364" t="s">
        <v>415</v>
      </c>
      <c r="B74" s="3365"/>
      <c r="C74" s="3365"/>
      <c r="D74" s="361">
        <f ca="1">IF(H74="个人住宅",D75,D76)</f>
        <v>10958</v>
      </c>
      <c r="E74" s="17" t="s">
        <v>416</v>
      </c>
      <c r="F74" s="359" t="str">
        <f>IF(H74="正常",F76,"免征")</f>
        <v>——</v>
      </c>
      <c r="G74" s="982" t="s">
        <v>417</v>
      </c>
      <c r="H74" s="362" t="s">
        <v>413</v>
      </c>
      <c r="I74" s="42"/>
      <c r="J74" s="2033"/>
      <c r="K74" s="1974">
        <v>3</v>
      </c>
      <c r="L74" s="3338" t="s">
        <v>414</v>
      </c>
      <c r="M74" s="3338"/>
      <c r="N74" s="1295">
        <f t="shared" ca="1" si="1"/>
        <v>10958</v>
      </c>
      <c r="O74" s="1857" t="str">
        <f t="shared" si="1"/>
        <v>增值额×税（费）率</v>
      </c>
      <c r="P74" s="1298" t="str">
        <f t="shared" si="1"/>
        <v>——</v>
      </c>
      <c r="Q74" s="2026"/>
      <c r="R74" s="2026"/>
      <c r="S74" s="2026"/>
      <c r="T74" s="2026"/>
      <c r="U74" s="2026"/>
      <c r="V74" s="2026"/>
    </row>
    <row r="75" spans="1:22" ht="24">
      <c r="A75" s="358" t="s">
        <v>418</v>
      </c>
      <c r="B75" s="3345" t="s">
        <v>419</v>
      </c>
      <c r="C75" s="3346"/>
      <c r="D75" s="363">
        <v>0</v>
      </c>
      <c r="E75" s="41" t="s">
        <v>420</v>
      </c>
      <c r="F75" s="364"/>
      <c r="G75" s="360"/>
      <c r="H75" s="42"/>
      <c r="I75" s="42"/>
      <c r="J75" s="2033"/>
      <c r="K75" s="3078">
        <f>IF(H77="非个人房产","",4)</f>
        <v>4</v>
      </c>
      <c r="L75" s="3338" t="str">
        <f>IF(H77="非个人房产","——","个人所得税")</f>
        <v>个人所得税</v>
      </c>
      <c r="M75" s="3338"/>
      <c r="N75" s="1299">
        <f ca="1">D77</f>
        <v>207</v>
      </c>
      <c r="O75" s="1870" t="str">
        <f>E77</f>
        <v>销售额×税（费）率</v>
      </c>
      <c r="P75" s="1300">
        <f>F77</f>
        <v>0.01</v>
      </c>
      <c r="Q75" s="2026"/>
      <c r="R75" s="2026"/>
      <c r="S75" s="2026"/>
      <c r="T75" s="2026"/>
      <c r="U75" s="2026"/>
      <c r="V75" s="2026"/>
    </row>
    <row r="76" spans="1:22" ht="24.75">
      <c r="A76" s="358" t="s">
        <v>396</v>
      </c>
      <c r="B76" s="3345" t="s">
        <v>422</v>
      </c>
      <c r="C76" s="3387"/>
      <c r="D76" s="361">
        <f ca="1">IF(H76="转让取得",C99,C115)</f>
        <v>10958</v>
      </c>
      <c r="E76" s="17" t="s">
        <v>423</v>
      </c>
      <c r="F76" s="53" t="s">
        <v>21</v>
      </c>
      <c r="G76" s="360"/>
      <c r="H76" s="362" t="s">
        <v>424</v>
      </c>
      <c r="I76" s="42"/>
      <c r="J76" s="2033"/>
      <c r="K76" s="3078" t="str">
        <f>IF(项目基本情况!K6="上海银行",IF(K75="",4,K75+1),"")</f>
        <v/>
      </c>
      <c r="L76" s="3326" t="str">
        <f>IF(项目基本情况!K6="上海银行","其他处置费用","")</f>
        <v/>
      </c>
      <c r="M76" s="3327"/>
      <c r="N76" s="1295" t="str">
        <f>IF(项目基本情况!K6="上海银行",N89,"")</f>
        <v/>
      </c>
      <c r="O76" s="3328" t="str">
        <f>IF(项目基本情况!K6="上海银行","包含处置中涉及的律师、诉讼、拍卖、评估等费用","")</f>
        <v/>
      </c>
      <c r="P76" s="3329"/>
      <c r="Q76" s="2026"/>
      <c r="R76" s="2026"/>
      <c r="S76" s="2026"/>
      <c r="T76" s="2026"/>
      <c r="U76" s="2026"/>
      <c r="V76" s="2026"/>
    </row>
    <row r="77" spans="1:22" ht="26.25" thickBot="1">
      <c r="A77" s="3356" t="s">
        <v>426</v>
      </c>
      <c r="B77" s="3357"/>
      <c r="C77" s="3357"/>
      <c r="D77" s="365">
        <f ca="1">IF(H77="非个人房产","——",IF(H77="个人住宅",0,ROUND(D63*I77,0)))</f>
        <v>207</v>
      </c>
      <c r="E77" s="366" t="str">
        <f>IF(H77="非个人房产","——","销售额×税（费）率")</f>
        <v>销售额×税（费）率</v>
      </c>
      <c r="F77" s="367">
        <f>IF(H77="非个人房产","——",IF(H77="个人住宅","免征",I77))</f>
        <v>0.01</v>
      </c>
      <c r="G77" s="983" t="s">
        <v>417</v>
      </c>
      <c r="H77" s="362" t="s">
        <v>2889</v>
      </c>
      <c r="I77" s="368">
        <v>0.01</v>
      </c>
      <c r="J77" s="2033"/>
      <c r="K77" s="3352">
        <f>IF(AND(K75="",K76=""),4,IF(项目基本情况!K6="上海银行",K76+1,K75+1))</f>
        <v>5</v>
      </c>
      <c r="L77" s="3338" t="s">
        <v>2890</v>
      </c>
      <c r="M77" s="3084" t="s">
        <v>421</v>
      </c>
      <c r="N77" s="1301"/>
      <c r="O77" s="1302">
        <f ca="1">SUMIF(N72:N76,"&lt;9e307")</f>
        <v>12393</v>
      </c>
      <c r="P77" s="1303"/>
      <c r="Q77" s="3082">
        <f ca="1">O77/N69</f>
        <v>0.35978052604075944</v>
      </c>
      <c r="R77" s="2026"/>
      <c r="S77" s="2026"/>
      <c r="T77" s="2026"/>
      <c r="U77" s="2026"/>
      <c r="V77" s="2026"/>
    </row>
    <row r="78" spans="1:22" ht="12" customHeight="1">
      <c r="A78" s="1304"/>
      <c r="B78" s="310"/>
      <c r="C78" s="310"/>
      <c r="D78" s="310"/>
      <c r="E78" s="42"/>
      <c r="F78" s="42"/>
      <c r="G78" s="42"/>
      <c r="H78" s="1002"/>
      <c r="I78" s="310"/>
      <c r="J78" s="2033"/>
      <c r="K78" s="3352"/>
      <c r="L78" s="3338"/>
      <c r="M78" s="3084" t="s">
        <v>425</v>
      </c>
      <c r="N78" s="1301"/>
      <c r="O78" s="1302" t="str">
        <f ca="1">NUMBERSTRING(INT(O77*10000),2)&amp;"元整"</f>
        <v>壹亿贰仟叁佰玖拾叁万元整</v>
      </c>
      <c r="P78" s="1303"/>
      <c r="Q78" s="2026"/>
      <c r="R78" s="2026"/>
      <c r="S78" s="2026"/>
      <c r="T78" s="2026"/>
      <c r="U78" s="2026"/>
      <c r="V78" s="2026"/>
    </row>
    <row r="79" spans="1:22" ht="13.5" thickBot="1">
      <c r="A79" s="3342" t="s">
        <v>427</v>
      </c>
      <c r="B79" s="3342"/>
      <c r="C79" s="3342"/>
      <c r="D79" s="3342"/>
      <c r="E79" s="3342"/>
      <c r="F79" s="42"/>
      <c r="G79" s="42"/>
      <c r="H79" s="1002"/>
      <c r="I79" s="310"/>
      <c r="J79" s="2033"/>
      <c r="K79" s="3336">
        <f>K77+1</f>
        <v>6</v>
      </c>
      <c r="L79" s="3338" t="s">
        <v>2891</v>
      </c>
      <c r="M79" s="3084" t="s">
        <v>421</v>
      </c>
      <c r="N79" s="1301"/>
      <c r="O79" s="1302">
        <f ca="1">N69-O77</f>
        <v>22053</v>
      </c>
      <c r="P79" s="1303"/>
      <c r="Q79" s="2026"/>
      <c r="R79" s="2026"/>
      <c r="S79" s="2026"/>
      <c r="T79" s="2026"/>
      <c r="U79" s="2026"/>
      <c r="V79" s="2026"/>
    </row>
    <row r="80" spans="1:22" ht="25.5">
      <c r="A80" s="3343" t="s">
        <v>428</v>
      </c>
      <c r="B80" s="3344"/>
      <c r="C80" s="993"/>
      <c r="D80" s="993" t="s">
        <v>429</v>
      </c>
      <c r="E80" s="369" t="s">
        <v>430</v>
      </c>
      <c r="F80" s="42"/>
      <c r="G80" s="42"/>
      <c r="H80" s="1002"/>
      <c r="I80" s="310"/>
      <c r="J80" s="2026"/>
      <c r="K80" s="3337"/>
      <c r="L80" s="3338"/>
      <c r="M80" s="3084" t="s">
        <v>425</v>
      </c>
      <c r="N80" s="1301"/>
      <c r="O80" s="1302" t="str">
        <f ca="1">NUMBERSTRING(INT(O79*10000),2)&amp;"元整"</f>
        <v>贰亿贰仟零伍拾叁万元整</v>
      </c>
      <c r="P80" s="1303"/>
      <c r="Q80" s="2026"/>
      <c r="R80" s="2026"/>
      <c r="S80" s="2026"/>
      <c r="T80" s="2026"/>
      <c r="U80" s="2026"/>
      <c r="V80" s="2026"/>
    </row>
    <row r="81" spans="1:26" ht="13.5" thickBot="1">
      <c r="A81" s="380" t="s">
        <v>1825</v>
      </c>
      <c r="B81" s="370" t="s">
        <v>431</v>
      </c>
      <c r="C81" s="371">
        <f ca="1">ROUND((C82+C83)/(1+'数据-取费表'!C42),0)</f>
        <v>19572</v>
      </c>
      <c r="D81" s="372"/>
      <c r="E81" s="373"/>
      <c r="F81" s="42"/>
      <c r="G81" s="42"/>
      <c r="H81" s="1002"/>
      <c r="I81" s="310"/>
      <c r="J81" s="2026"/>
      <c r="K81" s="3078">
        <f>K79+1</f>
        <v>7</v>
      </c>
      <c r="L81" s="3350" t="s">
        <v>2892</v>
      </c>
      <c r="M81" s="3351"/>
      <c r="N81" s="1305"/>
      <c r="O81" s="1306">
        <f ca="1">ROUND(O79*10000/'数据-汇总表'!E3,0)</f>
        <v>2100</v>
      </c>
      <c r="P81" s="1307"/>
      <c r="Q81" s="2026"/>
      <c r="R81" s="2026"/>
      <c r="S81" s="2026"/>
      <c r="T81" s="2026"/>
      <c r="U81" s="2026"/>
      <c r="V81" s="2026"/>
    </row>
    <row r="82" spans="1:26" ht="13.5" thickTop="1">
      <c r="A82" s="374" t="s">
        <v>1826</v>
      </c>
      <c r="B82" s="375" t="s">
        <v>432</v>
      </c>
      <c r="C82" s="376">
        <f ca="1">D63</f>
        <v>20668</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1827</v>
      </c>
      <c r="B83" s="375" t="s">
        <v>433</v>
      </c>
      <c r="C83" s="379">
        <v>0</v>
      </c>
      <c r="D83" s="377"/>
      <c r="E83" s="378"/>
      <c r="F83" s="42"/>
      <c r="G83" s="42"/>
      <c r="H83" s="1002"/>
      <c r="I83" s="310"/>
      <c r="J83" s="2026"/>
      <c r="K83" s="3325" t="s">
        <v>2879</v>
      </c>
      <c r="L83" s="3090" t="s">
        <v>2880</v>
      </c>
      <c r="M83" s="3080">
        <f ca="1">IF(N69&gt;10000,N69*0.5%,IF(AND(N69&gt;1000,N69&lt;=10000),N69*1%,IF(AND(N69&gt;100,N69&lt;=1000),N69*3%,IF(AND(N69&gt;10,N69&lt;=100),N69*5%,N69*8%))))</f>
        <v>172.23</v>
      </c>
      <c r="N83" s="53">
        <f ca="1">ROUND(M83,1)</f>
        <v>172.2</v>
      </c>
      <c r="O83" s="3083"/>
      <c r="P83" s="2026"/>
      <c r="Q83" s="2026"/>
      <c r="R83" s="2026"/>
      <c r="S83" s="2026"/>
      <c r="T83" s="2026"/>
      <c r="U83" s="2026"/>
      <c r="V83" s="2026"/>
    </row>
    <row r="84" spans="1:26" ht="12.75">
      <c r="A84" s="380" t="s">
        <v>1828</v>
      </c>
      <c r="B84" s="381" t="s">
        <v>434</v>
      </c>
      <c r="C84" s="382">
        <v>2000</v>
      </c>
      <c r="D84" s="383" t="s">
        <v>19</v>
      </c>
      <c r="E84" s="3125" t="s">
        <v>2945</v>
      </c>
      <c r="F84" s="42"/>
      <c r="G84" s="42"/>
      <c r="H84" s="1002"/>
      <c r="I84" s="310"/>
      <c r="J84" s="2026"/>
      <c r="K84" s="3325"/>
      <c r="L84" s="3090" t="s">
        <v>2881</v>
      </c>
      <c r="M84" s="3080">
        <f ca="1">IF(N69&gt;2000,N69*0.5%,IF(AND(N69&gt;1000,N69&lt;=2000),N69*0.6%,IF(AND(N69&gt;500,N69&lt;=1000),N69*0.7%,IF(AND(N69&gt;200,N69&lt;=500),N69*0.8%,IF(AND(N69&gt;100,N69&lt;=200),N69*0.9%,IF(AND(N69&gt;50,N69&lt;=100),N69*1%,IF(AND(N69&gt;20,N69&lt;=50),N69*1.5%,IF(AND(N69&gt;10,N69&lt;=20),N69*2%,IF(AND(N69&gt;1,N69&lt;=10),N69*2.5%)))))))))</f>
        <v>172.23</v>
      </c>
      <c r="N84" s="53">
        <f t="shared" ref="N84:N85" ca="1" si="2">ROUND(M84,1)</f>
        <v>172.2</v>
      </c>
      <c r="O84" s="2026" t="s">
        <v>2882</v>
      </c>
      <c r="P84" s="2026"/>
      <c r="Q84" s="2026"/>
      <c r="R84" s="2026"/>
      <c r="S84" s="2026"/>
      <c r="T84" s="2026"/>
      <c r="U84" s="2026"/>
      <c r="V84" s="2026"/>
    </row>
    <row r="85" spans="1:26" ht="12.75">
      <c r="A85" s="380" t="s">
        <v>1829</v>
      </c>
      <c r="B85" s="381" t="s">
        <v>435</v>
      </c>
      <c r="C85" s="384">
        <f ca="1">C81-C84</f>
        <v>17572</v>
      </c>
      <c r="D85" s="377" t="s">
        <v>19</v>
      </c>
      <c r="E85" s="378"/>
      <c r="F85" s="42"/>
      <c r="G85" s="42"/>
      <c r="H85" s="1002"/>
      <c r="I85" s="310"/>
      <c r="J85" s="2026"/>
      <c r="K85" s="3325"/>
      <c r="L85" s="3090" t="s">
        <v>2883</v>
      </c>
      <c r="M85" s="3080">
        <f ca="1">IF(N69&gt;1000,N69*0.1%,IF(AND(N69&gt;500,N69&lt;=1000),N69*0.5%,IF(AND(N69&gt;50,N69&lt;=500),N69*1%,IF(AND(N69&gt;1,N69&lt;=50),N69*1.5%))))</f>
        <v>34.445999999999998</v>
      </c>
      <c r="N85" s="53">
        <f t="shared" ca="1" si="2"/>
        <v>34.4</v>
      </c>
      <c r="O85" s="2026" t="s">
        <v>2882</v>
      </c>
      <c r="P85" s="2026"/>
      <c r="Q85" s="2026"/>
      <c r="R85" s="2026"/>
      <c r="S85" s="2026"/>
      <c r="T85" s="2026"/>
      <c r="U85" s="2026"/>
      <c r="V85" s="2026"/>
    </row>
    <row r="86" spans="1:26" ht="13.5" thickBot="1">
      <c r="A86" s="385" t="s">
        <v>1830</v>
      </c>
      <c r="B86" s="386" t="s">
        <v>436</v>
      </c>
      <c r="C86" s="387">
        <f ca="1">IF(C85&lt;=0,0,ROUND(C85*D86,0))</f>
        <v>1102</v>
      </c>
      <c r="D86" s="388">
        <f>'数据-取费表'!B41</f>
        <v>6.2719999999999998E-2</v>
      </c>
      <c r="E86" s="389"/>
      <c r="F86" s="42"/>
      <c r="G86" s="42"/>
      <c r="H86" s="1002"/>
      <c r="I86" s="310"/>
      <c r="J86" s="2026"/>
      <c r="K86" s="3325"/>
      <c r="L86" s="3090" t="s">
        <v>2884</v>
      </c>
      <c r="M86" s="3080">
        <f ca="1">N69*0.5%</f>
        <v>172.23</v>
      </c>
      <c r="N86" s="53">
        <f ca="1">IF(M86&gt;0.5,0.5,ROUND(M86,0))</f>
        <v>0.5</v>
      </c>
      <c r="O86" s="2026" t="s">
        <v>2885</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25"/>
      <c r="L87" s="3090" t="s">
        <v>2886</v>
      </c>
      <c r="M87" s="3080">
        <f ca="1">IF(N69&gt;=10000,(8.25+(N69-10000)*0.01%),IF(AND(N69&gt;=8000,N69&lt;10000),(7.85+(N69-8000)*0.02%),IF(AND(N69&gt;=5000,N69&lt;8000),(6.65+(N69-5000)*0.04%),IF(AND(N69&gt;=2000,N69&lt;5000),(4.25+(PN69-2000)*0.08%),IF(AND(N69&gt;=1000,N69&lt;2000),(2.75+(N69-1000)*0.15%),IF(AND(N69&gt;=100,N69&lt;1000),(0.5+(N69-100)*0.25%),IF(AND(N69&gt;0,N69&lt;100),N69*0.5%)))))))</f>
        <v>10.694600000000001</v>
      </c>
      <c r="N87" s="53">
        <f ca="1">ROUND(M87*0.9,1)</f>
        <v>9.6</v>
      </c>
      <c r="O87" s="3083"/>
      <c r="P87" s="310"/>
      <c r="Q87" s="2026"/>
      <c r="R87" s="2026"/>
      <c r="S87" s="2026"/>
      <c r="T87" s="2026"/>
      <c r="U87" s="2026"/>
      <c r="V87" s="2026"/>
      <c r="W87" s="291"/>
      <c r="X87" s="291"/>
      <c r="Y87" s="291"/>
      <c r="Z87" s="291"/>
    </row>
    <row r="88" spans="1:26" s="1313" customFormat="1" ht="15" thickBot="1">
      <c r="A88" s="3379" t="s">
        <v>437</v>
      </c>
      <c r="B88" s="3380"/>
      <c r="C88" s="3380"/>
      <c r="D88" s="3380"/>
      <c r="E88" s="3380"/>
      <c r="F88" s="3380"/>
      <c r="G88" s="3380"/>
      <c r="H88" s="3380"/>
      <c r="I88" s="1314"/>
      <c r="J88" s="2034"/>
      <c r="K88" s="3325"/>
      <c r="L88" s="3090" t="s">
        <v>2887</v>
      </c>
      <c r="M88" s="3080">
        <f ca="1">IF(N69&gt;10000,N69*0.5%,IF(AND(N69&gt;5000,N69&lt;=10000),N69*1%,IF(AND(N69&gt;1000,N69&lt;=5000),N69*2%,IF(AND(N69&gt;200,N69&lt;=1000),N69*3%,N69*5%))))</f>
        <v>172.23</v>
      </c>
      <c r="N88" s="53">
        <f ca="1">ROUND(M88,1)</f>
        <v>172.2</v>
      </c>
      <c r="O88" s="3083"/>
      <c r="P88" s="11"/>
      <c r="Q88" s="2031"/>
      <c r="R88" s="2031"/>
      <c r="S88" s="2031"/>
      <c r="T88" s="2031"/>
      <c r="U88" s="2031"/>
      <c r="V88" s="2031"/>
      <c r="W88" s="2035"/>
      <c r="X88" s="2035"/>
      <c r="Y88" s="2035"/>
      <c r="Z88" s="2035"/>
    </row>
    <row r="89" spans="1:26" s="1313" customFormat="1" ht="14.25">
      <c r="A89" s="3343" t="s">
        <v>428</v>
      </c>
      <c r="B89" s="3344"/>
      <c r="C89" s="993"/>
      <c r="D89" s="993" t="s">
        <v>429</v>
      </c>
      <c r="E89" s="390" t="s">
        <v>438</v>
      </c>
      <c r="F89" s="391"/>
      <c r="G89" s="391"/>
      <c r="H89" s="392"/>
      <c r="I89" s="1315"/>
      <c r="J89" s="2036"/>
      <c r="K89" s="3325"/>
      <c r="L89" s="3090" t="s">
        <v>27</v>
      </c>
      <c r="M89" s="3081"/>
      <c r="N89" s="53">
        <f ca="1">ROUND(SUM(N83:N88),0)</f>
        <v>561</v>
      </c>
      <c r="O89" s="3091">
        <f ca="1">N89/N69</f>
        <v>1.6286361261104339E-2</v>
      </c>
      <c r="P89" s="2031"/>
      <c r="Q89" s="2031"/>
      <c r="R89" s="2031"/>
      <c r="S89" s="2031"/>
      <c r="T89" s="2031"/>
      <c r="U89" s="2031"/>
      <c r="V89" s="2031"/>
      <c r="W89" s="2035"/>
      <c r="X89" s="2035"/>
      <c r="Y89" s="2035"/>
      <c r="Z89" s="2035"/>
    </row>
    <row r="90" spans="1:26" s="1313" customFormat="1" ht="14.25">
      <c r="A90" s="380" t="s">
        <v>1825</v>
      </c>
      <c r="B90" s="381" t="s">
        <v>439</v>
      </c>
      <c r="C90" s="384">
        <f ca="1">ROUND(D63/(1+'数据-取费表'!C42),0)</f>
        <v>19572</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1831</v>
      </c>
      <c r="B91" s="347" t="s">
        <v>440</v>
      </c>
      <c r="C91" s="384">
        <f ca="1">C92+C96</f>
        <v>2713</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1832</v>
      </c>
      <c r="B92" s="375" t="s">
        <v>441</v>
      </c>
      <c r="C92" s="377">
        <f>ROUND(IF(G95="2016年5月1日后购买",C93/(1+'数据-取费表'!C30)+C94+C95,C93+C94+C95),0)</f>
        <v>2581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1833</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1834</v>
      </c>
      <c r="B94" s="399" t="s">
        <v>446</v>
      </c>
      <c r="C94" s="377">
        <f>IF(F93="购房发票",ROUND(C93*H93*5%,0),0)</f>
        <v>500</v>
      </c>
      <c r="D94" s="400">
        <v>0.05</v>
      </c>
      <c r="E94" s="3376" t="s">
        <v>447</v>
      </c>
      <c r="F94" s="3377"/>
      <c r="G94" s="3377"/>
      <c r="H94" s="3378"/>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1835</v>
      </c>
      <c r="B95" s="375" t="s">
        <v>448</v>
      </c>
      <c r="C95" s="377">
        <f>ROUND(IF(G95="个人买卖住房",0,IF(G95="2016年5月1日前购买",C93*D95,C93*D95/(1+'数据-取费表'!C42))),0)</f>
        <v>81</v>
      </c>
      <c r="D95" s="401">
        <f>'数据-取费表'!B48+'数据-取费表'!B49</f>
        <v>4.0500000000000001E-2</v>
      </c>
      <c r="E95" s="26" t="s">
        <v>449</v>
      </c>
      <c r="F95" s="402"/>
      <c r="G95" s="403" t="s">
        <v>2430</v>
      </c>
      <c r="H95" s="998" t="str">
        <f>IF(G95="个人买卖住房","免征印花税"," ")</f>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1836</v>
      </c>
      <c r="B96" s="375" t="s">
        <v>450</v>
      </c>
      <c r="C96" s="404">
        <f ca="1">ROUND(D63*D96/(1+'数据-取费表'!C42),0)</f>
        <v>132</v>
      </c>
      <c r="D96" s="405">
        <f>'数据-取费表'!B43</f>
        <v>6.7200000000000003E-3</v>
      </c>
      <c r="E96" s="3366" t="s">
        <v>2429</v>
      </c>
      <c r="F96" s="3367"/>
      <c r="G96" s="3367"/>
      <c r="H96" s="3368"/>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6" t="s">
        <v>1837</v>
      </c>
      <c r="B97" s="381" t="s">
        <v>451</v>
      </c>
      <c r="C97" s="384">
        <f ca="1">C90-C91</f>
        <v>16859</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6" t="s">
        <v>1838</v>
      </c>
      <c r="B98" s="381" t="s">
        <v>452</v>
      </c>
      <c r="C98" s="406">
        <f ca="1">IF(C97&lt;=0,0,C97/C91)</f>
        <v>6.2141540729819384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7" t="s">
        <v>1839</v>
      </c>
      <c r="B99" s="386" t="s">
        <v>453</v>
      </c>
      <c r="C99" s="407">
        <f ca="1">ROUND(IF(C97&lt;=0,0,IF(C98&gt;=200%,C97*60%-C91*35%,IF(C98&gt;=100%,C97*50%-C91*15%,IF(C98&gt;=50%,C97*40%-C91*5%,IF(C98&lt;50%,C97*30%,0))))),0)</f>
        <v>9166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79" t="s">
        <v>454</v>
      </c>
      <c r="B101" s="3380"/>
      <c r="C101" s="3380"/>
      <c r="D101" s="3380"/>
      <c r="E101" s="3380"/>
      <c r="F101" s="3380"/>
      <c r="G101" s="3380"/>
      <c r="H101" s="3380"/>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43" t="s">
        <v>428</v>
      </c>
      <c r="B102" s="3344"/>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1825</v>
      </c>
      <c r="B103" s="381" t="s">
        <v>439</v>
      </c>
      <c r="C103" s="384">
        <f ca="1">ROUND(D63/(1+'数据-取费表'!C42),0)</f>
        <v>19572</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1831</v>
      </c>
      <c r="B104" s="347" t="s">
        <v>440</v>
      </c>
      <c r="C104" s="384">
        <f ca="1">IF(H106="仅含出让金",C105+C108+C109+C110+C111+C112,C105+C109+C110+C111+C112)</f>
        <v>827</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1832</v>
      </c>
      <c r="B105" s="375" t="s">
        <v>455</v>
      </c>
      <c r="C105" s="404">
        <f>C106+C107</f>
        <v>577</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1833</v>
      </c>
      <c r="B106" s="375" t="s">
        <v>456</v>
      </c>
      <c r="C106" s="415">
        <v>555</v>
      </c>
      <c r="D106" s="405"/>
      <c r="E106" s="416" t="s">
        <v>457</v>
      </c>
      <c r="F106" s="985"/>
      <c r="G106" s="417" t="s">
        <v>458</v>
      </c>
      <c r="H106" s="418"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1834</v>
      </c>
      <c r="B107" s="375" t="s">
        <v>448</v>
      </c>
      <c r="C107" s="404">
        <f>ROUND(C106*D107,0)</f>
        <v>22</v>
      </c>
      <c r="D107" s="405">
        <f>'数据-取费表'!B48+'数据-取费表'!B49</f>
        <v>4.0500000000000001E-2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1836</v>
      </c>
      <c r="B108" s="375" t="s">
        <v>460</v>
      </c>
      <c r="C108" s="415"/>
      <c r="D108" s="405"/>
      <c r="E108" s="416" t="str">
        <f>IF(H106="-","土地取得成本中已包含该笔费用"," ")</f>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8" t="s">
        <v>1840</v>
      </c>
      <c r="B109" s="375" t="s">
        <v>461</v>
      </c>
      <c r="C109" s="404">
        <f>IF(H109="——",IF(F1="现房",'剩余法-现房'!C18,'剩余法-待开发'!C18),I109)</f>
        <v>55</v>
      </c>
      <c r="D109" s="405"/>
      <c r="E109" s="3369" t="s">
        <v>462</v>
      </c>
      <c r="F109" s="3367"/>
      <c r="G109" s="3367"/>
      <c r="H109" s="1939" t="s">
        <v>2281</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8" t="s">
        <v>1841</v>
      </c>
      <c r="B110" s="375" t="s">
        <v>463</v>
      </c>
      <c r="C110" s="404">
        <f>ROUND((C105+C108+C109)*D110,0)</f>
        <v>63</v>
      </c>
      <c r="D110" s="405">
        <v>0.1</v>
      </c>
      <c r="E110" s="3369" t="s">
        <v>464</v>
      </c>
      <c r="F110" s="3367"/>
      <c r="G110" s="3367"/>
      <c r="H110" s="3368"/>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8" t="s">
        <v>1842</v>
      </c>
      <c r="B111" s="375" t="s">
        <v>450</v>
      </c>
      <c r="C111" s="404">
        <f ca="1">ROUND(D63*D111/(1+'数据-取费表'!C42),0)</f>
        <v>132</v>
      </c>
      <c r="D111" s="405">
        <f>'数据-取费表'!B43</f>
        <v>6.7200000000000003E-3</v>
      </c>
      <c r="E111" s="3366" t="s">
        <v>2429</v>
      </c>
      <c r="F111" s="3367"/>
      <c r="G111" s="3367"/>
      <c r="H111" s="3368"/>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8" t="s">
        <v>1843</v>
      </c>
      <c r="B112" s="375" t="s">
        <v>465</v>
      </c>
      <c r="C112" s="404">
        <f>ROUND(C108*D112,0)</f>
        <v>0</v>
      </c>
      <c r="D112" s="405">
        <v>0.2</v>
      </c>
      <c r="E112" s="3369" t="s">
        <v>2454</v>
      </c>
      <c r="F112" s="3367"/>
      <c r="G112" s="3367"/>
      <c r="H112" s="3368"/>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6" t="s">
        <v>1837</v>
      </c>
      <c r="B113" s="381" t="s">
        <v>451</v>
      </c>
      <c r="C113" s="384">
        <f ca="1">ROUND(C103-C104,0)</f>
        <v>18745</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6" t="s">
        <v>1838</v>
      </c>
      <c r="B114" s="381" t="s">
        <v>452</v>
      </c>
      <c r="C114" s="406">
        <f ca="1">IF(C113&lt;=0,0,C113/C104)</f>
        <v>22.666263603385733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7" t="s">
        <v>1839</v>
      </c>
      <c r="B115" s="386" t="s">
        <v>453</v>
      </c>
      <c r="C115" s="407">
        <f ca="1">ROUND(IF(C113&lt;=0,0,IF(C114&gt;=200%,C113*60%-C104*35%,IF(C114&gt;=100%,C113*50%-C104*15%,IF(C114&gt;=50%,C113*40%-C104*5%,IF(C114&lt;50%,C113*30%,0))))),0)</f>
        <v>10958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00B0F0"/>
    <pageSetUpPr fitToPage="1"/>
  </sheetPr>
  <dimension ref="A1:AD259"/>
  <sheetViews>
    <sheetView view="pageBreakPreview" topLeftCell="A18" zoomScale="80" zoomScaleNormal="95" zoomScaleSheetLayoutView="80" workbookViewId="0">
      <selection activeCell="K13" activeCellId="5" sqref="L17 D13 F13 H13 J13 K1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19274</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4"/>
    </row>
    <row r="3" spans="1:30" s="1335" customFormat="1" ht="28.5" customHeight="1">
      <c r="A3" s="1378" t="s">
        <v>1686</v>
      </c>
      <c r="B3" s="509">
        <f>ROUND(B2*10000/'数据-汇总表'!E3,0)</f>
        <v>1836</v>
      </c>
      <c r="C3" s="2059"/>
      <c r="D3" s="2592"/>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30" s="1335" customFormat="1" ht="28.5" customHeight="1">
      <c r="A4" s="510" t="s">
        <v>521</v>
      </c>
      <c r="B4" s="426">
        <f>IF(B48="单位面积地价",C50,ROUND(B2*10000/'数据-汇总表'!D3,0))</f>
        <v>2203</v>
      </c>
      <c r="C4" s="2059"/>
      <c r="D4" s="2592"/>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147</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7"/>
    </row>
    <row r="6" spans="1:30" ht="20.25">
      <c r="A6" s="511" t="s">
        <v>522</v>
      </c>
      <c r="B6" s="512"/>
      <c r="C6" s="3424" t="s">
        <v>523</v>
      </c>
      <c r="D6" s="3425"/>
      <c r="E6" s="3424" t="s">
        <v>524</v>
      </c>
      <c r="F6" s="3425"/>
      <c r="G6" s="3424" t="s">
        <v>525</v>
      </c>
      <c r="H6" s="3425"/>
      <c r="I6" s="3424" t="s">
        <v>526</v>
      </c>
      <c r="J6" s="3425"/>
      <c r="K6" s="513" t="s">
        <v>527</v>
      </c>
      <c r="L6" s="2131"/>
      <c r="M6" s="2130"/>
      <c r="N6" s="2130"/>
      <c r="O6" s="2132"/>
      <c r="P6" s="3426" t="s">
        <v>528</v>
      </c>
      <c r="Q6" s="3427"/>
      <c r="R6" s="3412" t="s">
        <v>524</v>
      </c>
      <c r="S6" s="3413"/>
      <c r="T6" s="3412" t="s">
        <v>525</v>
      </c>
      <c r="U6" s="3413"/>
      <c r="V6" s="3432" t="s">
        <v>526</v>
      </c>
      <c r="W6" s="3432"/>
      <c r="X6" s="1566"/>
      <c r="Y6" s="3412" t="s">
        <v>528</v>
      </c>
      <c r="Z6" s="3413"/>
      <c r="AA6" s="3407" t="s">
        <v>524</v>
      </c>
      <c r="AB6" s="3408" t="s">
        <v>525</v>
      </c>
      <c r="AC6" s="3407" t="s">
        <v>526</v>
      </c>
    </row>
    <row r="7" spans="1:30" ht="20.25">
      <c r="A7" s="514"/>
      <c r="B7" s="515"/>
      <c r="C7" s="3437" t="s">
        <v>2932</v>
      </c>
      <c r="D7" s="3436"/>
      <c r="E7" s="3435" t="s">
        <v>3143</v>
      </c>
      <c r="F7" s="3436"/>
      <c r="G7" s="3435" t="s">
        <v>3180</v>
      </c>
      <c r="H7" s="3436"/>
      <c r="I7" s="3435" t="s">
        <v>3182</v>
      </c>
      <c r="J7" s="3436"/>
      <c r="K7" s="513"/>
      <c r="L7" s="2131"/>
      <c r="M7" s="2130"/>
      <c r="N7" s="2130"/>
      <c r="O7" s="2132"/>
      <c r="P7" s="3428"/>
      <c r="Q7" s="3429"/>
      <c r="R7" s="3414"/>
      <c r="S7" s="3415"/>
      <c r="T7" s="3414"/>
      <c r="U7" s="3415"/>
      <c r="V7" s="3432"/>
      <c r="W7" s="3432"/>
      <c r="X7" s="1566"/>
      <c r="Y7" s="3414"/>
      <c r="Z7" s="3415"/>
      <c r="AA7" s="3408"/>
      <c r="AB7" s="3408"/>
      <c r="AC7" s="3408"/>
    </row>
    <row r="8" spans="1:30" ht="21" thickBot="1">
      <c r="A8" s="514"/>
      <c r="B8" s="515"/>
      <c r="C8" s="3438" t="s">
        <v>2936</v>
      </c>
      <c r="D8" s="3439"/>
      <c r="E8" s="3440" t="s">
        <v>3144</v>
      </c>
      <c r="F8" s="3439"/>
      <c r="G8" s="3433" t="s">
        <v>3181</v>
      </c>
      <c r="H8" s="3434"/>
      <c r="I8" s="3433" t="s">
        <v>3183</v>
      </c>
      <c r="J8" s="3434"/>
      <c r="K8" s="513" t="s">
        <v>529</v>
      </c>
      <c r="L8" s="2131"/>
      <c r="M8" s="2130"/>
      <c r="N8" s="2130"/>
      <c r="O8" s="2132"/>
      <c r="P8" s="3430"/>
      <c r="Q8" s="3431"/>
      <c r="R8" s="3414"/>
      <c r="S8" s="3415"/>
      <c r="T8" s="3416"/>
      <c r="U8" s="3417"/>
      <c r="V8" s="3432"/>
      <c r="W8" s="3432"/>
      <c r="X8" s="1566"/>
      <c r="Y8" s="3416"/>
      <c r="Z8" s="3417"/>
      <c r="AA8" s="3409"/>
      <c r="AB8" s="3409"/>
      <c r="AC8" s="3409"/>
    </row>
    <row r="9" spans="1:30" s="1219" customFormat="1" ht="21" thickBot="1">
      <c r="A9" s="2936"/>
      <c r="B9" s="2943" t="s">
        <v>530</v>
      </c>
      <c r="C9" s="2935">
        <f>'数据-取费表'!B2</f>
        <v>43104</v>
      </c>
      <c r="D9" s="519">
        <v>100</v>
      </c>
      <c r="E9" s="520">
        <v>42977</v>
      </c>
      <c r="F9" s="521">
        <f>SUMIF(72:72,YEAR(E9)&amp;"-"&amp;INT((MONTH(E9)+2)/3),73:73)</f>
        <v>99</v>
      </c>
      <c r="G9" s="522">
        <v>43096</v>
      </c>
      <c r="H9" s="519">
        <f>SUMIF(72:72,YEAR(G9)&amp;"-"&amp;INT((MONTH(G9)+2)/3),73:73)</f>
        <v>99.5</v>
      </c>
      <c r="I9" s="522">
        <v>43096</v>
      </c>
      <c r="J9" s="519">
        <f>SUMIF(72:72,YEAR(I9)&amp;"-"&amp;INT((MONTH(I9)+2)/3),73:73)</f>
        <v>99.5</v>
      </c>
      <c r="K9" s="523"/>
      <c r="L9" s="2133"/>
      <c r="M9" s="2130"/>
      <c r="N9" s="2130"/>
      <c r="O9" s="2134"/>
      <c r="P9" s="3410" t="s">
        <v>531</v>
      </c>
      <c r="Q9" s="3419"/>
      <c r="R9" s="1567" t="s">
        <v>8</v>
      </c>
      <c r="S9" s="1568">
        <f t="shared" ref="S9:S17" si="0">F9</f>
        <v>99</v>
      </c>
      <c r="T9" s="1567" t="s">
        <v>8</v>
      </c>
      <c r="U9" s="1568">
        <f t="shared" ref="U9:U17" si="1">H9</f>
        <v>99.5</v>
      </c>
      <c r="V9" s="1567" t="s">
        <v>8</v>
      </c>
      <c r="W9" s="1568">
        <f t="shared" ref="W9:W17" si="2">J9</f>
        <v>99.5</v>
      </c>
      <c r="X9" s="1569"/>
      <c r="Y9" s="3410" t="s">
        <v>531</v>
      </c>
      <c r="Z9" s="3411"/>
      <c r="AA9" s="1570">
        <f>D9/F9</f>
        <v>1.0101010101010102</v>
      </c>
      <c r="AB9" s="1570">
        <f>D9/H9</f>
        <v>1.0050251256281406</v>
      </c>
      <c r="AC9" s="1570">
        <f>D9/J9</f>
        <v>1.0050251256281406</v>
      </c>
    </row>
    <row r="10" spans="1:30" s="1219" customFormat="1" ht="21" thickBot="1">
      <c r="A10" s="2937"/>
      <c r="B10" s="2944" t="s">
        <v>532</v>
      </c>
      <c r="C10" s="855" t="s">
        <v>533</v>
      </c>
      <c r="D10" s="519">
        <v>100</v>
      </c>
      <c r="E10" s="524" t="s">
        <v>3145</v>
      </c>
      <c r="F10" s="521">
        <f>SUMIF(75:75,E10,76:76)-SUMIF(75:75,C10,76:76)+100</f>
        <v>100</v>
      </c>
      <c r="G10" s="524" t="s">
        <v>3145</v>
      </c>
      <c r="H10" s="519">
        <f>SUMIF(75:75,G10,76:76)-SUMIF(75:75,C10,76:76)+100</f>
        <v>100</v>
      </c>
      <c r="I10" s="524" t="s">
        <v>3145</v>
      </c>
      <c r="J10" s="519">
        <f>SUMIF(75:75,I10,76:76)-SUMIF(75:75,C10,76:76)+100</f>
        <v>100</v>
      </c>
      <c r="K10" s="523"/>
      <c r="L10" s="2133"/>
      <c r="M10" s="2130"/>
      <c r="N10" s="2130"/>
      <c r="O10" s="2134"/>
      <c r="P10" s="3410" t="s">
        <v>534</v>
      </c>
      <c r="Q10" s="3411"/>
      <c r="R10" s="1567" t="s">
        <v>8</v>
      </c>
      <c r="S10" s="1568">
        <f t="shared" si="0"/>
        <v>100</v>
      </c>
      <c r="T10" s="1567" t="s">
        <v>8</v>
      </c>
      <c r="U10" s="1568">
        <f t="shared" si="1"/>
        <v>100</v>
      </c>
      <c r="V10" s="1567" t="s">
        <v>8</v>
      </c>
      <c r="W10" s="1568">
        <f t="shared" si="2"/>
        <v>100</v>
      </c>
      <c r="X10" s="1569"/>
      <c r="Y10" s="3410" t="s">
        <v>534</v>
      </c>
      <c r="Z10" s="3411"/>
      <c r="AA10" s="1570">
        <f t="shared" ref="AA10:AA47" si="3">D10/F10</f>
        <v>1</v>
      </c>
      <c r="AB10" s="1570">
        <f t="shared" ref="AB10:AB47" si="4">D10/H10</f>
        <v>1</v>
      </c>
      <c r="AC10" s="1570">
        <f t="shared" ref="AC10:AC47" si="5">D10/J10</f>
        <v>1</v>
      </c>
    </row>
    <row r="11" spans="1:30" s="1219" customFormat="1" ht="28.5">
      <c r="A11" s="2938"/>
      <c r="B11" s="2945" t="s">
        <v>2761</v>
      </c>
      <c r="C11" s="2932" t="s">
        <v>3103</v>
      </c>
      <c r="D11" s="253">
        <v>100</v>
      </c>
      <c r="E11" s="525" t="s">
        <v>3146</v>
      </c>
      <c r="F11" s="253">
        <f>SUMIF(77:77,E11,78:78)-SUMIF(77:77,C11,78:78)+100</f>
        <v>100</v>
      </c>
      <c r="G11" s="525" t="s">
        <v>3146</v>
      </c>
      <c r="H11" s="253">
        <f>SUMIF(77:77,G11,78:78)-SUMIF(77:77,C11,78:78)+100</f>
        <v>100</v>
      </c>
      <c r="I11" s="525" t="s">
        <v>3146</v>
      </c>
      <c r="J11" s="253">
        <f>SUMIF(77:77,I11,78:78)-SUMIF(77:77,C11,78:78)+100</f>
        <v>100</v>
      </c>
      <c r="K11" s="523"/>
      <c r="L11" s="2133"/>
      <c r="M11" s="2130"/>
      <c r="N11" s="2130"/>
      <c r="O11" s="2135"/>
      <c r="P11" s="3418" t="s">
        <v>536</v>
      </c>
      <c r="Q11" s="1150" t="str">
        <f t="shared" ref="Q11:Q17" si="6">B11</f>
        <v>用途</v>
      </c>
      <c r="R11" s="1567" t="s">
        <v>8</v>
      </c>
      <c r="S11" s="1568">
        <f t="shared" si="0"/>
        <v>100</v>
      </c>
      <c r="T11" s="1567" t="s">
        <v>8</v>
      </c>
      <c r="U11" s="1568">
        <f t="shared" si="1"/>
        <v>100</v>
      </c>
      <c r="V11" s="1567" t="s">
        <v>8</v>
      </c>
      <c r="W11" s="1568">
        <f t="shared" si="2"/>
        <v>100</v>
      </c>
      <c r="X11" s="1569"/>
      <c r="Y11" s="3375" t="s">
        <v>537</v>
      </c>
      <c r="Z11" s="1149" t="str">
        <f t="shared" ref="Z11:Z17" si="7">Q11</f>
        <v>用途</v>
      </c>
      <c r="AA11" s="1570">
        <f t="shared" si="3"/>
        <v>1</v>
      </c>
      <c r="AB11" s="1570">
        <f t="shared" si="4"/>
        <v>1</v>
      </c>
      <c r="AC11" s="1570">
        <f t="shared" si="5"/>
        <v>1</v>
      </c>
    </row>
    <row r="12" spans="1:30" s="1337" customFormat="1" ht="28.5">
      <c r="A12" s="2939"/>
      <c r="B12" s="2944" t="s">
        <v>2762</v>
      </c>
      <c r="C12" s="909" t="str">
        <f>项目基本情况!D20</f>
        <v>住宅66.4年，商业36.4年</v>
      </c>
      <c r="D12" s="254">
        <v>100</v>
      </c>
      <c r="E12" s="528" t="s">
        <v>3148</v>
      </c>
      <c r="F12" s="254">
        <f>ROUND(100/'数据-取费表'!G16,0)</f>
        <v>101</v>
      </c>
      <c r="G12" s="529" t="s">
        <v>3148</v>
      </c>
      <c r="H12" s="254">
        <f>ROUND(100/'数据-取费表'!G16,0)</f>
        <v>101</v>
      </c>
      <c r="I12" s="529" t="s">
        <v>3148</v>
      </c>
      <c r="J12" s="254">
        <f>ROUND(100/'数据-取费表'!G16,0)</f>
        <v>101</v>
      </c>
      <c r="K12" s="530"/>
      <c r="L12" s="2136"/>
      <c r="M12" s="2130"/>
      <c r="N12" s="2130"/>
      <c r="O12" s="2137"/>
      <c r="P12" s="3418"/>
      <c r="Q12" s="1150" t="str">
        <f t="shared" si="6"/>
        <v>土地使用年限（年）</v>
      </c>
      <c r="R12" s="1567" t="s">
        <v>8</v>
      </c>
      <c r="S12" s="1568">
        <f t="shared" si="0"/>
        <v>101</v>
      </c>
      <c r="T12" s="1567" t="s">
        <v>8</v>
      </c>
      <c r="U12" s="1568">
        <f t="shared" si="1"/>
        <v>101</v>
      </c>
      <c r="V12" s="1567" t="s">
        <v>8</v>
      </c>
      <c r="W12" s="1568">
        <f t="shared" si="2"/>
        <v>101</v>
      </c>
      <c r="X12" s="1569"/>
      <c r="Y12" s="3375"/>
      <c r="Z12" s="1149" t="str">
        <f t="shared" si="7"/>
        <v>土地使用年限（年）</v>
      </c>
      <c r="AA12" s="1570">
        <f t="shared" si="3"/>
        <v>0.99009900990099009</v>
      </c>
      <c r="AB12" s="1570">
        <f t="shared" si="4"/>
        <v>0.99009900990099009</v>
      </c>
      <c r="AC12" s="1570">
        <f t="shared" si="5"/>
        <v>0.99009900990099009</v>
      </c>
    </row>
    <row r="13" spans="1:30" ht="20.25">
      <c r="A13" s="2940"/>
      <c r="B13" s="2944" t="s">
        <v>2763</v>
      </c>
      <c r="C13" s="533">
        <f>'数据-汇总表'!I3</f>
        <v>1.2</v>
      </c>
      <c r="D13" s="3220">
        <v>100</v>
      </c>
      <c r="E13" s="532">
        <v>1.8</v>
      </c>
      <c r="F13" s="3220">
        <f>LOOKUP(E13,82:82,83:83)-LOOKUP(C13,82:82,83:83)+100</f>
        <v>100</v>
      </c>
      <c r="G13" s="533">
        <v>2</v>
      </c>
      <c r="H13" s="3220">
        <f>LOOKUP(G13,82:82,83:83)-LOOKUP(C13,82:82,83:83)+100</f>
        <v>100</v>
      </c>
      <c r="I13" s="532">
        <v>2</v>
      </c>
      <c r="J13" s="3220">
        <f>LOOKUP(I13,82:82,83:83)-LOOKUP(C13,82:82,83:83)+100</f>
        <v>100</v>
      </c>
      <c r="K13" s="3221"/>
      <c r="L13" s="2138"/>
      <c r="M13" s="2130"/>
      <c r="N13" s="2130"/>
      <c r="O13" s="2139"/>
      <c r="P13" s="3418"/>
      <c r="Q13" s="1150" t="str">
        <f t="shared" si="6"/>
        <v>容积率</v>
      </c>
      <c r="R13" s="1567" t="s">
        <v>8</v>
      </c>
      <c r="S13" s="1568">
        <f t="shared" si="0"/>
        <v>100</v>
      </c>
      <c r="T13" s="1567" t="s">
        <v>8</v>
      </c>
      <c r="U13" s="1568">
        <f t="shared" si="1"/>
        <v>100</v>
      </c>
      <c r="V13" s="1567" t="s">
        <v>8</v>
      </c>
      <c r="W13" s="1568">
        <f t="shared" si="2"/>
        <v>100</v>
      </c>
      <c r="X13" s="1569"/>
      <c r="Y13" s="3375"/>
      <c r="Z13" s="1149" t="str">
        <f t="shared" si="7"/>
        <v>容积率</v>
      </c>
      <c r="AA13" s="1570">
        <f t="shared" si="3"/>
        <v>1</v>
      </c>
      <c r="AB13" s="1570">
        <f t="shared" si="4"/>
        <v>1</v>
      </c>
      <c r="AC13" s="1570">
        <f t="shared" si="5"/>
        <v>1</v>
      </c>
    </row>
    <row r="14" spans="1:30" s="1219" customFormat="1" ht="20.25" hidden="1">
      <c r="A14" s="2937"/>
      <c r="B14" s="2946" t="s">
        <v>2764</v>
      </c>
      <c r="C14" s="2933"/>
      <c r="D14" s="537">
        <v>100</v>
      </c>
      <c r="E14" s="1373"/>
      <c r="F14" s="254">
        <f>SUMIF(84:84,E14,85:85)-SUMIF(84:84,C14,85:85)+100</f>
        <v>100</v>
      </c>
      <c r="G14" s="529"/>
      <c r="H14" s="254">
        <f>SUMIF(84:84,G14,85:85)-SUMIF(84:84,C14,85:85)+100</f>
        <v>100</v>
      </c>
      <c r="I14" s="528"/>
      <c r="J14" s="254">
        <f>SUMIF(84:84,I14,85:85)-SUMIF(84:84,C14,85:85)+100</f>
        <v>100</v>
      </c>
      <c r="K14" s="530"/>
      <c r="L14" s="2133"/>
      <c r="M14" s="2130"/>
      <c r="N14" s="2130"/>
      <c r="O14" s="2135"/>
      <c r="P14" s="3418"/>
      <c r="Q14" s="1150" t="str">
        <f t="shared" si="6"/>
        <v>配建</v>
      </c>
      <c r="R14" s="1567" t="s">
        <v>8</v>
      </c>
      <c r="S14" s="1568">
        <f t="shared" si="0"/>
        <v>100</v>
      </c>
      <c r="T14" s="1567" t="s">
        <v>8</v>
      </c>
      <c r="U14" s="1568">
        <f t="shared" si="1"/>
        <v>100</v>
      </c>
      <c r="V14" s="1567" t="s">
        <v>8</v>
      </c>
      <c r="W14" s="1568">
        <f t="shared" si="2"/>
        <v>100</v>
      </c>
      <c r="X14" s="1569"/>
      <c r="Y14" s="3375"/>
      <c r="Z14" s="1149" t="str">
        <f t="shared" si="7"/>
        <v>配建</v>
      </c>
      <c r="AA14" s="1570">
        <f>D14/F14</f>
        <v>1</v>
      </c>
      <c r="AB14" s="1570">
        <f>D14/H14</f>
        <v>1</v>
      </c>
      <c r="AC14" s="1570">
        <f>D14/J14</f>
        <v>1</v>
      </c>
    </row>
    <row r="15" spans="1:30" ht="27.75" thickBot="1">
      <c r="A15" s="2941"/>
      <c r="B15" s="3210" t="s">
        <v>3218</v>
      </c>
      <c r="C15" s="3211" t="s">
        <v>3245</v>
      </c>
      <c r="D15" s="539">
        <v>100</v>
      </c>
      <c r="E15" s="3212" t="s">
        <v>3224</v>
      </c>
      <c r="F15" s="254">
        <f>SUMIF(86:86,E15,87:87)-SUMIF(86:86,C15,87:87)+100</f>
        <v>100</v>
      </c>
      <c r="G15" s="3213" t="s">
        <v>3219</v>
      </c>
      <c r="H15" s="539">
        <f>SUMIF(86:86,G15,87:87)-SUMIF(86:86,C15,87:87)+100</f>
        <v>100</v>
      </c>
      <c r="I15" s="3213" t="s">
        <v>3224</v>
      </c>
      <c r="J15" s="539">
        <f>SUMIF(86:86,I15,87:87)-SUMIF(86:86,C15,87:87)+100</f>
        <v>100</v>
      </c>
      <c r="K15" s="530"/>
      <c r="L15" s="2140"/>
      <c r="M15" s="2130"/>
      <c r="N15" s="2130"/>
      <c r="O15" s="2139"/>
      <c r="P15" s="3418"/>
      <c r="Q15" s="1150" t="str">
        <f t="shared" si="6"/>
        <v>商业建筑面积配比</v>
      </c>
      <c r="R15" s="1567" t="s">
        <v>8</v>
      </c>
      <c r="S15" s="1568">
        <f t="shared" si="0"/>
        <v>100</v>
      </c>
      <c r="T15" s="1567" t="s">
        <v>8</v>
      </c>
      <c r="U15" s="1568">
        <f t="shared" si="1"/>
        <v>100</v>
      </c>
      <c r="V15" s="1567" t="s">
        <v>8</v>
      </c>
      <c r="W15" s="1568">
        <f t="shared" si="2"/>
        <v>100</v>
      </c>
      <c r="X15" s="1569"/>
      <c r="Y15" s="3375"/>
      <c r="Z15" s="1149" t="str">
        <f t="shared" si="7"/>
        <v>商业建筑面积配比</v>
      </c>
      <c r="AA15" s="1570">
        <f>D15/F15</f>
        <v>1</v>
      </c>
      <c r="AB15" s="1570">
        <f>D15/H15</f>
        <v>1</v>
      </c>
      <c r="AC15" s="1570">
        <f>D15/J15</f>
        <v>1</v>
      </c>
    </row>
    <row r="16" spans="1:30" ht="21" hidden="1" thickBot="1">
      <c r="A16" s="2942"/>
      <c r="B16" s="2948">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418"/>
      <c r="Q16" s="1150">
        <f t="shared" si="6"/>
        <v>111</v>
      </c>
      <c r="R16" s="1567" t="s">
        <v>8</v>
      </c>
      <c r="S16" s="1568">
        <f t="shared" si="0"/>
        <v>100</v>
      </c>
      <c r="T16" s="1567" t="s">
        <v>8</v>
      </c>
      <c r="U16" s="1568">
        <f t="shared" si="1"/>
        <v>100</v>
      </c>
      <c r="V16" s="1567" t="s">
        <v>8</v>
      </c>
      <c r="W16" s="1568">
        <f t="shared" si="2"/>
        <v>100</v>
      </c>
      <c r="X16" s="1569"/>
      <c r="Y16" s="3375"/>
      <c r="Z16" s="1149">
        <f t="shared" si="7"/>
        <v>111</v>
      </c>
      <c r="AA16" s="1570">
        <f>D16/F16</f>
        <v>1</v>
      </c>
      <c r="AB16" s="1570">
        <f>D16/H16</f>
        <v>1</v>
      </c>
      <c r="AC16" s="1570">
        <f>D16/J16</f>
        <v>1</v>
      </c>
    </row>
    <row r="17" spans="1:29" ht="99.75">
      <c r="A17" s="2934" t="s">
        <v>2759</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98</v>
      </c>
      <c r="G17" s="549"/>
      <c r="H17" s="548">
        <f>SUMIF(90:90,G18,91:91)-SUMIF(90:90,C18,91:91)+100</f>
        <v>100</v>
      </c>
      <c r="I17" s="551"/>
      <c r="J17" s="548">
        <f>SUMIF(90:90,I18,91:91)-SUMIF(90:90,C18,91:91)+100</f>
        <v>100</v>
      </c>
      <c r="K17" s="534">
        <v>2</v>
      </c>
      <c r="L17" s="3219"/>
      <c r="M17" s="2130"/>
      <c r="N17" s="2130"/>
      <c r="O17" s="2139"/>
      <c r="P17" s="3420" t="s">
        <v>541</v>
      </c>
      <c r="Q17" s="1571" t="str">
        <f t="shared" si="6"/>
        <v>居住社区成熟度</v>
      </c>
      <c r="R17" s="1572" t="s">
        <v>8</v>
      </c>
      <c r="S17" s="1573">
        <f t="shared" si="0"/>
        <v>98</v>
      </c>
      <c r="T17" s="1572" t="s">
        <v>8</v>
      </c>
      <c r="U17" s="1573">
        <f t="shared" si="1"/>
        <v>100</v>
      </c>
      <c r="V17" s="1572" t="s">
        <v>8</v>
      </c>
      <c r="W17" s="1573">
        <f t="shared" si="2"/>
        <v>100</v>
      </c>
      <c r="X17" s="1566"/>
      <c r="Y17" s="3420" t="s">
        <v>541</v>
      </c>
      <c r="Z17" s="1574" t="str">
        <f t="shared" si="7"/>
        <v>居住社区成熟度</v>
      </c>
      <c r="AA17" s="1575">
        <f t="shared" si="3"/>
        <v>1.0204081632653061</v>
      </c>
      <c r="AB17" s="1575">
        <f t="shared" si="4"/>
        <v>1</v>
      </c>
      <c r="AC17" s="1575">
        <f t="shared" si="5"/>
        <v>1</v>
      </c>
    </row>
    <row r="18" spans="1:29" ht="20.25">
      <c r="A18" s="531"/>
      <c r="B18" s="552"/>
      <c r="C18" s="553" t="s">
        <v>3149</v>
      </c>
      <c r="D18" s="556"/>
      <c r="E18" s="557" t="s">
        <v>3150</v>
      </c>
      <c r="F18" s="554"/>
      <c r="G18" s="555" t="s">
        <v>3149</v>
      </c>
      <c r="H18" s="558"/>
      <c r="I18" s="557" t="s">
        <v>3149</v>
      </c>
      <c r="J18" s="554"/>
      <c r="K18" s="530"/>
      <c r="L18" s="2140"/>
      <c r="M18" s="2130"/>
      <c r="N18" s="2130"/>
      <c r="O18" s="2139"/>
      <c r="P18" s="3421"/>
      <c r="Q18" s="1571"/>
      <c r="R18" s="1572"/>
      <c r="S18" s="1573"/>
      <c r="T18" s="1572"/>
      <c r="U18" s="1573"/>
      <c r="V18" s="1572"/>
      <c r="W18" s="1573"/>
      <c r="X18" s="1566"/>
      <c r="Y18" s="3421"/>
      <c r="Z18" s="1574"/>
      <c r="AA18" s="1575">
        <v>1</v>
      </c>
      <c r="AB18" s="1575">
        <v>1</v>
      </c>
      <c r="AC18" s="1575">
        <v>1</v>
      </c>
    </row>
    <row r="19" spans="1:29" ht="71.25">
      <c r="A19" s="531"/>
      <c r="B19" s="559" t="s">
        <v>542</v>
      </c>
      <c r="C19" s="560" t="str">
        <f>估价对象房地状况!C16</f>
        <v>估价对象位于XX商圈，周边商业氛围成熟，人流量大，商业繁华度好</v>
      </c>
      <c r="D19" s="562">
        <v>100</v>
      </c>
      <c r="E19" s="563"/>
      <c r="F19" s="558">
        <f>SUMIF(92:92,E20,93:93)-SUMIF(92:92,C20,93:93)+100</f>
        <v>98</v>
      </c>
      <c r="G19" s="561"/>
      <c r="H19" s="564">
        <f>SUMIF(92:92,G20,93:93)-SUMIF(92:92,C20,93:93)+100</f>
        <v>100</v>
      </c>
      <c r="I19" s="563"/>
      <c r="J19" s="564">
        <f>SUMIF(92:92,I20,93:93)-SUMIF(92:92,C20,93:93)+100</f>
        <v>100</v>
      </c>
      <c r="K19" s="534">
        <v>2</v>
      </c>
      <c r="L19" s="2140"/>
      <c r="M19" s="2130"/>
      <c r="N19" s="2130"/>
      <c r="O19" s="2139"/>
      <c r="P19" s="3421"/>
      <c r="Q19" s="1571" t="str">
        <f>B19</f>
        <v>商业繁华度</v>
      </c>
      <c r="R19" s="1572" t="s">
        <v>8</v>
      </c>
      <c r="S19" s="1573">
        <f>F19</f>
        <v>98</v>
      </c>
      <c r="T19" s="1572" t="s">
        <v>8</v>
      </c>
      <c r="U19" s="1573">
        <f>H19</f>
        <v>100</v>
      </c>
      <c r="V19" s="1572" t="s">
        <v>8</v>
      </c>
      <c r="W19" s="1573">
        <f>J19</f>
        <v>100</v>
      </c>
      <c r="X19" s="1566"/>
      <c r="Y19" s="3421"/>
      <c r="Z19" s="1574" t="str">
        <f>Q19</f>
        <v>商业繁华度</v>
      </c>
      <c r="AA19" s="1575">
        <f t="shared" si="3"/>
        <v>1.0204081632653061</v>
      </c>
      <c r="AB19" s="1575">
        <f t="shared" si="4"/>
        <v>1</v>
      </c>
      <c r="AC19" s="1575">
        <f t="shared" si="5"/>
        <v>1</v>
      </c>
    </row>
    <row r="20" spans="1:29" ht="20.25">
      <c r="A20" s="531"/>
      <c r="B20" s="565"/>
      <c r="C20" s="566" t="s">
        <v>3149</v>
      </c>
      <c r="D20" s="562"/>
      <c r="E20" s="568" t="s">
        <v>3150</v>
      </c>
      <c r="F20" s="558"/>
      <c r="G20" s="567" t="s">
        <v>3149</v>
      </c>
      <c r="H20" s="554"/>
      <c r="I20" s="568" t="s">
        <v>3149</v>
      </c>
      <c r="J20" s="554"/>
      <c r="K20" s="530"/>
      <c r="L20" s="2140"/>
      <c r="M20" s="2130"/>
      <c r="N20" s="2130"/>
      <c r="O20" s="2139"/>
      <c r="P20" s="3421"/>
      <c r="Q20" s="1571"/>
      <c r="R20" s="1572"/>
      <c r="S20" s="1573"/>
      <c r="T20" s="1572"/>
      <c r="U20" s="1573"/>
      <c r="V20" s="1572"/>
      <c r="W20" s="1573"/>
      <c r="X20" s="1566"/>
      <c r="Y20" s="3421"/>
      <c r="Z20" s="1574"/>
      <c r="AA20" s="1575">
        <v>1</v>
      </c>
      <c r="AB20" s="1575">
        <v>1</v>
      </c>
      <c r="AC20" s="1575">
        <v>1</v>
      </c>
    </row>
    <row r="21" spans="1:29" ht="71.25" hidden="1">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21"/>
      <c r="Q21" s="1571" t="str">
        <f>B21</f>
        <v>办公集聚程度</v>
      </c>
      <c r="R21" s="1572" t="s">
        <v>8</v>
      </c>
      <c r="S21" s="1573">
        <f>F21</f>
        <v>100</v>
      </c>
      <c r="T21" s="1572" t="s">
        <v>8</v>
      </c>
      <c r="U21" s="1573">
        <f>H21</f>
        <v>100</v>
      </c>
      <c r="V21" s="1572" t="s">
        <v>8</v>
      </c>
      <c r="W21" s="1573">
        <f>J21</f>
        <v>100</v>
      </c>
      <c r="X21" s="1566"/>
      <c r="Y21" s="3421"/>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0"/>
      <c r="M22" s="2130"/>
      <c r="N22" s="2130"/>
      <c r="O22" s="2139"/>
      <c r="P22" s="3421"/>
      <c r="Q22" s="1571"/>
      <c r="R22" s="1572"/>
      <c r="S22" s="1573"/>
      <c r="T22" s="1572"/>
      <c r="U22" s="1573"/>
      <c r="V22" s="1572"/>
      <c r="W22" s="1573"/>
      <c r="X22" s="1566"/>
      <c r="Y22" s="3421"/>
      <c r="Z22" s="1574"/>
      <c r="AA22" s="1575">
        <v>1</v>
      </c>
      <c r="AB22" s="1575">
        <v>1</v>
      </c>
      <c r="AC22" s="1575">
        <v>1</v>
      </c>
    </row>
    <row r="23" spans="1:29" ht="85.5">
      <c r="A23" s="531"/>
      <c r="B23" s="559" t="s">
        <v>544</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102</v>
      </c>
      <c r="I23" s="563"/>
      <c r="J23" s="558">
        <f>SUMIF(96:96,I24,97:97)-SUMIF(96:96,C24,97:97)+100</f>
        <v>102</v>
      </c>
      <c r="K23" s="534">
        <v>2</v>
      </c>
      <c r="L23" s="2140"/>
      <c r="M23" s="2130"/>
      <c r="N23" s="2130"/>
      <c r="O23" s="2139"/>
      <c r="P23" s="3421"/>
      <c r="Q23" s="1571" t="str">
        <f>B23</f>
        <v>交通便捷度</v>
      </c>
      <c r="R23" s="1572" t="s">
        <v>8</v>
      </c>
      <c r="S23" s="1573">
        <f>F23</f>
        <v>100</v>
      </c>
      <c r="T23" s="1572" t="s">
        <v>8</v>
      </c>
      <c r="U23" s="1573">
        <f>H23</f>
        <v>102</v>
      </c>
      <c r="V23" s="1572" t="s">
        <v>8</v>
      </c>
      <c r="W23" s="1573">
        <f>J23</f>
        <v>102</v>
      </c>
      <c r="X23" s="1566"/>
      <c r="Y23" s="3421"/>
      <c r="Z23" s="1574" t="str">
        <f>Q23</f>
        <v>交通便捷度</v>
      </c>
      <c r="AA23" s="1575">
        <f t="shared" si="3"/>
        <v>1</v>
      </c>
      <c r="AB23" s="1575">
        <f t="shared" si="4"/>
        <v>0.98039215686274506</v>
      </c>
      <c r="AC23" s="1575">
        <f t="shared" si="5"/>
        <v>0.98039215686274506</v>
      </c>
    </row>
    <row r="24" spans="1:29" ht="20.25">
      <c r="A24" s="531"/>
      <c r="B24" s="577"/>
      <c r="C24" s="553" t="s">
        <v>3149</v>
      </c>
      <c r="D24" s="556"/>
      <c r="E24" s="557" t="s">
        <v>3149</v>
      </c>
      <c r="F24" s="554"/>
      <c r="G24" s="555" t="s">
        <v>3151</v>
      </c>
      <c r="H24" s="554"/>
      <c r="I24" s="557" t="s">
        <v>3151</v>
      </c>
      <c r="J24" s="554"/>
      <c r="K24" s="530"/>
      <c r="L24" s="2140"/>
      <c r="M24" s="2130"/>
      <c r="N24" s="2130"/>
      <c r="O24" s="2139"/>
      <c r="P24" s="3421"/>
      <c r="Q24" s="1571"/>
      <c r="R24" s="1572"/>
      <c r="S24" s="1573"/>
      <c r="T24" s="1572"/>
      <c r="U24" s="1573"/>
      <c r="V24" s="1572"/>
      <c r="W24" s="1573"/>
      <c r="X24" s="1566"/>
      <c r="Y24" s="3421"/>
      <c r="Z24" s="1574"/>
      <c r="AA24" s="1575">
        <v>1</v>
      </c>
      <c r="AB24" s="1575">
        <v>1</v>
      </c>
      <c r="AC24" s="1575">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40"/>
      <c r="M25" s="2130"/>
      <c r="N25" s="2130"/>
      <c r="O25" s="2139"/>
      <c r="P25" s="3421"/>
      <c r="Q25" s="1571" t="str">
        <f t="shared" ref="Q25:Q39" si="8">B25</f>
        <v>区域土地利用方向</v>
      </c>
      <c r="R25" s="1572" t="s">
        <v>8</v>
      </c>
      <c r="S25" s="1573">
        <f>F25</f>
        <v>100</v>
      </c>
      <c r="T25" s="1572" t="s">
        <v>8</v>
      </c>
      <c r="U25" s="1573">
        <f>H25</f>
        <v>100</v>
      </c>
      <c r="V25" s="1572" t="s">
        <v>8</v>
      </c>
      <c r="W25" s="1573">
        <f>J25</f>
        <v>100</v>
      </c>
      <c r="X25" s="1566"/>
      <c r="Y25" s="3421"/>
      <c r="Z25" s="1574" t="str">
        <f>Q25</f>
        <v>区域土地利用方向</v>
      </c>
      <c r="AA25" s="1575">
        <f t="shared" si="3"/>
        <v>1</v>
      </c>
      <c r="AB25" s="1575">
        <f t="shared" si="4"/>
        <v>1</v>
      </c>
      <c r="AC25" s="1575">
        <f t="shared" si="5"/>
        <v>1</v>
      </c>
    </row>
    <row r="26" spans="1:29" ht="20.25">
      <c r="A26" s="514"/>
      <c r="B26" s="1006"/>
      <c r="C26" s="553" t="s">
        <v>3151</v>
      </c>
      <c r="D26" s="556"/>
      <c r="E26" s="557" t="s">
        <v>3151</v>
      </c>
      <c r="F26" s="554"/>
      <c r="G26" s="555" t="s">
        <v>3151</v>
      </c>
      <c r="H26" s="554"/>
      <c r="I26" s="557" t="s">
        <v>3151</v>
      </c>
      <c r="J26" s="554"/>
      <c r="K26" s="530"/>
      <c r="L26" s="2140"/>
      <c r="M26" s="2130"/>
      <c r="N26" s="2130"/>
      <c r="O26" s="2139"/>
      <c r="P26" s="3421"/>
      <c r="Q26" s="1571"/>
      <c r="R26" s="1572"/>
      <c r="S26" s="1573"/>
      <c r="T26" s="1572"/>
      <c r="U26" s="1573"/>
      <c r="V26" s="1572"/>
      <c r="W26" s="1573"/>
      <c r="X26" s="1566"/>
      <c r="Y26" s="3421"/>
      <c r="Z26" s="1574"/>
      <c r="AA26" s="1575"/>
      <c r="AB26" s="1575"/>
      <c r="AC26" s="1575"/>
    </row>
    <row r="27" spans="1:29" ht="57">
      <c r="A27" s="514"/>
      <c r="B27" s="577" t="s">
        <v>546</v>
      </c>
      <c r="C27" s="560" t="str">
        <f>估价对象房地状况!C20</f>
        <v>区域自然环境：；人文环境；综合评价环境状况一般</v>
      </c>
      <c r="D27" s="562">
        <v>100</v>
      </c>
      <c r="E27" s="563"/>
      <c r="F27" s="558">
        <f>SUMIF(100:100,E28,101:101)-SUMIF(100:100,C28,101:101)+100</f>
        <v>98</v>
      </c>
      <c r="G27" s="561"/>
      <c r="H27" s="558">
        <f>SUMIF(100:100,G28,101:101)-SUMIF(100:100,C28,101:101)+100</f>
        <v>98</v>
      </c>
      <c r="I27" s="563"/>
      <c r="J27" s="558">
        <f>SUMIF(100:100,I28,101:101)-SUMIF(100:100,C28,101:101)+100</f>
        <v>98</v>
      </c>
      <c r="K27" s="534">
        <v>2</v>
      </c>
      <c r="L27" s="2140"/>
      <c r="M27" s="2130"/>
      <c r="N27" s="2130"/>
      <c r="O27" s="2139"/>
      <c r="P27" s="3421"/>
      <c r="Q27" s="1571" t="str">
        <f t="shared" si="8"/>
        <v>自然及人文环境状况</v>
      </c>
      <c r="R27" s="1572" t="s">
        <v>8</v>
      </c>
      <c r="S27" s="1573">
        <f>F27</f>
        <v>98</v>
      </c>
      <c r="T27" s="1572" t="s">
        <v>8</v>
      </c>
      <c r="U27" s="1573">
        <f>H27</f>
        <v>98</v>
      </c>
      <c r="V27" s="1572" t="s">
        <v>8</v>
      </c>
      <c r="W27" s="1573">
        <f>J27</f>
        <v>98</v>
      </c>
      <c r="X27" s="1566"/>
      <c r="Y27" s="3421"/>
      <c r="Z27" s="1574" t="str">
        <f>Q27</f>
        <v>自然及人文环境状况</v>
      </c>
      <c r="AA27" s="1575">
        <f t="shared" si="3"/>
        <v>1.0204081632653061</v>
      </c>
      <c r="AB27" s="1575">
        <f t="shared" si="4"/>
        <v>1.0204081632653061</v>
      </c>
      <c r="AC27" s="1575">
        <f t="shared" si="5"/>
        <v>1.0204081632653061</v>
      </c>
    </row>
    <row r="28" spans="1:29" ht="20.25">
      <c r="A28" s="514"/>
      <c r="B28" s="565"/>
      <c r="C28" s="553" t="s">
        <v>3152</v>
      </c>
      <c r="D28" s="556"/>
      <c r="E28" s="575" t="s">
        <v>3151</v>
      </c>
      <c r="F28" s="554"/>
      <c r="G28" s="553" t="s">
        <v>3151</v>
      </c>
      <c r="H28" s="554"/>
      <c r="I28" s="575" t="s">
        <v>3151</v>
      </c>
      <c r="J28" s="554"/>
      <c r="K28" s="530"/>
      <c r="L28" s="2140"/>
      <c r="M28" s="2130"/>
      <c r="N28" s="2130"/>
      <c r="O28" s="2139"/>
      <c r="P28" s="3421"/>
      <c r="Q28" s="1571"/>
      <c r="R28" s="1572"/>
      <c r="S28" s="1573"/>
      <c r="T28" s="1572"/>
      <c r="U28" s="1573"/>
      <c r="V28" s="1572"/>
      <c r="W28" s="1573"/>
      <c r="X28" s="1566"/>
      <c r="Y28" s="3421"/>
      <c r="Z28" s="1574"/>
      <c r="AA28" s="1575">
        <v>1</v>
      </c>
      <c r="AB28" s="1575">
        <v>1</v>
      </c>
      <c r="AC28" s="1575">
        <v>1</v>
      </c>
    </row>
    <row r="29" spans="1:29" s="1219" customFormat="1" ht="42.75">
      <c r="A29" s="576"/>
      <c r="B29" s="2613" t="s">
        <v>2551</v>
      </c>
      <c r="C29" s="572" t="str">
        <f>估价对象房地状况!C21</f>
        <v>估价对象所在区域公共配套设施齐备情况</v>
      </c>
      <c r="D29" s="562">
        <v>100</v>
      </c>
      <c r="E29" s="563"/>
      <c r="F29" s="558">
        <f>SUMIF(102:102,E30,103:103)-SUMIF(102:102,C30,103:103)+100</f>
        <v>98</v>
      </c>
      <c r="G29" s="561"/>
      <c r="H29" s="558">
        <f>SUMIF(102:102,G30,103:103)-SUMIF(102:102,C30,103:103)+100</f>
        <v>100</v>
      </c>
      <c r="I29" s="563"/>
      <c r="J29" s="558">
        <f>SUMIF(102:102,I30,103:103)-SUMIF(102:102,C30,103:103)+100</f>
        <v>100</v>
      </c>
      <c r="K29" s="534">
        <v>2</v>
      </c>
      <c r="L29" s="2133"/>
      <c r="M29" s="2130"/>
      <c r="N29" s="2130"/>
      <c r="O29" s="2135"/>
      <c r="P29" s="3421"/>
      <c r="Q29" s="1150" t="str">
        <f t="shared" si="8"/>
        <v>公共配套设施</v>
      </c>
      <c r="R29" s="1567" t="s">
        <v>8</v>
      </c>
      <c r="S29" s="1568">
        <f>F29</f>
        <v>98</v>
      </c>
      <c r="T29" s="1567" t="s">
        <v>8</v>
      </c>
      <c r="U29" s="1568">
        <f>H29</f>
        <v>100</v>
      </c>
      <c r="V29" s="1567" t="s">
        <v>8</v>
      </c>
      <c r="W29" s="1568">
        <f>J29</f>
        <v>100</v>
      </c>
      <c r="X29" s="1569"/>
      <c r="Y29" s="3421"/>
      <c r="Z29" s="1149" t="str">
        <f>Q29</f>
        <v>公共配套设施</v>
      </c>
      <c r="AA29" s="1575">
        <f>D29/F29</f>
        <v>1.0204081632653061</v>
      </c>
      <c r="AB29" s="1575">
        <f>D29/H29</f>
        <v>1</v>
      </c>
      <c r="AC29" s="1575">
        <f>D29/J29</f>
        <v>1</v>
      </c>
    </row>
    <row r="30" spans="1:29" s="1219" customFormat="1" ht="20.25">
      <c r="A30" s="576"/>
      <c r="B30" s="565"/>
      <c r="C30" s="578" t="s">
        <v>3149</v>
      </c>
      <c r="D30" s="556"/>
      <c r="E30" s="575" t="s">
        <v>3150</v>
      </c>
      <c r="F30" s="554"/>
      <c r="G30" s="553" t="s">
        <v>3149</v>
      </c>
      <c r="H30" s="554"/>
      <c r="I30" s="575" t="s">
        <v>3149</v>
      </c>
      <c r="J30" s="554"/>
      <c r="K30" s="530"/>
      <c r="L30" s="2133"/>
      <c r="M30" s="2130"/>
      <c r="N30" s="2130"/>
      <c r="O30" s="2135"/>
      <c r="P30" s="3421"/>
      <c r="Q30" s="1150"/>
      <c r="R30" s="1567"/>
      <c r="S30" s="1568"/>
      <c r="T30" s="1567"/>
      <c r="U30" s="1568"/>
      <c r="V30" s="1567"/>
      <c r="W30" s="1568"/>
      <c r="X30" s="1569"/>
      <c r="Y30" s="3421"/>
      <c r="Z30" s="1149"/>
      <c r="AA30" s="1575">
        <v>1</v>
      </c>
      <c r="AB30" s="1575">
        <v>1</v>
      </c>
      <c r="AC30" s="1575">
        <v>1</v>
      </c>
    </row>
    <row r="31" spans="1:29" s="1219" customFormat="1" ht="28.5">
      <c r="A31" s="576"/>
      <c r="B31" s="2613" t="s">
        <v>2552</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421"/>
      <c r="Q31" s="2600" t="str">
        <f t="shared" ref="Q31" si="9">B31</f>
        <v>基础设施水平</v>
      </c>
      <c r="R31" s="1567" t="s">
        <v>8</v>
      </c>
      <c r="S31" s="1568">
        <f>F31</f>
        <v>100</v>
      </c>
      <c r="T31" s="1567" t="s">
        <v>8</v>
      </c>
      <c r="U31" s="1568">
        <f>H31</f>
        <v>100</v>
      </c>
      <c r="V31" s="1567" t="s">
        <v>8</v>
      </c>
      <c r="W31" s="1568">
        <f>J31</f>
        <v>100</v>
      </c>
      <c r="X31" s="1569"/>
      <c r="Y31" s="3421"/>
      <c r="Z31" s="2597" t="str">
        <f>Q31</f>
        <v>基础设施水平</v>
      </c>
      <c r="AA31" s="1575">
        <f>D31/F31</f>
        <v>1</v>
      </c>
      <c r="AB31" s="1575">
        <f>D31/H31</f>
        <v>1</v>
      </c>
      <c r="AC31" s="1575">
        <f>D31/J31</f>
        <v>1</v>
      </c>
    </row>
    <row r="32" spans="1:29" s="1219" customFormat="1" ht="20.25">
      <c r="A32" s="576"/>
      <c r="B32" s="565"/>
      <c r="C32" s="578" t="s">
        <v>3173</v>
      </c>
      <c r="D32" s="556"/>
      <c r="E32" s="2614" t="s">
        <v>3173</v>
      </c>
      <c r="F32" s="554"/>
      <c r="G32" s="578" t="s">
        <v>3173</v>
      </c>
      <c r="H32" s="554"/>
      <c r="I32" s="578" t="s">
        <v>3173</v>
      </c>
      <c r="J32" s="554"/>
      <c r="K32" s="530"/>
      <c r="L32" s="2133"/>
      <c r="M32" s="2130"/>
      <c r="N32" s="2130"/>
      <c r="O32" s="2135"/>
      <c r="P32" s="3421"/>
      <c r="Q32" s="2600"/>
      <c r="R32" s="1567"/>
      <c r="S32" s="1568"/>
      <c r="T32" s="1567"/>
      <c r="U32" s="1568"/>
      <c r="V32" s="1567"/>
      <c r="W32" s="1568"/>
      <c r="X32" s="1569"/>
      <c r="Y32" s="3421"/>
      <c r="Z32" s="2597"/>
      <c r="AA32" s="1575">
        <v>1</v>
      </c>
      <c r="AB32" s="1575">
        <v>1</v>
      </c>
      <c r="AC32" s="1575">
        <v>1</v>
      </c>
    </row>
    <row r="33" spans="1:29" ht="20.25" hidden="1">
      <c r="A33" s="531"/>
      <c r="B33" s="565" t="s">
        <v>548</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42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1"/>
      <c r="Z33" s="1574" t="str">
        <f t="shared" ref="Z33:Z47" si="13">Q33</f>
        <v>临街状况</v>
      </c>
      <c r="AA33" s="1575">
        <f t="shared" si="3"/>
        <v>1</v>
      </c>
      <c r="AB33" s="1575">
        <f t="shared" si="4"/>
        <v>1</v>
      </c>
      <c r="AC33" s="1575">
        <f t="shared" si="5"/>
        <v>1</v>
      </c>
    </row>
    <row r="34" spans="1:29" ht="27">
      <c r="A34" s="531"/>
      <c r="B34" s="577" t="s">
        <v>549</v>
      </c>
      <c r="C34" s="3206"/>
      <c r="D34" s="562">
        <v>100</v>
      </c>
      <c r="E34" s="563"/>
      <c r="F34" s="558">
        <f>SUMIF(108:108,E35,109:109)-SUMIF(108:108,C35,109:109)+100</f>
        <v>106</v>
      </c>
      <c r="G34" s="561"/>
      <c r="H34" s="558">
        <f>SUMIF(108:108,G35,109:109)-SUMIF(108:108,C35,109:109)+100</f>
        <v>106</v>
      </c>
      <c r="I34" s="563"/>
      <c r="J34" s="558">
        <f>SUMIF(108:108,I35,109:109)-SUMIF(108:108,C35,109:109)+100</f>
        <v>106</v>
      </c>
      <c r="K34" s="534">
        <v>2</v>
      </c>
      <c r="L34" s="2140"/>
      <c r="M34" s="2130"/>
      <c r="N34" s="2130"/>
      <c r="O34" s="2139"/>
      <c r="P34" s="3421"/>
      <c r="Q34" s="1571" t="str">
        <f t="shared" si="8"/>
        <v>毗邻道路的类型与等级</v>
      </c>
      <c r="R34" s="1572" t="s">
        <v>8</v>
      </c>
      <c r="S34" s="1573">
        <f t="shared" si="10"/>
        <v>106</v>
      </c>
      <c r="T34" s="1572" t="s">
        <v>8</v>
      </c>
      <c r="U34" s="1573">
        <f t="shared" si="11"/>
        <v>106</v>
      </c>
      <c r="V34" s="1572" t="s">
        <v>8</v>
      </c>
      <c r="W34" s="1573">
        <f t="shared" si="12"/>
        <v>106</v>
      </c>
      <c r="X34" s="1566"/>
      <c r="Y34" s="3421"/>
      <c r="Z34" s="1574" t="str">
        <f t="shared" si="13"/>
        <v>毗邻道路的类型与等级</v>
      </c>
      <c r="AA34" s="1575">
        <f t="shared" si="3"/>
        <v>0.94339622641509435</v>
      </c>
      <c r="AB34" s="1575">
        <f t="shared" si="4"/>
        <v>0.94339622641509435</v>
      </c>
      <c r="AC34" s="1575">
        <f t="shared" si="5"/>
        <v>0.94339622641509435</v>
      </c>
    </row>
    <row r="35" spans="1:29" ht="21" thickBot="1">
      <c r="A35" s="531"/>
      <c r="B35" s="565"/>
      <c r="C35" s="553" t="s">
        <v>3160</v>
      </c>
      <c r="D35" s="556"/>
      <c r="E35" s="575" t="s">
        <v>3156</v>
      </c>
      <c r="F35" s="554"/>
      <c r="G35" s="553" t="s">
        <v>3156</v>
      </c>
      <c r="H35" s="554"/>
      <c r="I35" s="575" t="s">
        <v>3156</v>
      </c>
      <c r="J35" s="554"/>
      <c r="K35" s="580"/>
      <c r="L35" s="2140"/>
      <c r="M35" s="2130"/>
      <c r="N35" s="2130"/>
      <c r="O35" s="2139"/>
      <c r="P35" s="3421"/>
      <c r="Q35" s="1571"/>
      <c r="R35" s="1572"/>
      <c r="S35" s="1573"/>
      <c r="T35" s="1572"/>
      <c r="U35" s="1573"/>
      <c r="V35" s="1572"/>
      <c r="W35" s="1573"/>
      <c r="X35" s="1566"/>
      <c r="Y35" s="3421"/>
      <c r="Z35" s="1574"/>
      <c r="AA35" s="1575">
        <v>1</v>
      </c>
      <c r="AB35" s="1575">
        <v>1</v>
      </c>
      <c r="AC35" s="1575">
        <v>1</v>
      </c>
    </row>
    <row r="36" spans="1:29" ht="21" hidden="1" thickBot="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21"/>
      <c r="Q36" s="1571" t="str">
        <f t="shared" si="8"/>
        <v>土地级别</v>
      </c>
      <c r="R36" s="1572" t="s">
        <v>8</v>
      </c>
      <c r="S36" s="1573">
        <f t="shared" si="10"/>
        <v>100</v>
      </c>
      <c r="T36" s="1572" t="s">
        <v>8</v>
      </c>
      <c r="U36" s="1573">
        <f t="shared" si="11"/>
        <v>100</v>
      </c>
      <c r="V36" s="1572" t="s">
        <v>8</v>
      </c>
      <c r="W36" s="1573">
        <f t="shared" si="12"/>
        <v>100</v>
      </c>
      <c r="X36" s="1566"/>
      <c r="Y36" s="3421"/>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21"/>
      <c r="Q37" s="1571">
        <f t="shared" si="8"/>
        <v>111</v>
      </c>
      <c r="R37" s="1572" t="s">
        <v>8</v>
      </c>
      <c r="S37" s="1573">
        <f t="shared" si="10"/>
        <v>100</v>
      </c>
      <c r="T37" s="1572" t="s">
        <v>8</v>
      </c>
      <c r="U37" s="1573">
        <f t="shared" si="11"/>
        <v>100</v>
      </c>
      <c r="V37" s="1572" t="s">
        <v>8</v>
      </c>
      <c r="W37" s="1573">
        <f t="shared" si="12"/>
        <v>100</v>
      </c>
      <c r="X37" s="1566"/>
      <c r="Y37" s="3421"/>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22" t="s">
        <v>551</v>
      </c>
      <c r="Q38" s="1571">
        <f t="shared" si="8"/>
        <v>111</v>
      </c>
      <c r="R38" s="1572" t="s">
        <v>8</v>
      </c>
      <c r="S38" s="1573">
        <f t="shared" si="10"/>
        <v>100</v>
      </c>
      <c r="T38" s="1572" t="s">
        <v>8</v>
      </c>
      <c r="U38" s="1573">
        <f t="shared" si="11"/>
        <v>100</v>
      </c>
      <c r="V38" s="1572" t="s">
        <v>8</v>
      </c>
      <c r="W38" s="1573">
        <f t="shared" si="12"/>
        <v>100</v>
      </c>
      <c r="X38" s="1566"/>
      <c r="Y38" s="3423" t="s">
        <v>551</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23"/>
      <c r="Q39" s="1571">
        <f t="shared" si="8"/>
        <v>111</v>
      </c>
      <c r="R39" s="1576" t="s">
        <v>8</v>
      </c>
      <c r="S39" s="1577">
        <f t="shared" si="10"/>
        <v>100</v>
      </c>
      <c r="T39" s="1576" t="s">
        <v>8</v>
      </c>
      <c r="U39" s="1577">
        <f t="shared" si="11"/>
        <v>100</v>
      </c>
      <c r="V39" s="1576" t="s">
        <v>8</v>
      </c>
      <c r="W39" s="1577">
        <f t="shared" si="12"/>
        <v>100</v>
      </c>
      <c r="X39" s="1578"/>
      <c r="Y39" s="3423"/>
      <c r="Z39" s="1579">
        <f t="shared" si="13"/>
        <v>111</v>
      </c>
      <c r="AA39" s="1575">
        <f t="shared" si="3"/>
        <v>1</v>
      </c>
      <c r="AB39" s="1575">
        <f t="shared" si="4"/>
        <v>1</v>
      </c>
      <c r="AC39" s="1575">
        <f t="shared" si="5"/>
        <v>1</v>
      </c>
    </row>
    <row r="40" spans="1:29" ht="20.25">
      <c r="A40" s="2931" t="s">
        <v>2760</v>
      </c>
      <c r="B40" s="594" t="s">
        <v>553</v>
      </c>
      <c r="C40" s="595">
        <f>'数据-基础表'!A3</f>
        <v>87492</v>
      </c>
      <c r="D40" s="596">
        <v>100</v>
      </c>
      <c r="E40" s="595">
        <v>8569</v>
      </c>
      <c r="F40" s="596">
        <f>LOOKUP(E40,119:119,120:120)-LOOKUP(C40,119:119,120:120)+100</f>
        <v>98</v>
      </c>
      <c r="G40" s="595">
        <v>16397.5</v>
      </c>
      <c r="H40" s="596">
        <f>LOOKUP(G40,119:119,120:120)-LOOKUP(C40,119:119,120:120)+100</f>
        <v>98</v>
      </c>
      <c r="I40" s="597">
        <v>9434.16</v>
      </c>
      <c r="J40" s="596">
        <f>LOOKUP(I40,119:119,120:120)-LOOKUP(C40,119:119,120:120)+100</f>
        <v>98</v>
      </c>
      <c r="K40" s="580"/>
      <c r="L40" s="2140"/>
      <c r="M40" s="2130"/>
      <c r="N40" s="2130"/>
      <c r="O40" s="2139"/>
      <c r="P40" s="3423"/>
      <c r="Q40" s="1571" t="str">
        <f>B40</f>
        <v>宗地面积</v>
      </c>
      <c r="R40" s="1572" t="s">
        <v>8</v>
      </c>
      <c r="S40" s="1573">
        <f t="shared" si="10"/>
        <v>98</v>
      </c>
      <c r="T40" s="1572" t="s">
        <v>8</v>
      </c>
      <c r="U40" s="1573">
        <f t="shared" si="11"/>
        <v>98</v>
      </c>
      <c r="V40" s="1572" t="s">
        <v>8</v>
      </c>
      <c r="W40" s="1573">
        <f t="shared" si="12"/>
        <v>98</v>
      </c>
      <c r="X40" s="1566"/>
      <c r="Y40" s="3423"/>
      <c r="Z40" s="1574" t="str">
        <f t="shared" si="13"/>
        <v>宗地面积</v>
      </c>
      <c r="AA40" s="1575">
        <f t="shared" si="3"/>
        <v>1.0204081632653061</v>
      </c>
      <c r="AB40" s="1575">
        <f t="shared" si="4"/>
        <v>1.0204081632653061</v>
      </c>
      <c r="AC40" s="1575">
        <f t="shared" si="5"/>
        <v>1.0204081632653061</v>
      </c>
    </row>
    <row r="41" spans="1:29" ht="20.25">
      <c r="A41" s="593"/>
      <c r="B41" s="526" t="s">
        <v>554</v>
      </c>
      <c r="C41" s="598" t="s">
        <v>3165</v>
      </c>
      <c r="D41" s="539">
        <v>100</v>
      </c>
      <c r="E41" s="598" t="s">
        <v>3165</v>
      </c>
      <c r="F41" s="539">
        <f>SUMIF(121:121,E41,122:122)-SUMIF(121:121,C41,122:122)+100</f>
        <v>100</v>
      </c>
      <c r="G41" s="598" t="s">
        <v>3163</v>
      </c>
      <c r="H41" s="539">
        <f>SUMIF(121:121,G41,122:122)-SUMIF(121:121,C41,122:122)+100</f>
        <v>102</v>
      </c>
      <c r="I41" s="598" t="s">
        <v>3163</v>
      </c>
      <c r="J41" s="539">
        <f>SUMIF(121:121,I41,122:122)-SUMIF(121:121,C41,122:122)+100</f>
        <v>102</v>
      </c>
      <c r="K41" s="583">
        <v>2</v>
      </c>
      <c r="L41" s="2140"/>
      <c r="M41" s="2130"/>
      <c r="N41" s="2130"/>
      <c r="O41" s="2139"/>
      <c r="P41" s="3423"/>
      <c r="Q41" s="1571" t="str">
        <f t="shared" ref="Q41:Q47" si="14">B41</f>
        <v>宗地形状</v>
      </c>
      <c r="R41" s="1572" t="s">
        <v>8</v>
      </c>
      <c r="S41" s="1573">
        <f t="shared" si="10"/>
        <v>100</v>
      </c>
      <c r="T41" s="1572" t="s">
        <v>8</v>
      </c>
      <c r="U41" s="1573">
        <f t="shared" si="11"/>
        <v>102</v>
      </c>
      <c r="V41" s="1572" t="s">
        <v>8</v>
      </c>
      <c r="W41" s="1573">
        <f t="shared" si="12"/>
        <v>102</v>
      </c>
      <c r="X41" s="1566"/>
      <c r="Y41" s="3423"/>
      <c r="Z41" s="1574" t="str">
        <f t="shared" si="13"/>
        <v>宗地形状</v>
      </c>
      <c r="AA41" s="1575">
        <f t="shared" si="3"/>
        <v>1</v>
      </c>
      <c r="AB41" s="1575">
        <f t="shared" si="4"/>
        <v>0.98039215686274506</v>
      </c>
      <c r="AC41" s="1575">
        <f t="shared" si="5"/>
        <v>0.98039215686274506</v>
      </c>
    </row>
    <row r="42" spans="1:29" ht="20.25">
      <c r="A42" s="593"/>
      <c r="B42" s="526" t="s">
        <v>555</v>
      </c>
      <c r="C42" s="598" t="s">
        <v>3149</v>
      </c>
      <c r="D42" s="539">
        <v>100</v>
      </c>
      <c r="E42" s="598" t="s">
        <v>3149</v>
      </c>
      <c r="F42" s="539">
        <f>SUMIF(123:123,E42,124:124)-SUMIF(123:123,C42,124:124)+100</f>
        <v>100</v>
      </c>
      <c r="G42" s="598" t="s">
        <v>3149</v>
      </c>
      <c r="H42" s="539">
        <f>SUMIF(123:123,G42,124:124)-SUMIF(123:123,C42,124:124)+100</f>
        <v>100</v>
      </c>
      <c r="I42" s="598" t="s">
        <v>3149</v>
      </c>
      <c r="J42" s="539">
        <f>SUMIF(123:123,I42,124:124)-SUMIF(123:123,C42,124:124)+100</f>
        <v>100</v>
      </c>
      <c r="K42" s="583">
        <v>2</v>
      </c>
      <c r="L42" s="2140"/>
      <c r="M42" s="2130"/>
      <c r="N42" s="2130"/>
      <c r="O42" s="2139"/>
      <c r="P42" s="3423"/>
      <c r="Q42" s="1571" t="str">
        <f t="shared" si="14"/>
        <v>临街宽度及深度</v>
      </c>
      <c r="R42" s="1572" t="s">
        <v>8</v>
      </c>
      <c r="S42" s="1573">
        <f t="shared" si="10"/>
        <v>100</v>
      </c>
      <c r="T42" s="1572" t="s">
        <v>8</v>
      </c>
      <c r="U42" s="1573">
        <f t="shared" si="11"/>
        <v>100</v>
      </c>
      <c r="V42" s="1572" t="s">
        <v>8</v>
      </c>
      <c r="W42" s="1573">
        <f t="shared" si="12"/>
        <v>100</v>
      </c>
      <c r="X42" s="1566"/>
      <c r="Y42" s="3423"/>
      <c r="Z42" s="1574" t="str">
        <f t="shared" si="13"/>
        <v>临街宽度及深度</v>
      </c>
      <c r="AA42" s="1575">
        <f t="shared" si="3"/>
        <v>1</v>
      </c>
      <c r="AB42" s="1575">
        <f t="shared" si="4"/>
        <v>1</v>
      </c>
      <c r="AC42" s="1575">
        <f t="shared" si="5"/>
        <v>1</v>
      </c>
    </row>
    <row r="43" spans="1:29" s="1219" customFormat="1" ht="20.25">
      <c r="A43" s="599"/>
      <c r="B43" s="1893" t="s">
        <v>2425</v>
      </c>
      <c r="C43" s="600" t="s">
        <v>3177</v>
      </c>
      <c r="D43" s="254">
        <v>100</v>
      </c>
      <c r="E43" s="600" t="s">
        <v>3177</v>
      </c>
      <c r="F43" s="539">
        <f>SUMIF(125:125,E43,126:126)-SUMIF(125:125,C43,126:126)+100</f>
        <v>100</v>
      </c>
      <c r="G43" s="600" t="s">
        <v>3177</v>
      </c>
      <c r="H43" s="539">
        <f>SUMIF(125:125,G43,126:126)-SUMIF(125:125,C43,126:126)+100</f>
        <v>100</v>
      </c>
      <c r="I43" s="600" t="s">
        <v>3177</v>
      </c>
      <c r="J43" s="539">
        <f>SUMIF(125:125,I43,126:126)-SUMIF(125:125,C43,126:126)+100</f>
        <v>100</v>
      </c>
      <c r="K43" s="583">
        <v>1</v>
      </c>
      <c r="L43" s="2133"/>
      <c r="M43" s="2130"/>
      <c r="N43" s="2130"/>
      <c r="O43" s="2135"/>
      <c r="P43" s="3423"/>
      <c r="Q43" s="1571" t="str">
        <f t="shared" si="14"/>
        <v>宗地开发程度</v>
      </c>
      <c r="R43" s="1567" t="s">
        <v>8</v>
      </c>
      <c r="S43" s="1568">
        <f t="shared" si="10"/>
        <v>100</v>
      </c>
      <c r="T43" s="1567" t="s">
        <v>8</v>
      </c>
      <c r="U43" s="1568">
        <f t="shared" si="11"/>
        <v>100</v>
      </c>
      <c r="V43" s="1567" t="s">
        <v>8</v>
      </c>
      <c r="W43" s="1568">
        <f t="shared" si="12"/>
        <v>100</v>
      </c>
      <c r="X43" s="1569"/>
      <c r="Y43" s="3423"/>
      <c r="Z43" s="1149" t="str">
        <f t="shared" si="13"/>
        <v>宗地开发程度</v>
      </c>
      <c r="AA43" s="1570">
        <f t="shared" si="3"/>
        <v>1</v>
      </c>
      <c r="AB43" s="1570">
        <f t="shared" si="4"/>
        <v>1</v>
      </c>
      <c r="AC43" s="1570">
        <f t="shared" si="5"/>
        <v>1</v>
      </c>
    </row>
    <row r="44" spans="1:29" ht="21" thickBot="1">
      <c r="A44" s="593"/>
      <c r="B44" s="526" t="s">
        <v>556</v>
      </c>
      <c r="C44" s="598" t="s">
        <v>3149</v>
      </c>
      <c r="D44" s="539">
        <v>100</v>
      </c>
      <c r="E44" s="598" t="s">
        <v>3149</v>
      </c>
      <c r="F44" s="539">
        <f>SUMIF(127:127,E44,128:128)-SUMIF(127:127,C44,128:128)+100</f>
        <v>100</v>
      </c>
      <c r="G44" s="598" t="s">
        <v>3149</v>
      </c>
      <c r="H44" s="539">
        <f>SUMIF(127:127,G44,128:128)-SUMIF(127:127,C44,128:128)+100</f>
        <v>100</v>
      </c>
      <c r="I44" s="598" t="s">
        <v>3149</v>
      </c>
      <c r="J44" s="539">
        <f>SUMIF(127:127,I44,128:128)-SUMIF(127:127,C44,128:128)+100</f>
        <v>100</v>
      </c>
      <c r="K44" s="583">
        <v>2</v>
      </c>
      <c r="L44" s="2140"/>
      <c r="M44" s="2130"/>
      <c r="N44" s="2130"/>
      <c r="O44" s="2139"/>
      <c r="P44" s="3423" t="s">
        <v>551</v>
      </c>
      <c r="Q44" s="1571" t="str">
        <f t="shared" si="14"/>
        <v>工程地质条件</v>
      </c>
      <c r="R44" s="1572" t="s">
        <v>8</v>
      </c>
      <c r="S44" s="1573">
        <f t="shared" si="10"/>
        <v>100</v>
      </c>
      <c r="T44" s="1572" t="s">
        <v>8</v>
      </c>
      <c r="U44" s="1573">
        <f t="shared" si="11"/>
        <v>100</v>
      </c>
      <c r="V44" s="1572" t="s">
        <v>8</v>
      </c>
      <c r="W44" s="1573">
        <f t="shared" si="12"/>
        <v>100</v>
      </c>
      <c r="X44" s="1566"/>
      <c r="Y44" s="3423" t="s">
        <v>551</v>
      </c>
      <c r="Z44" s="1574" t="str">
        <f t="shared" si="13"/>
        <v>工程地质条件</v>
      </c>
      <c r="AA44" s="1575">
        <f t="shared" si="3"/>
        <v>1</v>
      </c>
      <c r="AB44" s="1575">
        <f t="shared" si="4"/>
        <v>1</v>
      </c>
      <c r="AC44" s="1575">
        <f t="shared" si="5"/>
        <v>1</v>
      </c>
    </row>
    <row r="45" spans="1:29" ht="21" hidden="1" thickBot="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23"/>
      <c r="Q45" s="1571">
        <f t="shared" si="14"/>
        <v>111</v>
      </c>
      <c r="R45" s="1572" t="s">
        <v>8</v>
      </c>
      <c r="S45" s="1573">
        <f t="shared" si="10"/>
        <v>100</v>
      </c>
      <c r="T45" s="1572" t="s">
        <v>8</v>
      </c>
      <c r="U45" s="1573">
        <f t="shared" si="11"/>
        <v>100</v>
      </c>
      <c r="V45" s="1572" t="s">
        <v>8</v>
      </c>
      <c r="W45" s="1573">
        <f t="shared" si="12"/>
        <v>100</v>
      </c>
      <c r="X45" s="1566"/>
      <c r="Y45" s="3423"/>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23"/>
      <c r="Q46" s="1571">
        <f t="shared" si="14"/>
        <v>111</v>
      </c>
      <c r="R46" s="1572" t="s">
        <v>8</v>
      </c>
      <c r="S46" s="1573">
        <f t="shared" si="10"/>
        <v>100</v>
      </c>
      <c r="T46" s="1572" t="s">
        <v>8</v>
      </c>
      <c r="U46" s="1573">
        <f t="shared" si="11"/>
        <v>100</v>
      </c>
      <c r="V46" s="1572" t="s">
        <v>8</v>
      </c>
      <c r="W46" s="1573">
        <f t="shared" si="12"/>
        <v>100</v>
      </c>
      <c r="X46" s="1566"/>
      <c r="Y46" s="3423"/>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23"/>
      <c r="Q47" s="1571">
        <f t="shared" si="14"/>
        <v>111</v>
      </c>
      <c r="R47" s="1576" t="s">
        <v>8</v>
      </c>
      <c r="S47" s="1577">
        <f t="shared" si="10"/>
        <v>100</v>
      </c>
      <c r="T47" s="1576" t="s">
        <v>8</v>
      </c>
      <c r="U47" s="1577">
        <f t="shared" si="11"/>
        <v>100</v>
      </c>
      <c r="V47" s="1576" t="s">
        <v>8</v>
      </c>
      <c r="W47" s="1577">
        <f t="shared" si="12"/>
        <v>100</v>
      </c>
      <c r="X47" s="1578"/>
      <c r="Y47" s="3423"/>
      <c r="Z47" s="1579">
        <f t="shared" si="13"/>
        <v>111</v>
      </c>
      <c r="AA47" s="1575">
        <f t="shared" si="3"/>
        <v>1</v>
      </c>
      <c r="AB47" s="1575">
        <f t="shared" si="4"/>
        <v>1</v>
      </c>
      <c r="AC47" s="1575">
        <f t="shared" si="5"/>
        <v>1</v>
      </c>
    </row>
    <row r="48" spans="1:29" ht="20.25">
      <c r="A48" s="606" t="s">
        <v>557</v>
      </c>
      <c r="B48" s="607" t="s">
        <v>3179</v>
      </c>
      <c r="C48" s="608" t="s">
        <v>1</v>
      </c>
      <c r="D48" s="609"/>
      <c r="E48" s="610">
        <v>2028</v>
      </c>
      <c r="F48" s="611"/>
      <c r="G48" s="612">
        <v>2420</v>
      </c>
      <c r="H48" s="613"/>
      <c r="I48" s="610">
        <v>2360</v>
      </c>
      <c r="J48" s="613"/>
      <c r="K48" s="1339"/>
      <c r="L48" s="2142"/>
      <c r="M48" s="2130"/>
      <c r="N48" s="2130"/>
      <c r="O48" s="2143"/>
      <c r="P48" s="3418" t="str">
        <f>A48</f>
        <v>成交单价</v>
      </c>
      <c r="Q48" s="3418"/>
      <c r="R48" s="3432">
        <f>E48</f>
        <v>2028</v>
      </c>
      <c r="S48" s="3432"/>
      <c r="T48" s="3432">
        <f>G48</f>
        <v>2420</v>
      </c>
      <c r="U48" s="3432"/>
      <c r="V48" s="3432">
        <f>I48</f>
        <v>2360</v>
      </c>
      <c r="W48" s="3432"/>
      <c r="X48" s="1558"/>
      <c r="Y48" s="1580"/>
      <c r="Z48" s="1558"/>
      <c r="AA48" s="1558"/>
      <c r="AB48" s="1558"/>
      <c r="AC48" s="1558"/>
    </row>
    <row r="49" spans="1:29" ht="21" thickBot="1">
      <c r="A49" s="614" t="s">
        <v>2698</v>
      </c>
      <c r="B49" s="615"/>
      <c r="C49" s="616">
        <f>R50</f>
        <v>2203</v>
      </c>
      <c r="D49" s="617"/>
      <c r="E49" s="616">
        <f>R49</f>
        <v>2117</v>
      </c>
      <c r="F49" s="618"/>
      <c r="G49" s="619">
        <f>T49</f>
        <v>2274</v>
      </c>
      <c r="H49" s="617"/>
      <c r="I49" s="616">
        <f>V49</f>
        <v>2217</v>
      </c>
      <c r="J49" s="617"/>
      <c r="K49" s="1340"/>
      <c r="L49" s="2142"/>
      <c r="M49" s="2130"/>
      <c r="N49" s="2130"/>
      <c r="O49" s="2143"/>
      <c r="P49" s="3418" t="str">
        <f>A49</f>
        <v>比较价格（元/平方米）</v>
      </c>
      <c r="Q49" s="3418"/>
      <c r="R49" s="3444">
        <f>ROUND(PRODUCT(R48,AA9:AA47),0)</f>
        <v>2117</v>
      </c>
      <c r="S49" s="3444"/>
      <c r="T49" s="3444">
        <f>ROUND(PRODUCT(T48,AB9:AB47),0)</f>
        <v>2274</v>
      </c>
      <c r="U49" s="3444"/>
      <c r="V49" s="3444">
        <f>ROUND(PRODUCT(V48,AC9:AC47),0)</f>
        <v>2217</v>
      </c>
      <c r="W49" s="3444"/>
      <c r="X49" s="1558"/>
      <c r="Y49" s="1558"/>
      <c r="Z49" s="1558"/>
      <c r="AA49" s="1558"/>
      <c r="AB49" s="1558"/>
      <c r="AC49" s="1558"/>
    </row>
    <row r="50" spans="1:29" ht="21" thickBot="1">
      <c r="A50" s="620" t="s">
        <v>2938</v>
      </c>
      <c r="B50" s="621"/>
      <c r="C50" s="622">
        <f>R50</f>
        <v>2203</v>
      </c>
      <c r="D50" s="622"/>
      <c r="E50" s="622"/>
      <c r="F50" s="622"/>
      <c r="G50" s="622"/>
      <c r="H50" s="622"/>
      <c r="I50" s="622"/>
      <c r="J50" s="622"/>
      <c r="K50" s="1341"/>
      <c r="L50" s="2142"/>
      <c r="M50" s="2130"/>
      <c r="N50" s="2130"/>
      <c r="O50" s="2143"/>
      <c r="P50" s="3441" t="str">
        <f>A50</f>
        <v>估价对象XX用房的比较价格（楼面单价，元/平方米）</v>
      </c>
      <c r="Q50" s="3442"/>
      <c r="R50" s="3443">
        <f>ROUND(AVERAGE(R49:V49),0)</f>
        <v>2203</v>
      </c>
      <c r="S50" s="3443"/>
      <c r="T50" s="3443"/>
      <c r="U50" s="3443"/>
      <c r="V50" s="3443"/>
      <c r="W50" s="3443"/>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3" t="s">
        <v>558</v>
      </c>
      <c r="D53" s="624"/>
      <c r="E53" s="625">
        <f>IF(E48&lt;E49,E49/E48-1,E48/E49-1)</f>
        <v>4.3885601577909217E-2</v>
      </c>
      <c r="F53" s="626" t="str">
        <f>IF(OR(E53&gt;=0.3,E53&lt;=-0.3),"超过30%","")</f>
        <v/>
      </c>
      <c r="G53" s="625">
        <f>IF(G48&lt;G49,G49/G48-1,G48/G49-1)</f>
        <v>6.4204045734388648E-2</v>
      </c>
      <c r="H53" s="626" t="str">
        <f>IF(OR(G53&gt;=0.3,G53&lt;=-0.3),"超过30%","")</f>
        <v/>
      </c>
      <c r="I53" s="625">
        <f>IF(I48&lt;I49,I49/I48-1,I48/I49-1)</f>
        <v>6.4501578709968532E-2</v>
      </c>
      <c r="J53" s="626"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3" t="s">
        <v>559</v>
      </c>
      <c r="D54" s="627"/>
      <c r="E54" s="625">
        <f>IF(E49&lt;G49,G49/E49-1,E49/G49-1)</f>
        <v>7.4161549362305124E-2</v>
      </c>
      <c r="F54" s="626" t="str">
        <f>IF(OR(E54&gt;=0.2,E54&lt;=-0.2),"超过20%","")</f>
        <v/>
      </c>
      <c r="G54" s="625">
        <f>IF(G49&lt;I49,I49/G49-1,G49/I49-1)</f>
        <v>2.5710419485791558E-2</v>
      </c>
      <c r="H54" s="626" t="str">
        <f>IF(OR(G54&gt;=0.2,G54&lt;=-0.2),"超过20%","")</f>
        <v/>
      </c>
      <c r="I54" s="625">
        <f>IF(I49&lt;E49,E49/I49-1,I49/E49-1)</f>
        <v>4.7236655644780301E-2</v>
      </c>
      <c r="J54" s="626"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4" customFormat="1" ht="13.5" customHeight="1">
      <c r="A55" s="2144"/>
      <c r="B55" s="2144"/>
      <c r="C55" s="623" t="s">
        <v>560</v>
      </c>
      <c r="D55" s="627"/>
      <c r="E55" s="625">
        <f>IF(E48&lt;G48,G48/E48-1,E48/G48-1)</f>
        <v>0.19329388560157801</v>
      </c>
      <c r="F55" s="626" t="str">
        <f>IF(OR(E55&gt;=0.3,E55&lt;=-0.3),"超过30%","")</f>
        <v/>
      </c>
      <c r="G55" s="625">
        <f>IF(G48&lt;I48,I48/G48-1,G48/I48-1)</f>
        <v>2.5423728813559254E-2</v>
      </c>
      <c r="H55" s="626" t="str">
        <f>IF(OR(G55&gt;=0.3,G55&lt;=-0.3),"超过30%","")</f>
        <v/>
      </c>
      <c r="I55" s="625">
        <f>IF(I48&lt;E48,E48/I48-1,I48/E48-1)</f>
        <v>0.16370808678500981</v>
      </c>
      <c r="J55" s="626"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8" t="s">
        <v>561</v>
      </c>
      <c r="B57" s="629" t="s">
        <v>562</v>
      </c>
      <c r="C57" s="1559" t="s">
        <v>1726</v>
      </c>
      <c r="D57" s="2225" t="s">
        <v>2295</v>
      </c>
      <c r="E57" s="630" t="s">
        <v>563</v>
      </c>
      <c r="F57" s="631" t="s">
        <v>564</v>
      </c>
      <c r="G57" s="3402" t="s">
        <v>2283</v>
      </c>
      <c r="H57" s="3403"/>
      <c r="I57" s="1554" t="s">
        <v>1724</v>
      </c>
      <c r="J57" s="1554" t="str">
        <f>项目基本情况!F41</f>
        <v>四川省峨眉山市</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565</v>
      </c>
      <c r="B58" s="633">
        <f>C50</f>
        <v>2203</v>
      </c>
      <c r="C58" s="634">
        <v>1</v>
      </c>
      <c r="D58" s="2226">
        <v>1</v>
      </c>
      <c r="E58" s="634">
        <f>'数据-汇总表'!E8+'数据-汇总表'!E9</f>
        <v>104990.39999999999</v>
      </c>
      <c r="F58" s="635">
        <f t="shared" ref="F58:F67" si="15">ROUND(B58*E58/10000,0)</f>
        <v>23129</v>
      </c>
      <c r="G58" s="3404"/>
      <c r="H58" s="3405"/>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566</v>
      </c>
      <c r="B59" s="637">
        <f>ROUND($C$50*C59*D59,0)</f>
        <v>0</v>
      </c>
      <c r="C59" s="377">
        <f t="shared" ref="C59:C67" si="16">IF($C$57="北京市系数",I59,J59)</f>
        <v>0</v>
      </c>
      <c r="D59" s="2227">
        <v>0.25</v>
      </c>
      <c r="E59" s="638">
        <v>0</v>
      </c>
      <c r="F59" s="635">
        <f t="shared" si="15"/>
        <v>0</v>
      </c>
      <c r="G59" s="3406" t="s">
        <v>2284</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567</v>
      </c>
      <c r="B60" s="637">
        <f t="shared" ref="B60:B67" si="17">ROUND($C$50*C60*D60,0)</f>
        <v>0</v>
      </c>
      <c r="C60" s="377">
        <f t="shared" si="16"/>
        <v>0</v>
      </c>
      <c r="D60" s="2227">
        <v>0.25</v>
      </c>
      <c r="E60" s="638">
        <v>0</v>
      </c>
      <c r="F60" s="635">
        <f t="shared" si="15"/>
        <v>0</v>
      </c>
      <c r="G60" s="3406"/>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568</v>
      </c>
      <c r="B61" s="637">
        <f t="shared" si="17"/>
        <v>0</v>
      </c>
      <c r="C61" s="377">
        <f t="shared" si="16"/>
        <v>0</v>
      </c>
      <c r="D61" s="2227">
        <v>0.25</v>
      </c>
      <c r="E61" s="638">
        <v>0</v>
      </c>
      <c r="F61" s="635">
        <f t="shared" si="15"/>
        <v>0</v>
      </c>
      <c r="G61" s="3406"/>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569</v>
      </c>
      <c r="B62" s="637">
        <f t="shared" si="17"/>
        <v>0</v>
      </c>
      <c r="C62" s="377">
        <f t="shared" si="16"/>
        <v>0</v>
      </c>
      <c r="D62" s="2227">
        <v>0.25</v>
      </c>
      <c r="E62" s="638">
        <v>0</v>
      </c>
      <c r="F62" s="635">
        <f t="shared" si="15"/>
        <v>0</v>
      </c>
      <c r="G62" s="3406"/>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2329</v>
      </c>
      <c r="B63" s="637">
        <f t="shared" si="17"/>
        <v>0</v>
      </c>
      <c r="C63" s="377">
        <f t="shared" si="16"/>
        <v>0</v>
      </c>
      <c r="D63" s="2227">
        <v>0.25</v>
      </c>
      <c r="E63" s="640">
        <f>'数据-汇总表'!E11</f>
        <v>0</v>
      </c>
      <c r="F63" s="635">
        <f t="shared" si="15"/>
        <v>0</v>
      </c>
      <c r="G63" s="1943" t="s">
        <v>2285</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570</v>
      </c>
      <c r="B64" s="637">
        <f t="shared" si="17"/>
        <v>0</v>
      </c>
      <c r="C64" s="377">
        <f t="shared" si="16"/>
        <v>0</v>
      </c>
      <c r="D64" s="2227">
        <v>0.25</v>
      </c>
      <c r="E64" s="640">
        <f>'数据-汇总表'!E12</f>
        <v>0</v>
      </c>
      <c r="F64" s="635">
        <f t="shared" si="15"/>
        <v>0</v>
      </c>
      <c r="G64" s="1944" t="s">
        <v>1679</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571</v>
      </c>
      <c r="B65" s="637">
        <f t="shared" si="17"/>
        <v>0</v>
      </c>
      <c r="C65" s="377">
        <f t="shared" si="16"/>
        <v>0</v>
      </c>
      <c r="D65" s="2227">
        <v>0.25</v>
      </c>
      <c r="E65" s="640">
        <f>'数据-汇总表'!E13</f>
        <v>0</v>
      </c>
      <c r="F65" s="635">
        <f t="shared" si="15"/>
        <v>0</v>
      </c>
      <c r="G65" s="1944" t="s">
        <v>924</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572</v>
      </c>
      <c r="B66" s="637">
        <f t="shared" si="17"/>
        <v>0</v>
      </c>
      <c r="C66" s="377">
        <f t="shared" si="16"/>
        <v>0</v>
      </c>
      <c r="D66" s="2227">
        <v>0.25</v>
      </c>
      <c r="E66" s="640">
        <f>'数据-汇总表'!E14</f>
        <v>0</v>
      </c>
      <c r="F66" s="635">
        <f t="shared" si="15"/>
        <v>0</v>
      </c>
      <c r="G66" s="1943" t="s">
        <v>2284</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573</v>
      </c>
      <c r="B67" s="637">
        <f t="shared" si="17"/>
        <v>0</v>
      </c>
      <c r="C67" s="377">
        <f t="shared" si="16"/>
        <v>0</v>
      </c>
      <c r="D67" s="2227">
        <v>0.25</v>
      </c>
      <c r="E67" s="640">
        <f>'数据-汇总表'!E15</f>
        <v>0</v>
      </c>
      <c r="F67" s="635">
        <f t="shared" si="15"/>
        <v>0</v>
      </c>
      <c r="G67" s="1945" t="s">
        <v>2285</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574</v>
      </c>
      <c r="B68" s="642" t="s">
        <v>17</v>
      </c>
      <c r="C68" s="642" t="s">
        <v>18</v>
      </c>
      <c r="D68" s="642" t="s">
        <v>2296</v>
      </c>
      <c r="E68" s="642">
        <f>IF(B48="楼面地价",SUM(E58:E67),'数据-汇总表'!D3)</f>
        <v>87492</v>
      </c>
      <c r="F68" s="643">
        <f>IF(B48="楼面地价",SUM(F58:F67),ROUND(C50*E68/10000,0))</f>
        <v>19274</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3" t="str">
        <f>YEAR(C9)&amp;"-"&amp;MONTH(C9)&amp;"-1"</f>
        <v>2018-1-1</v>
      </c>
      <c r="D70" s="2823">
        <f>EDATE(C70,-3)</f>
        <v>43009</v>
      </c>
      <c r="E70" s="2823">
        <f t="shared" ref="E70:N70" si="18">EDATE(D70,-3)</f>
        <v>42917</v>
      </c>
      <c r="F70" s="2823">
        <f t="shared" si="18"/>
        <v>42826</v>
      </c>
      <c r="G70" s="2823">
        <f t="shared" si="18"/>
        <v>42736</v>
      </c>
      <c r="H70" s="2823">
        <f t="shared" si="18"/>
        <v>42644</v>
      </c>
      <c r="I70" s="2823">
        <f t="shared" si="18"/>
        <v>42552</v>
      </c>
      <c r="J70" s="2823">
        <f t="shared" si="18"/>
        <v>42461</v>
      </c>
      <c r="K70" s="2823">
        <f t="shared" si="18"/>
        <v>42370</v>
      </c>
      <c r="L70" s="2823">
        <f t="shared" si="18"/>
        <v>42278</v>
      </c>
      <c r="M70" s="2823">
        <f t="shared" si="18"/>
        <v>42186</v>
      </c>
      <c r="N70" s="2823">
        <f t="shared" si="18"/>
        <v>42095</v>
      </c>
      <c r="O70" s="2143"/>
      <c r="P70" s="2143"/>
      <c r="Q70" s="2143"/>
      <c r="R70" s="2143"/>
      <c r="S70" s="2143"/>
      <c r="T70" s="2143"/>
      <c r="U70" s="2143"/>
      <c r="V70" s="2143"/>
      <c r="W70" s="2143"/>
      <c r="X70" s="2143"/>
      <c r="Y70" s="2143"/>
      <c r="Z70" s="2143"/>
      <c r="AA70" s="2143"/>
      <c r="AB70" s="2143"/>
      <c r="AC70" s="2143"/>
    </row>
    <row r="71" spans="1:29" ht="21.75" thickBot="1">
      <c r="A71" s="1583" t="s">
        <v>575</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6" customFormat="1" ht="15">
      <c r="A72" s="2590" t="s">
        <v>2535</v>
      </c>
      <c r="B72" s="2591"/>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7"/>
      <c r="P72" s="2158"/>
      <c r="Q72" s="2159"/>
      <c r="R72" s="2159"/>
      <c r="S72" s="2159"/>
      <c r="T72" s="2159"/>
      <c r="U72" s="2159"/>
      <c r="V72" s="2159"/>
      <c r="W72" s="2159"/>
      <c r="X72" s="2159"/>
      <c r="Y72" s="2159"/>
      <c r="Z72" s="2159"/>
      <c r="AA72" s="2159"/>
      <c r="AB72" s="2159"/>
      <c r="AC72" s="2159"/>
    </row>
    <row r="73" spans="1:29" s="1219" customFormat="1" ht="27" customHeight="1">
      <c r="A73" s="2830" t="s">
        <v>2652</v>
      </c>
      <c r="B73" s="478" t="str">
        <f>"北京市平均增长率"&amp;TEXT(SUMIF(基准地价!N21:N25,A73,基准地价!P21:P25),"0.00%")</f>
        <v>北京市平均增长率0.00%</v>
      </c>
      <c r="C73" s="893">
        <v>100</v>
      </c>
      <c r="D73" s="729">
        <v>99.5</v>
      </c>
      <c r="E73" s="729">
        <v>99</v>
      </c>
      <c r="F73" s="729">
        <v>98.5</v>
      </c>
      <c r="G73" s="729">
        <v>98</v>
      </c>
      <c r="H73" s="729"/>
      <c r="I73" s="729"/>
      <c r="J73" s="729"/>
      <c r="K73" s="729"/>
      <c r="L73" s="729"/>
      <c r="M73" s="2816"/>
      <c r="N73" s="2817"/>
      <c r="O73" s="2160"/>
      <c r="P73" s="2156"/>
      <c r="Q73" s="1991"/>
      <c r="R73" s="1991"/>
      <c r="S73" s="1991"/>
      <c r="T73" s="1991"/>
      <c r="U73" s="1991"/>
      <c r="V73" s="1991"/>
      <c r="W73" s="1991"/>
      <c r="X73" s="1991"/>
      <c r="Y73" s="1991"/>
      <c r="Z73" s="1991"/>
      <c r="AA73" s="1991"/>
      <c r="AB73" s="1991"/>
      <c r="AC73" s="1991"/>
    </row>
    <row r="74" spans="1:29" s="1219" customFormat="1" ht="15" customHeight="1" thickBot="1">
      <c r="A74" s="2820" t="s">
        <v>2651</v>
      </c>
      <c r="B74" s="2829"/>
      <c r="C74" s="2814"/>
      <c r="D74" s="2815"/>
      <c r="E74" s="2815"/>
      <c r="F74" s="2815"/>
      <c r="G74" s="2815"/>
      <c r="H74" s="2815"/>
      <c r="I74" s="2815"/>
      <c r="J74" s="2815"/>
      <c r="K74" s="2815"/>
      <c r="L74" s="2815"/>
      <c r="M74" s="2815"/>
      <c r="N74" s="2815"/>
      <c r="O74" s="2160"/>
      <c r="P74" s="2156"/>
      <c r="Q74" s="2156"/>
      <c r="R74" s="1991"/>
      <c r="S74" s="1991"/>
      <c r="T74" s="1991"/>
      <c r="U74" s="1991"/>
      <c r="V74" s="1991"/>
      <c r="W74" s="1991"/>
      <c r="X74" s="1991"/>
      <c r="Y74" s="1991"/>
      <c r="Z74" s="1991"/>
      <c r="AA74" s="1991"/>
      <c r="AB74" s="1991"/>
      <c r="AC74" s="1991"/>
    </row>
    <row r="75" spans="1:29" s="1219" customFormat="1" ht="15">
      <c r="A75" s="658" t="s">
        <v>532</v>
      </c>
      <c r="B75" s="647"/>
      <c r="C75" s="659" t="s">
        <v>577</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27">
      <c r="A77" s="663" t="s">
        <v>578</v>
      </c>
      <c r="B77" s="664" t="s">
        <v>535</v>
      </c>
      <c r="C77" s="3203" t="s">
        <v>3142</v>
      </c>
      <c r="D77" s="3203" t="s">
        <v>3147</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100</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538</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539</v>
      </c>
      <c r="C81" s="681" t="str">
        <f>C82&amp;"（含）"&amp;"-"&amp;D82</f>
        <v>0（含）-1.5</v>
      </c>
      <c r="D81" s="681" t="str">
        <f t="shared" ref="D81:L81" si="20">D82&amp;"（含）"&amp;"-"&amp;E82</f>
        <v>1.5（含）-3</v>
      </c>
      <c r="E81" s="681" t="str">
        <f t="shared" si="20"/>
        <v>3（含）-4.5</v>
      </c>
      <c r="F81" s="681" t="str">
        <f t="shared" si="20"/>
        <v>4.5（含）-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1.5</v>
      </c>
      <c r="E82" s="540">
        <v>3</v>
      </c>
      <c r="F82" s="540">
        <v>4.5</v>
      </c>
      <c r="G82" s="540"/>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64"/>
      <c r="O83" s="2164"/>
      <c r="P83" s="2163"/>
      <c r="Q83" s="2156"/>
      <c r="R83" s="2143"/>
      <c r="S83" s="2143"/>
      <c r="T83" s="2143"/>
      <c r="U83" s="2143"/>
      <c r="V83" s="2143"/>
      <c r="W83" s="2143"/>
      <c r="X83" s="2143"/>
      <c r="Y83" s="2143"/>
      <c r="Z83" s="2143"/>
      <c r="AA83" s="2143"/>
      <c r="AB83" s="2143"/>
      <c r="AC83" s="2143"/>
    </row>
    <row r="84" spans="1:29" s="1338" customFormat="1" ht="15.75" hidden="1" thickTop="1">
      <c r="A84" s="686"/>
      <c r="B84" s="672" t="str">
        <f>B14</f>
        <v>配建</v>
      </c>
      <c r="C84" s="687"/>
      <c r="D84" s="1374"/>
      <c r="E84" s="1375"/>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hidden="1"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t="str">
        <f>B15</f>
        <v>商业建筑面积配比</v>
      </c>
      <c r="C86" s="687" t="s">
        <v>3219</v>
      </c>
      <c r="D86" s="687" t="s">
        <v>3220</v>
      </c>
      <c r="E86" s="687" t="s">
        <v>3221</v>
      </c>
      <c r="F86" s="687" t="s">
        <v>3222</v>
      </c>
      <c r="G86" s="687" t="s">
        <v>3223</v>
      </c>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v>100</v>
      </c>
      <c r="D87" s="691">
        <v>102</v>
      </c>
      <c r="E87" s="691">
        <v>104</v>
      </c>
      <c r="F87" s="691">
        <v>106</v>
      </c>
      <c r="G87" s="691">
        <v>108</v>
      </c>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hidden="1"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hidden="1"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ht="15" thickTop="1">
      <c r="A90" s="663" t="s">
        <v>540</v>
      </c>
      <c r="B90" s="664" t="s">
        <v>579</v>
      </c>
      <c r="C90" s="702" t="s">
        <v>580</v>
      </c>
      <c r="D90" s="702" t="s">
        <v>581</v>
      </c>
      <c r="E90" s="702" t="s">
        <v>582</v>
      </c>
      <c r="F90" s="702" t="s">
        <v>583</v>
      </c>
      <c r="G90" s="702" t="s">
        <v>584</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98</v>
      </c>
      <c r="E91" s="678">
        <f>D91-$K17</f>
        <v>96</v>
      </c>
      <c r="F91" s="678">
        <f>E91-$K17</f>
        <v>94</v>
      </c>
      <c r="G91" s="678">
        <f>F91-$K17</f>
        <v>92</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585</v>
      </c>
      <c r="C92" s="707" t="s">
        <v>580</v>
      </c>
      <c r="D92" s="707" t="s">
        <v>581</v>
      </c>
      <c r="E92" s="707" t="s">
        <v>582</v>
      </c>
      <c r="F92" s="707" t="s">
        <v>583</v>
      </c>
      <c r="G92" s="707" t="s">
        <v>584</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98</v>
      </c>
      <c r="E93" s="678">
        <f>D93-$K19</f>
        <v>96</v>
      </c>
      <c r="F93" s="678">
        <f>E93-$K19</f>
        <v>94</v>
      </c>
      <c r="G93" s="678">
        <f>F93-$K19</f>
        <v>92</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586</v>
      </c>
      <c r="C94" s="707" t="s">
        <v>580</v>
      </c>
      <c r="D94" s="707" t="s">
        <v>581</v>
      </c>
      <c r="E94" s="707" t="s">
        <v>582</v>
      </c>
      <c r="F94" s="707" t="s">
        <v>583</v>
      </c>
      <c r="G94" s="707" t="s">
        <v>584</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587</v>
      </c>
      <c r="C96" s="707" t="s">
        <v>580</v>
      </c>
      <c r="D96" s="707" t="s">
        <v>581</v>
      </c>
      <c r="E96" s="707" t="s">
        <v>582</v>
      </c>
      <c r="F96" s="707" t="s">
        <v>583</v>
      </c>
      <c r="G96" s="707" t="s">
        <v>584</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100</v>
      </c>
      <c r="E99" s="678">
        <f>D99-$K25</f>
        <v>100</v>
      </c>
      <c r="F99" s="678">
        <f>E99-$K25</f>
        <v>100</v>
      </c>
      <c r="G99" s="678">
        <f>F99-$K25</f>
        <v>100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2551</v>
      </c>
      <c r="C102" s="702" t="s">
        <v>580</v>
      </c>
      <c r="D102" s="702" t="s">
        <v>581</v>
      </c>
      <c r="E102" s="702" t="s">
        <v>582</v>
      </c>
      <c r="F102" s="702" t="s">
        <v>583</v>
      </c>
      <c r="G102" s="702" t="s">
        <v>584</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619" t="s">
        <v>2553</v>
      </c>
      <c r="C104" s="2620" t="s">
        <v>2554</v>
      </c>
      <c r="D104" s="2620" t="s">
        <v>2555</v>
      </c>
      <c r="E104" s="2620" t="s">
        <v>2556</v>
      </c>
      <c r="F104" s="2620" t="s">
        <v>2557</v>
      </c>
      <c r="G104" s="2620" t="s">
        <v>2558</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5"/>
      <c r="O105" s="2165"/>
      <c r="P105" s="2166"/>
      <c r="Q105" s="2167"/>
      <c r="R105" s="2168"/>
      <c r="S105" s="2168"/>
      <c r="T105" s="2168"/>
      <c r="U105" s="2168"/>
      <c r="V105" s="2168"/>
      <c r="W105" s="2168"/>
      <c r="X105" s="2168"/>
      <c r="Y105" s="2168"/>
      <c r="Z105" s="2168"/>
      <c r="AA105" s="2168"/>
      <c r="AB105" s="2168"/>
      <c r="AC105" s="2168"/>
    </row>
    <row r="106" spans="1:29" ht="15.75" hidden="1" thickTop="1">
      <c r="A106" s="668"/>
      <c r="B106" s="672" t="str">
        <f>B33</f>
        <v>临街状况</v>
      </c>
      <c r="C106" s="673" t="s">
        <v>590</v>
      </c>
      <c r="D106" s="673" t="s">
        <v>591</v>
      </c>
      <c r="E106" s="673" t="s">
        <v>592</v>
      </c>
      <c r="F106" s="673" t="s">
        <v>593</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hidden="1"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549</v>
      </c>
      <c r="C108" s="3204" t="s">
        <v>3154</v>
      </c>
      <c r="D108" s="3204" t="s">
        <v>3155</v>
      </c>
      <c r="E108" s="3204" t="s">
        <v>3157</v>
      </c>
      <c r="F108" s="3204" t="s">
        <v>3158</v>
      </c>
      <c r="G108" s="3204" t="s">
        <v>3159</v>
      </c>
      <c r="H108" s="3205" t="s">
        <v>3161</v>
      </c>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8"/>
      <c r="B110" s="672" t="s">
        <v>550</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hidden="1"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hidden="1"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9.25" thickTop="1">
      <c r="A118" s="663" t="s">
        <v>552</v>
      </c>
      <c r="B118" s="664" t="s">
        <v>594</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117" t="str">
        <f t="shared" si="25"/>
        <v>(含)-</v>
      </c>
      <c r="K118" s="3117" t="str">
        <f t="shared" si="25"/>
        <v>(含)-</v>
      </c>
      <c r="L118" s="3118" t="str">
        <f t="shared" si="25"/>
        <v>(含)-</v>
      </c>
      <c r="M118" s="3119"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30000</v>
      </c>
      <c r="E119" s="729">
        <v>60000</v>
      </c>
      <c r="F119" s="729">
        <v>90000</v>
      </c>
      <c r="G119" s="729">
        <v>120000</v>
      </c>
      <c r="H119" s="729">
        <v>150000</v>
      </c>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v>103</v>
      </c>
      <c r="G120" s="725">
        <v>104</v>
      </c>
      <c r="H120" s="725">
        <v>105</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595</v>
      </c>
      <c r="C121" s="3205" t="s">
        <v>3162</v>
      </c>
      <c r="D121" s="3205" t="s">
        <v>3164</v>
      </c>
      <c r="E121" s="3205" t="s">
        <v>3166</v>
      </c>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596</v>
      </c>
      <c r="C123" s="3204" t="s">
        <v>3167</v>
      </c>
      <c r="D123" s="3204" t="s">
        <v>3168</v>
      </c>
      <c r="E123" s="3204" t="s">
        <v>3169</v>
      </c>
      <c r="F123" s="3205" t="s">
        <v>3170</v>
      </c>
      <c r="G123" s="3205" t="s">
        <v>3171</v>
      </c>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2426</v>
      </c>
      <c r="C125" s="1374" t="s">
        <v>3172</v>
      </c>
      <c r="D125" s="1374" t="s">
        <v>3174</v>
      </c>
      <c r="E125" s="1374" t="s">
        <v>3175</v>
      </c>
      <c r="F125" s="1374" t="s">
        <v>3176</v>
      </c>
      <c r="G125" s="1374" t="s">
        <v>3178</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597</v>
      </c>
      <c r="C127" s="3204" t="s">
        <v>3167</v>
      </c>
      <c r="D127" s="3204" t="s">
        <v>3168</v>
      </c>
      <c r="E127" s="3205" t="s">
        <v>3169</v>
      </c>
      <c r="F127" s="3205" t="s">
        <v>3170</v>
      </c>
      <c r="G127" s="3205" t="s">
        <v>3171</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hidden="1"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hidden="1"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00B0F0"/>
    <pageSetUpPr fitToPage="1"/>
  </sheetPr>
  <dimension ref="A1:AE38"/>
  <sheetViews>
    <sheetView workbookViewId="0">
      <selection activeCell="M3" sqref="M3"/>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3"/>
      <c r="C1" s="2102"/>
      <c r="D1" s="2102"/>
      <c r="E1" s="2102"/>
      <c r="F1" s="2102"/>
      <c r="G1" s="2102"/>
      <c r="H1" s="2102"/>
      <c r="I1" s="2102"/>
      <c r="J1" s="2102"/>
      <c r="K1" s="421">
        <f>MATCH(B1,'数据-取费表'!A6:A16,0)+5</f>
        <v>12</v>
      </c>
    </row>
    <row r="2" spans="1:31" s="2039" customFormat="1" ht="18" customHeight="1">
      <c r="A2" s="2099" t="s">
        <v>467</v>
      </c>
      <c r="B2" s="2103">
        <f ca="1">C36</f>
        <v>57205</v>
      </c>
      <c r="C2" s="2102"/>
      <c r="D2" s="2102"/>
      <c r="E2" s="2102"/>
      <c r="F2" s="2102"/>
      <c r="G2" s="2102"/>
      <c r="H2" s="2102"/>
      <c r="I2" s="2102"/>
      <c r="J2" s="2102"/>
      <c r="K2" s="2102"/>
    </row>
    <row r="3" spans="1:31" s="2039" customFormat="1" ht="18" customHeight="1">
      <c r="A3" s="2104" t="s">
        <v>1686</v>
      </c>
      <c r="B3" s="2105">
        <f ca="1">ROUND(B2*10000/IF(B1="",'数据-汇总表'!E3,INDIRECT("'数据-取费表'!K"&amp;$K$1)),0)</f>
        <v>5449</v>
      </c>
      <c r="C3" s="2102"/>
      <c r="D3" s="2102"/>
      <c r="E3" s="2102"/>
      <c r="F3" s="2102"/>
      <c r="G3" s="2102"/>
      <c r="H3" s="2102"/>
      <c r="I3" s="2102"/>
      <c r="J3" s="2102"/>
      <c r="K3" s="2102"/>
    </row>
    <row r="4" spans="1:31" s="2039" customFormat="1" ht="18" customHeight="1">
      <c r="A4" s="425" t="s">
        <v>468</v>
      </c>
      <c r="B4" s="426">
        <f ca="1">ROUND(B2*10000/IF(B1="",'数据-汇总表'!D3,INDIRECT("'数据-取费表'!R"&amp;$K$1)),0)</f>
        <v>6538</v>
      </c>
      <c r="C4" s="427"/>
      <c r="D4" s="421"/>
      <c r="E4" s="421"/>
      <c r="F4" s="421"/>
      <c r="G4" s="421"/>
      <c r="H4" s="421"/>
      <c r="I4" s="421"/>
      <c r="J4" s="421"/>
      <c r="K4" s="421"/>
    </row>
    <row r="5" spans="1:31" s="2039" customFormat="1" ht="18" customHeight="1" thickBot="1">
      <c r="A5" s="428"/>
      <c r="B5" s="429">
        <f ca="1">ROUND(B2/(IF(B1="",'数据-汇总表'!D3,INDIRECT("'数据-取费表'!R"&amp;$K$1))/666.67),0)</f>
        <v>436</v>
      </c>
      <c r="C5" s="430" t="s">
        <v>469</v>
      </c>
      <c r="D5" s="421"/>
      <c r="E5" s="421"/>
      <c r="F5" s="421"/>
      <c r="G5" s="421"/>
      <c r="H5" s="421"/>
      <c r="I5" s="421"/>
      <c r="J5" s="421"/>
      <c r="K5" s="421"/>
    </row>
    <row r="6" spans="1:31" s="2109" customFormat="1" ht="16.5" customHeight="1">
      <c r="A6" s="2852" t="s">
        <v>1844</v>
      </c>
      <c r="B6" s="2853"/>
      <c r="C6" s="2854">
        <f ca="1">SUM(C10:K10)</f>
        <v>118720</v>
      </c>
      <c r="D6" s="2853"/>
      <c r="E6" s="2853"/>
      <c r="F6" s="2853"/>
      <c r="G6" s="2853"/>
      <c r="H6" s="2853"/>
      <c r="I6" s="2853"/>
      <c r="J6" s="2853"/>
      <c r="K6" s="2855"/>
    </row>
    <row r="7" spans="1:31" s="2111" customFormat="1" ht="15">
      <c r="A7" s="2856" t="s">
        <v>470</v>
      </c>
      <c r="B7" s="2857" t="s">
        <v>471</v>
      </c>
      <c r="C7" s="435" t="s">
        <v>3134</v>
      </c>
      <c r="D7" s="435" t="s">
        <v>3115</v>
      </c>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1847</v>
      </c>
      <c r="B8" s="260" t="s">
        <v>472</v>
      </c>
      <c r="C8" s="2858">
        <f>'不动产比较法-住宅'!B3</f>
        <v>11423</v>
      </c>
      <c r="D8" s="2858">
        <f ca="1">不动产收益法!B3</f>
        <v>9117</v>
      </c>
      <c r="E8" s="2858"/>
      <c r="F8" s="2858"/>
      <c r="G8" s="2858"/>
      <c r="H8" s="2858"/>
      <c r="I8" s="2858"/>
      <c r="J8" s="2858"/>
      <c r="K8" s="2859"/>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1848</v>
      </c>
      <c r="B9" s="260" t="s">
        <v>473</v>
      </c>
      <c r="C9" s="440">
        <f>SUMIF('数据-汇总表'!$C19:$C33,'剩余法-待开发'!C7,'数据-汇总表'!$E19:$E33)</f>
        <v>99740.88</v>
      </c>
      <c r="D9" s="440">
        <f>SUMIF('数据-汇总表'!$C19:$C33,'剩余法-待开发'!D7,'数据-汇总表'!$E19:$E33)</f>
        <v>5249.5199999999895</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60" t="s">
        <v>1849</v>
      </c>
      <c r="B10" s="2846" t="s">
        <v>474</v>
      </c>
      <c r="C10" s="3053">
        <f>'不动产比较法-住宅'!B2</f>
        <v>113934</v>
      </c>
      <c r="D10" s="3053">
        <f ca="1">不动产收益法!B2</f>
        <v>4786</v>
      </c>
      <c r="E10" s="3053"/>
      <c r="F10" s="2861"/>
      <c r="G10" s="2861"/>
      <c r="H10" s="2861"/>
      <c r="I10" s="2861"/>
      <c r="J10" s="2861"/>
      <c r="K10" s="2862"/>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3" t="s">
        <v>1845</v>
      </c>
      <c r="B11" s="2853"/>
      <c r="C11" s="2853"/>
      <c r="D11" s="2853"/>
      <c r="E11" s="2853"/>
      <c r="F11" s="2853"/>
      <c r="G11" s="2853"/>
      <c r="H11" s="2853"/>
      <c r="I11" s="2853"/>
      <c r="J11" s="2853"/>
      <c r="K11" s="2855"/>
    </row>
    <row r="12" spans="1:31" s="2083" customFormat="1" ht="13.5" customHeight="1">
      <c r="A12" s="2864" t="s">
        <v>470</v>
      </c>
      <c r="B12" s="2836" t="s">
        <v>471</v>
      </c>
      <c r="C12" s="2865" t="s">
        <v>475</v>
      </c>
      <c r="D12" s="2832" t="s">
        <v>476</v>
      </c>
      <c r="E12" s="2832" t="s">
        <v>477</v>
      </c>
      <c r="F12" s="2832" t="s">
        <v>478</v>
      </c>
      <c r="G12" s="2836"/>
      <c r="H12" s="2837"/>
      <c r="I12" s="2837"/>
      <c r="J12" s="2837"/>
      <c r="K12" s="2838"/>
    </row>
    <row r="13" spans="1:31" s="2114" customFormat="1" ht="13.5" customHeight="1">
      <c r="A13" s="2866" t="s">
        <v>1850</v>
      </c>
      <c r="B13" s="2867" t="s">
        <v>479</v>
      </c>
      <c r="C13" s="449">
        <f ca="1">IF(B1="",'数据-取费表'!P16,INDIRECT("'数据-取费表'!p"&amp;$K$1)+INDIRECT("'数据-取费表'!t"&amp;$K$1))</f>
        <v>19108</v>
      </c>
      <c r="D13" s="2868"/>
      <c r="E13" s="2869"/>
      <c r="F13" s="2870"/>
      <c r="G13" s="2836"/>
      <c r="H13" s="2837"/>
      <c r="I13" s="2837"/>
      <c r="J13" s="2837"/>
      <c r="K13" s="2838"/>
    </row>
    <row r="14" spans="1:31" s="2114" customFormat="1" ht="13.5" customHeight="1">
      <c r="A14" s="2866" t="s">
        <v>1851</v>
      </c>
      <c r="B14" s="2867" t="s">
        <v>480</v>
      </c>
      <c r="C14" s="53">
        <f ca="1">ROUND(C13*F14,0)</f>
        <v>955</v>
      </c>
      <c r="D14" s="2868"/>
      <c r="E14" s="2869"/>
      <c r="F14" s="2871">
        <f>'数据-取费表'!B33</f>
        <v>0.05</v>
      </c>
      <c r="G14" s="2836" t="s">
        <v>481</v>
      </c>
      <c r="H14" s="2837"/>
      <c r="I14" s="2837"/>
      <c r="J14" s="2837"/>
      <c r="K14" s="2838"/>
    </row>
    <row r="15" spans="1:31" s="2114" customFormat="1" ht="13.5" customHeight="1">
      <c r="A15" s="2866" t="s">
        <v>1852</v>
      </c>
      <c r="B15" s="2867" t="s">
        <v>482</v>
      </c>
      <c r="C15" s="53">
        <f ca="1">ROUND(IF(B1="",SUMIF('数据-取费表'!C:C,"住宅",'数据-取费表'!P:P)*F15,IF(INDIRECT("'数据-取费表'!c"&amp;$K$1)="住宅",INDIRECT("'数据-取费表'!P"&amp;$K$1)*F15,0)),0)</f>
        <v>898</v>
      </c>
      <c r="D15" s="2868"/>
      <c r="E15" s="2869"/>
      <c r="F15" s="2871">
        <f>'数据-取费表'!B34</f>
        <v>0.05</v>
      </c>
      <c r="G15" s="2836" t="s">
        <v>483</v>
      </c>
      <c r="H15" s="2837"/>
      <c r="I15" s="2837"/>
      <c r="J15" s="2837"/>
      <c r="K15" s="2838"/>
    </row>
    <row r="16" spans="1:31" s="2115" customFormat="1" ht="13.5" customHeight="1">
      <c r="A16" s="2866" t="s">
        <v>1853</v>
      </c>
      <c r="B16" s="2867" t="s">
        <v>484</v>
      </c>
      <c r="C16" s="53">
        <f ca="1">ROUND(D16*E16/10000,0)</f>
        <v>2100</v>
      </c>
      <c r="D16" s="2868">
        <f ca="1">IF(B1="",'数据-汇总表'!E3,INDIRECT("'数据-取费表'!K"&amp;$K$1)+INDIRECT("'数据-取费表'!S"&amp;$K$1))</f>
        <v>104990.39999999999</v>
      </c>
      <c r="E16" s="53">
        <f>'数据-取费表'!B35</f>
        <v>200</v>
      </c>
      <c r="F16" s="2871"/>
      <c r="G16" s="2836"/>
      <c r="H16" s="2837"/>
      <c r="I16" s="2837"/>
      <c r="J16" s="2837"/>
      <c r="K16" s="2838"/>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6" t="s">
        <v>1854</v>
      </c>
      <c r="B17" s="2867" t="s">
        <v>485</v>
      </c>
      <c r="C17" s="2872">
        <f ca="1">ROUND(C13*F17,0)</f>
        <v>287</v>
      </c>
      <c r="D17" s="474"/>
      <c r="E17" s="2872"/>
      <c r="F17" s="2873">
        <f>'数据-取费表'!B36</f>
        <v>1.4999999999999999E-2</v>
      </c>
      <c r="G17" s="260" t="s">
        <v>486</v>
      </c>
      <c r="H17" s="2839"/>
      <c r="I17" s="2839"/>
      <c r="J17" s="2839"/>
      <c r="K17" s="278"/>
    </row>
    <row r="18" spans="1:14" s="2114" customFormat="1" ht="13.5" customHeight="1">
      <c r="A18" s="2874" t="s">
        <v>1855</v>
      </c>
      <c r="B18" s="2875" t="s">
        <v>487</v>
      </c>
      <c r="C18" s="2876">
        <f ca="1">SUM(C13:C17)</f>
        <v>23348</v>
      </c>
      <c r="D18" s="2877"/>
      <c r="E18" s="467"/>
      <c r="F18" s="467"/>
      <c r="G18" s="2840" t="s">
        <v>2431</v>
      </c>
      <c r="H18" s="2841"/>
      <c r="I18" s="2841"/>
      <c r="J18" s="2841"/>
      <c r="K18" s="2842"/>
    </row>
    <row r="19" spans="1:14" s="2114" customFormat="1" ht="13.5" customHeight="1">
      <c r="A19" s="2874" t="s">
        <v>1856</v>
      </c>
      <c r="B19" s="2875" t="s">
        <v>488</v>
      </c>
      <c r="C19" s="2832">
        <f ca="1">ROUND(D19*E19/10000,0)</f>
        <v>1050</v>
      </c>
      <c r="D19" s="2878">
        <f ca="1">D16</f>
        <v>104990.39999999999</v>
      </c>
      <c r="E19" s="2832">
        <f>'数据-取费表'!B32</f>
        <v>100</v>
      </c>
      <c r="F19" s="467"/>
      <c r="G19" s="2836" t="s">
        <v>489</v>
      </c>
      <c r="H19" s="2837"/>
      <c r="I19" s="2841"/>
      <c r="J19" s="2841"/>
      <c r="K19" s="2842"/>
    </row>
    <row r="20" spans="1:14" s="2114" customFormat="1" ht="13.5" customHeight="1">
      <c r="A20" s="2874" t="s">
        <v>1857</v>
      </c>
      <c r="B20" s="2875" t="s">
        <v>490</v>
      </c>
      <c r="C20" s="2832">
        <f ca="1">C21+C22-IF(B1="",'数据-取费表'!B29,IF(G20="已全部缴纳",C21+C22,H20))</f>
        <v>473</v>
      </c>
      <c r="D20" s="2878"/>
      <c r="E20" s="2832"/>
      <c r="F20" s="2879"/>
      <c r="G20" s="3113"/>
      <c r="H20" s="2834"/>
      <c r="I20" s="2835" t="s">
        <v>2656</v>
      </c>
      <c r="J20" s="2841"/>
      <c r="K20" s="2842"/>
    </row>
    <row r="21" spans="1:14" s="2114" customFormat="1" ht="13.5" customHeight="1">
      <c r="A21" s="2866" t="s">
        <v>1858</v>
      </c>
      <c r="B21" s="2867" t="s">
        <v>491</v>
      </c>
      <c r="C21" s="53">
        <f ca="1">ROUND(D21*E21/10000,0)</f>
        <v>449</v>
      </c>
      <c r="D21" s="2868">
        <f ca="1">IF(B1="",'数据-汇总表'!E5,IF(INDIRECT("'数据-取费表'!c"&amp;$K$1)="住宅",INDIRECT("'数据-取费表'!k"&amp;$K$1),0))</f>
        <v>99740.88</v>
      </c>
      <c r="E21" s="53">
        <f>'数据-取费表'!B27</f>
        <v>45</v>
      </c>
      <c r="F21" s="2871"/>
      <c r="G21" s="26"/>
      <c r="H21" s="51"/>
      <c r="I21" s="51"/>
      <c r="J21" s="51"/>
      <c r="K21" s="2843"/>
    </row>
    <row r="22" spans="1:14" s="2114" customFormat="1" ht="13.5" customHeight="1">
      <c r="A22" s="2866" t="s">
        <v>1859</v>
      </c>
      <c r="B22" s="2867" t="s">
        <v>492</v>
      </c>
      <c r="C22" s="53">
        <f ca="1">ROUND(D22*E22/10000,0)</f>
        <v>24</v>
      </c>
      <c r="D22" s="2868">
        <f ca="1">IF(B1="",'数据-汇总表'!E6,IF(INDIRECT("'数据-取费表'!c"&amp;$K$1)="住宅",INDIRECT("'数据-取费表'!s"&amp;$K$1),INDIRECT("'数据-取费表'!k"&amp;$K$1)+INDIRECT("'数据-取费表'!s"&amp;$K$1)))</f>
        <v>5249.5199999999895</v>
      </c>
      <c r="E22" s="53">
        <f>'数据-取费表'!B28</f>
        <v>45</v>
      </c>
      <c r="F22" s="2871"/>
      <c r="G22" s="26"/>
      <c r="H22" s="51"/>
      <c r="I22" s="51"/>
      <c r="J22" s="51"/>
      <c r="K22" s="2843"/>
    </row>
    <row r="23" spans="1:14" s="2114" customFormat="1" ht="13.5" customHeight="1">
      <c r="A23" s="2874" t="s">
        <v>1860</v>
      </c>
      <c r="B23" s="3059" t="s">
        <v>2839</v>
      </c>
      <c r="C23" s="2876">
        <f ca="1">ROUND((C18+C19+C20)*F23,0)</f>
        <v>497</v>
      </c>
      <c r="D23" s="467"/>
      <c r="E23" s="467"/>
      <c r="F23" s="2880">
        <f>'数据-取费表'!B37</f>
        <v>0.02</v>
      </c>
      <c r="G23" s="2836" t="s">
        <v>2432</v>
      </c>
      <c r="H23" s="2837"/>
      <c r="I23" s="2837"/>
      <c r="J23" s="2837"/>
      <c r="K23" s="2838"/>
      <c r="L23" s="2116"/>
      <c r="M23" s="2116"/>
      <c r="N23" s="2116"/>
    </row>
    <row r="24" spans="1:14" s="2114" customFormat="1" ht="13.5" customHeight="1">
      <c r="A24" s="2874" t="s">
        <v>1861</v>
      </c>
      <c r="B24" s="3059" t="s">
        <v>2842</v>
      </c>
      <c r="C24" s="2876">
        <f ca="1">ROUND(C6*F24,0)</f>
        <v>2374</v>
      </c>
      <c r="D24" s="474"/>
      <c r="E24" s="472"/>
      <c r="F24" s="2880">
        <f>'数据-取费表'!B38</f>
        <v>0.02</v>
      </c>
      <c r="G24" s="2845" t="s">
        <v>499</v>
      </c>
      <c r="H24" s="2839"/>
      <c r="I24" s="2839"/>
      <c r="J24" s="2839"/>
      <c r="K24" s="278"/>
      <c r="L24" s="2116"/>
      <c r="M24" s="2116"/>
      <c r="N24" s="2116"/>
    </row>
    <row r="25" spans="1:14" s="2117" customFormat="1" ht="13.5" customHeight="1">
      <c r="A25" s="2874" t="s">
        <v>1862</v>
      </c>
      <c r="B25" s="3059" t="s">
        <v>2840</v>
      </c>
      <c r="C25" s="466">
        <f>ROUND(F25/(1+'数据-取费表'!C42),4)</f>
        <v>3.8399999999999997E-2</v>
      </c>
      <c r="D25" s="461" t="s">
        <v>2834</v>
      </c>
      <c r="E25" s="468"/>
      <c r="F25" s="2880">
        <f>'数据-取费表'!B48+'数据-取费表'!B49</f>
        <v>4.0500000000000001E-2</v>
      </c>
      <c r="G25" s="2844" t="s">
        <v>2291</v>
      </c>
      <c r="H25" s="2837"/>
      <c r="I25" s="2837"/>
      <c r="J25" s="2837"/>
      <c r="K25" s="2838"/>
    </row>
    <row r="26" spans="1:14" s="2116" customFormat="1" ht="13.5" customHeight="1">
      <c r="A26" s="2874" t="s">
        <v>1863</v>
      </c>
      <c r="B26" s="3060" t="s">
        <v>2841</v>
      </c>
      <c r="C26" s="2881">
        <f ca="1">C28</f>
        <v>1318</v>
      </c>
      <c r="D26" s="466">
        <f ca="1">C27</f>
        <v>0.10100000000000001</v>
      </c>
      <c r="E26" s="468" t="s">
        <v>495</v>
      </c>
      <c r="F26" s="470">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18" customFormat="1" ht="13.5" customHeight="1">
      <c r="A27" s="802" t="s">
        <v>1858</v>
      </c>
      <c r="B27" s="2882" t="s">
        <v>496</v>
      </c>
      <c r="C27" s="2883">
        <f ca="1">ROUND(IF('数据-取费表'!B22&lt;=1,(1+C25)*F26*'数据-取费表'!B24,(1+C25)*(POWER((1+F26),'数据-取费表'!B24)-1)),4)</f>
        <v>0.10100000000000001</v>
      </c>
      <c r="D27" s="471"/>
      <c r="E27" s="472"/>
      <c r="F27" s="473"/>
      <c r="G27" s="2594" t="str">
        <f>IF('数据-取费表'!B22&lt;=1,"（1+取得税费率/(1+5%)）×年利率×建设期","（1+取得税费率）/(1+5%)×((1+年利率)^建设期-1)")</f>
        <v>（1+取得税费率）/(1+5%)×((1+年利率)^建设期-1)</v>
      </c>
      <c r="H27" s="2839"/>
      <c r="I27" s="2839"/>
      <c r="J27" s="2839"/>
      <c r="K27" s="278"/>
    </row>
    <row r="28" spans="1:14" s="2118" customFormat="1" ht="13.5" customHeight="1">
      <c r="A28" s="802" t="s">
        <v>1859</v>
      </c>
      <c r="B28" s="2882" t="s">
        <v>2843</v>
      </c>
      <c r="C28" s="2884">
        <f ca="1">ROUND(IF('数据-取费表'!B22&lt;=1,(C18+C19+C20+C23+C24)*F26*'数据-取费表'!B24/2,(C18+C19+C20+C23+C24)*(POWER((1+F26),'数据-取费表'!B24/2)-1)),0)</f>
        <v>1318</v>
      </c>
      <c r="D28" s="471"/>
      <c r="E28" s="472"/>
      <c r="F28" s="473"/>
      <c r="G28" s="2594" t="str">
        <f>IF('数据-取费表'!B22&lt;=1,"（1）-（4）项×年利率×建设期÷2","（1）-（4）项×((1+年利率)^(建设期÷2)-1)")</f>
        <v>（1）-（4）项×((1+年利率)^(建设期÷2)-1)</v>
      </c>
      <c r="H28" s="2839"/>
      <c r="I28" s="2839"/>
      <c r="J28" s="2839"/>
      <c r="K28" s="278"/>
    </row>
    <row r="29" spans="1:14" s="2118" customFormat="1" ht="13.5" customHeight="1">
      <c r="A29" s="2885" t="s">
        <v>1864</v>
      </c>
      <c r="B29" s="2875" t="s">
        <v>497</v>
      </c>
      <c r="C29" s="2876">
        <f ca="1">ROUND(C6*F29/(1+'数据-取费表'!C42),0)</f>
        <v>7051</v>
      </c>
      <c r="D29" s="467"/>
      <c r="E29" s="467"/>
      <c r="F29" s="3061">
        <f>'数据-取费表'!B41</f>
        <v>6.2719999999999998E-2</v>
      </c>
      <c r="G29" s="2845" t="s">
        <v>498</v>
      </c>
      <c r="H29" s="2837"/>
      <c r="I29" s="2837"/>
      <c r="J29" s="2837"/>
      <c r="K29" s="2838"/>
    </row>
    <row r="30" spans="1:14" s="2119" customFormat="1" ht="13.5" customHeight="1">
      <c r="A30" s="1634" t="s">
        <v>1865</v>
      </c>
      <c r="B30" s="2886" t="s">
        <v>500</v>
      </c>
      <c r="C30" s="2881">
        <f ca="1">C31</f>
        <v>36111</v>
      </c>
      <c r="D30" s="476">
        <f ca="1">C32</f>
        <v>0.1394</v>
      </c>
      <c r="E30" s="468" t="s">
        <v>495</v>
      </c>
      <c r="F30" s="470"/>
      <c r="G30" s="2836" t="s">
        <v>501</v>
      </c>
      <c r="H30" s="2837"/>
      <c r="I30" s="2837"/>
      <c r="J30" s="2837"/>
      <c r="K30" s="2838"/>
    </row>
    <row r="31" spans="1:14" s="2118" customFormat="1" ht="13.5" customHeight="1">
      <c r="A31" s="802" t="s">
        <v>1858</v>
      </c>
      <c r="B31" s="2882"/>
      <c r="C31" s="449">
        <f ca="1">C18+C19+C20+C23+C24+C26+C29</f>
        <v>36111</v>
      </c>
      <c r="D31" s="471"/>
      <c r="E31" s="472"/>
      <c r="F31" s="473"/>
      <c r="G31" s="260"/>
      <c r="H31" s="2839"/>
      <c r="I31" s="2839"/>
      <c r="J31" s="2839"/>
      <c r="K31" s="278"/>
    </row>
    <row r="32" spans="1:14" s="2118" customFormat="1" ht="13.5" customHeight="1">
      <c r="A32" s="802" t="s">
        <v>1859</v>
      </c>
      <c r="B32" s="2882"/>
      <c r="C32" s="53">
        <f ca="1">ROUND(C25+D26,4)</f>
        <v>0.1394</v>
      </c>
      <c r="D32" s="471"/>
      <c r="E32" s="472"/>
      <c r="F32" s="473"/>
      <c r="G32" s="260"/>
      <c r="H32" s="2839"/>
      <c r="I32" s="2839"/>
      <c r="J32" s="2839"/>
      <c r="K32" s="278"/>
    </row>
    <row r="33" spans="1:11" s="2120" customFormat="1" ht="13.5" customHeight="1">
      <c r="A33" s="3058" t="s">
        <v>2838</v>
      </c>
      <c r="B33" s="3056" t="s">
        <v>2836</v>
      </c>
      <c r="C33" s="477">
        <f ca="1">C35</f>
        <v>5548</v>
      </c>
      <c r="D33" s="466">
        <f ca="1">C34</f>
        <v>0.2077</v>
      </c>
      <c r="E33" s="468" t="s">
        <v>495</v>
      </c>
      <c r="F33" s="478">
        <f ca="1">IF(B1="",'数据-取费表'!Q16,INDIRECT("'数据-取费表'!q"&amp;$K$1))</f>
        <v>0.2</v>
      </c>
      <c r="G33" s="2840"/>
      <c r="H33" s="2841"/>
      <c r="I33" s="2841"/>
      <c r="J33" s="2841"/>
      <c r="K33" s="2842"/>
    </row>
    <row r="34" spans="1:11" s="2121" customFormat="1" ht="13.5" customHeight="1">
      <c r="A34" s="374" t="s">
        <v>1858</v>
      </c>
      <c r="B34" s="2887" t="s">
        <v>502</v>
      </c>
      <c r="C34" s="471">
        <f ca="1">ROUND((1+C25)*F33,4)</f>
        <v>0.2077</v>
      </c>
      <c r="D34" s="471"/>
      <c r="E34" s="472"/>
      <c r="F34" s="479"/>
      <c r="G34" s="260" t="s">
        <v>2292</v>
      </c>
      <c r="H34" s="2839"/>
      <c r="I34" s="2839"/>
      <c r="J34" s="2839"/>
      <c r="K34" s="278"/>
    </row>
    <row r="35" spans="1:11" s="2121" customFormat="1" ht="13.5" customHeight="1" thickBot="1">
      <c r="A35" s="1635" t="s">
        <v>1859</v>
      </c>
      <c r="B35" s="3057" t="s">
        <v>2844</v>
      </c>
      <c r="C35" s="1627">
        <f ca="1">ROUND((C18+C19+C20+C23+C24)*F33,0)</f>
        <v>5548</v>
      </c>
      <c r="D35" s="1628"/>
      <c r="E35" s="2888"/>
      <c r="F35" s="1629"/>
      <c r="G35" s="2846"/>
      <c r="H35" s="2847"/>
      <c r="I35" s="2847"/>
      <c r="J35" s="2847"/>
      <c r="K35" s="2848"/>
    </row>
    <row r="36" spans="1:11" s="2083" customFormat="1" ht="13.5" customHeight="1" thickBot="1">
      <c r="A36" s="283" t="s">
        <v>1846</v>
      </c>
      <c r="B36" s="2850"/>
      <c r="C36" s="2889">
        <f ca="1">ROUND((C6-C30-C33)/(1+D30+D33),0)</f>
        <v>57205</v>
      </c>
      <c r="D36" s="2850"/>
      <c r="E36" s="2850"/>
      <c r="F36" s="2850"/>
      <c r="G36" s="2849" t="s">
        <v>2845</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1903</v>
      </c>
      <c r="B36" s="1653" t="s">
        <v>1904</v>
      </c>
    </row>
    <row r="37" spans="1:9" ht="28.5" customHeight="1">
      <c r="A37" s="1653"/>
      <c r="B37" s="3237" t="str">
        <f>项目基本情况!B1</f>
        <v>四川省峨眉山市峨山镇保宁村2宗住宅、商业出让国有建设用地使用权抵押价格预评估</v>
      </c>
      <c r="C37" s="3237"/>
      <c r="D37" s="3237"/>
      <c r="E37" s="3237"/>
      <c r="F37" s="3237"/>
      <c r="G37" s="3237"/>
      <c r="H37" s="3237"/>
      <c r="I37" s="3237"/>
    </row>
    <row r="38" spans="1:9">
      <c r="A38" s="1655"/>
      <c r="B38" s="1655"/>
    </row>
    <row r="39" spans="1:9">
      <c r="A39" s="1653" t="s">
        <v>1903</v>
      </c>
      <c r="B39" s="1653" t="s">
        <v>2048</v>
      </c>
    </row>
    <row r="40" spans="1:9">
      <c r="A40" s="1653"/>
      <c r="B40" s="1653" t="str">
        <f>项目基本情况!B5</f>
        <v>四川峨眉山宏远实业有限公司</v>
      </c>
    </row>
    <row r="41" spans="1:9">
      <c r="A41" s="1653"/>
      <c r="B41" s="1653"/>
    </row>
    <row r="42" spans="1:9">
      <c r="A42" s="1653" t="s">
        <v>1903</v>
      </c>
      <c r="B42" s="1653" t="s">
        <v>2049</v>
      </c>
    </row>
    <row r="43" spans="1:9">
      <c r="A43" s="1653"/>
      <c r="B43" s="1653" t="s">
        <v>1905</v>
      </c>
    </row>
    <row r="44" spans="1:9">
      <c r="A44" s="1653"/>
      <c r="B44" s="1653"/>
    </row>
    <row r="45" spans="1:9">
      <c r="A45" s="1653" t="s">
        <v>1903</v>
      </c>
      <c r="B45" s="1653" t="s">
        <v>2047</v>
      </c>
    </row>
    <row r="46" spans="1:9" s="1653" customFormat="1" ht="12.75">
      <c r="B46" s="1653" t="str">
        <f>项目基本情况!K4</f>
        <v>王鹏、郑燚</v>
      </c>
    </row>
    <row r="47" spans="1:9">
      <c r="A47" s="1653"/>
      <c r="B47" s="1653"/>
    </row>
    <row r="48" spans="1:9">
      <c r="A48" s="1653" t="s">
        <v>1903</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833"/>
      <c r="C1" s="2102"/>
      <c r="D1" s="2102"/>
      <c r="E1" s="2102"/>
      <c r="F1" s="2102"/>
      <c r="G1" s="2102"/>
      <c r="H1" s="2102"/>
      <c r="I1" s="2102"/>
      <c r="J1" s="2102"/>
      <c r="K1" s="421">
        <f>MATCH(B1,'数据-取费表'!A6:A16,0)+5</f>
        <v>12</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8" t="s">
        <v>1686</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2657</v>
      </c>
      <c r="B6" s="432"/>
      <c r="C6" s="1622">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1847</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1849</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1866</v>
      </c>
      <c r="B11" s="1620"/>
      <c r="C11" s="1620"/>
      <c r="D11" s="1620"/>
      <c r="E11" s="1620"/>
      <c r="F11" s="1620"/>
      <c r="G11" s="1620"/>
      <c r="H11" s="1620"/>
      <c r="I11" s="1620"/>
      <c r="J11" s="1620"/>
      <c r="K11" s="1621"/>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2" t="s">
        <v>1850</v>
      </c>
      <c r="B13" s="448" t="s">
        <v>479</v>
      </c>
      <c r="C13" s="449">
        <f ca="1">IF(B1="",'数据-取费表'!M16,INDIRECT("'数据-取费表'!M"&amp;$K$1)+INDIRECT("'数据-取费表'!t"&amp;$K$1))</f>
        <v>19108</v>
      </c>
      <c r="D13" s="450"/>
      <c r="E13" s="364"/>
      <c r="F13" s="451"/>
      <c r="G13" s="443"/>
      <c r="H13" s="446"/>
      <c r="I13" s="446"/>
      <c r="J13" s="446"/>
      <c r="K13" s="447"/>
    </row>
    <row r="14" spans="1:41" s="2114" customFormat="1" ht="13.5" customHeight="1">
      <c r="A14" s="1632" t="s">
        <v>1851</v>
      </c>
      <c r="B14" s="448" t="s">
        <v>480</v>
      </c>
      <c r="C14" s="53">
        <f ca="1">ROUND(C13*F14,0)</f>
        <v>955</v>
      </c>
      <c r="D14" s="450"/>
      <c r="E14" s="364"/>
      <c r="F14" s="452">
        <f>'数据-取费表'!B33</f>
        <v>0.05</v>
      </c>
      <c r="G14" s="443" t="s">
        <v>503</v>
      </c>
      <c r="H14" s="446"/>
      <c r="I14" s="446"/>
      <c r="J14" s="446"/>
      <c r="K14" s="447"/>
    </row>
    <row r="15" spans="1:41" s="2114" customFormat="1" ht="13.5" customHeight="1">
      <c r="A15" s="1632" t="s">
        <v>1852</v>
      </c>
      <c r="B15" s="448" t="s">
        <v>482</v>
      </c>
      <c r="C15" s="53">
        <f ca="1">ROUND(IF(B1="",SUMIF('数据-取费表'!C:C,"住宅",'数据-取费表'!M:M)*F15,IF(INDIRECT("'数据-取费表'!c"&amp;$K$1)="住宅",INDIRECT("'数据-取费表'!M"&amp;$K$1)*F15,0)),0)</f>
        <v>898</v>
      </c>
      <c r="D15" s="450"/>
      <c r="E15" s="364"/>
      <c r="F15" s="452">
        <f>'数据-取费表'!B34</f>
        <v>0.05</v>
      </c>
      <c r="G15" s="443" t="s">
        <v>503</v>
      </c>
      <c r="H15" s="446"/>
      <c r="I15" s="446"/>
      <c r="J15" s="446"/>
      <c r="K15" s="447"/>
    </row>
    <row r="16" spans="1:41" s="2115" customFormat="1" ht="13.5" customHeight="1">
      <c r="A16" s="1632" t="s">
        <v>1853</v>
      </c>
      <c r="B16" s="448" t="s">
        <v>484</v>
      </c>
      <c r="C16" s="53">
        <f ca="1">ROUND(D16*E16/10000,0)</f>
        <v>2100</v>
      </c>
      <c r="D16" s="450">
        <f ca="1">IF(B1="",'数据-汇总表'!E3,INDIRECT("'数据-取费表'!K"&amp;$K$1)+INDIRECT("'数据-取费表'!S"&amp;$K$1))</f>
        <v>104990.39999999999</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1854</v>
      </c>
      <c r="B17" s="448" t="s">
        <v>485</v>
      </c>
      <c r="C17" s="453">
        <f ca="1">ROUND(C13*F17,0)</f>
        <v>287</v>
      </c>
      <c r="D17" s="454"/>
      <c r="E17" s="453"/>
      <c r="F17" s="455">
        <f>'数据-取费表'!B36</f>
        <v>1.4999999999999999E-2</v>
      </c>
      <c r="G17" s="443" t="s">
        <v>503</v>
      </c>
      <c r="H17" s="456"/>
      <c r="I17" s="456"/>
      <c r="J17" s="456"/>
      <c r="K17" s="457"/>
    </row>
    <row r="18" spans="1:14" s="2117" customFormat="1" ht="13.5" customHeight="1">
      <c r="A18" s="1633" t="s">
        <v>1855</v>
      </c>
      <c r="B18" s="458" t="s">
        <v>487</v>
      </c>
      <c r="C18" s="459">
        <f ca="1">SUM(C13:C17)</f>
        <v>23348</v>
      </c>
      <c r="D18" s="460"/>
      <c r="E18" s="461"/>
      <c r="F18" s="461"/>
      <c r="G18" s="1326" t="s">
        <v>2433</v>
      </c>
      <c r="H18" s="446"/>
      <c r="I18" s="446"/>
      <c r="J18" s="446"/>
      <c r="K18" s="447"/>
    </row>
    <row r="19" spans="1:14" s="2117" customFormat="1" ht="13.5" customHeight="1">
      <c r="A19" s="1633" t="s">
        <v>1856</v>
      </c>
      <c r="B19" s="458" t="s">
        <v>493</v>
      </c>
      <c r="C19" s="459">
        <f ca="1">ROUND(C18*F19,0)</f>
        <v>467</v>
      </c>
      <c r="D19" s="461"/>
      <c r="E19" s="461"/>
      <c r="F19" s="465">
        <f>'数据-取费表'!B37</f>
        <v>0.02</v>
      </c>
      <c r="G19" s="443" t="s">
        <v>504</v>
      </c>
      <c r="H19" s="446"/>
      <c r="I19" s="446"/>
      <c r="J19" s="446"/>
      <c r="K19" s="447"/>
      <c r="L19" s="2119"/>
      <c r="M19" s="2119"/>
      <c r="N19" s="2119"/>
    </row>
    <row r="20" spans="1:14" s="2117" customFormat="1" ht="13.5" customHeight="1">
      <c r="A20" s="1633" t="s">
        <v>1857</v>
      </c>
      <c r="B20" s="458" t="s">
        <v>505</v>
      </c>
      <c r="C20" s="3054">
        <f>F20</f>
        <v>0.02</v>
      </c>
      <c r="D20" s="468" t="s">
        <v>506</v>
      </c>
      <c r="E20" s="468"/>
      <c r="F20" s="485">
        <f>'数据-取费表'!B38</f>
        <v>0.02</v>
      </c>
      <c r="G20" s="1326" t="s">
        <v>507</v>
      </c>
      <c r="H20" s="446"/>
      <c r="I20" s="446"/>
      <c r="J20" s="446"/>
      <c r="K20" s="447"/>
      <c r="L20" s="2119"/>
      <c r="M20" s="2119"/>
      <c r="N20" s="2119"/>
    </row>
    <row r="21" spans="1:14" s="2119" customFormat="1" ht="13.5" customHeight="1">
      <c r="A21" s="1633" t="s">
        <v>1860</v>
      </c>
      <c r="B21" s="460" t="s">
        <v>494</v>
      </c>
      <c r="C21" s="469">
        <f ca="1">C22</f>
        <v>1131</v>
      </c>
      <c r="D21" s="466">
        <f ca="1">C23</f>
        <v>1E-3</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2455</v>
      </c>
    </row>
    <row r="22" spans="1:14" s="2118" customFormat="1" ht="13.5" customHeight="1">
      <c r="A22" s="1632" t="s">
        <v>1850</v>
      </c>
      <c r="B22" s="1327" t="s">
        <v>2436</v>
      </c>
      <c r="C22" s="486">
        <f ca="1">ROUND(IF('数据-取费表'!B22&lt;=1,(C18+C19)*F21*'数据-取费表'!B20/2,(C18+C19)*(POWER((1+F21),'数据-取费表'!B20/2)-1)),0)</f>
        <v>1131</v>
      </c>
      <c r="D22" s="471"/>
      <c r="E22" s="472"/>
      <c r="F22" s="473"/>
      <c r="G22" s="2589" t="str">
        <f>IF('数据-取费表'!B22&lt;=1,"((1)+(2))×年利率×建设期÷2","((1)+(2))×((1+年利率)^(建设期÷2)-1)")</f>
        <v>((1)+(2))×((1+年利率)^(建设期÷2)-1)</v>
      </c>
      <c r="H22" s="456"/>
      <c r="I22" s="456"/>
      <c r="J22" s="456"/>
      <c r="K22" s="457"/>
    </row>
    <row r="23" spans="1:14" s="2118" customFormat="1" ht="13.5" customHeight="1">
      <c r="A23" s="1632" t="s">
        <v>1851</v>
      </c>
      <c r="B23" s="1327" t="s">
        <v>509</v>
      </c>
      <c r="C23" s="487">
        <f ca="1">ROUND(IF('数据-取费表'!B22&lt;=1,F20*F21*'数据-取费表'!B20/2,F20*(POWER((1+F21),'数据-取费表'!B20/2)-1)),4)</f>
        <v>1E-3</v>
      </c>
      <c r="D23" s="471"/>
      <c r="E23" s="472"/>
      <c r="F23" s="473"/>
      <c r="G23" s="2589" t="str">
        <f>IF('数据-取费表'!B22&lt;=1,"销售费用率×年利率×建设期÷2","销售费用率×((1+年利率)^(建设期÷2)-1)")</f>
        <v>销售费用率×((1+年利率)^(建设期÷2)-1)</v>
      </c>
      <c r="H23" s="456"/>
      <c r="I23" s="456"/>
      <c r="J23" s="456"/>
      <c r="K23" s="457"/>
    </row>
    <row r="24" spans="1:14" s="2118" customFormat="1" ht="13.5" customHeight="1">
      <c r="A24" s="1633" t="s">
        <v>1861</v>
      </c>
      <c r="B24" s="3056" t="s">
        <v>2837</v>
      </c>
      <c r="C24" s="477">
        <f ca="1">C25</f>
        <v>4763</v>
      </c>
      <c r="D24" s="488">
        <f ca="1">C26</f>
        <v>4.0000000000000001E-3</v>
      </c>
      <c r="E24" s="468" t="s">
        <v>508</v>
      </c>
      <c r="F24" s="478">
        <f ca="1">IF(B1="",'数据-取费表'!Q16,INDIRECT("'数据-取费表'!q"&amp;$K$1))</f>
        <v>0.2</v>
      </c>
      <c r="G24" s="443"/>
      <c r="H24" s="446"/>
      <c r="I24" s="446"/>
      <c r="J24" s="446"/>
      <c r="K24" s="447"/>
    </row>
    <row r="25" spans="1:14" s="2118" customFormat="1" ht="13.5" customHeight="1">
      <c r="A25" s="1632" t="s">
        <v>1850</v>
      </c>
      <c r="B25" s="1327" t="s">
        <v>2437</v>
      </c>
      <c r="C25" s="489">
        <f ca="1">ROUND((C18+C19)*F24,0)</f>
        <v>4763</v>
      </c>
      <c r="D25" s="471"/>
      <c r="E25" s="472"/>
      <c r="F25" s="479"/>
      <c r="G25" s="1325" t="s">
        <v>2434</v>
      </c>
      <c r="H25" s="456"/>
      <c r="I25" s="456"/>
      <c r="J25" s="456"/>
      <c r="K25" s="457"/>
    </row>
    <row r="26" spans="1:14" s="2118" customFormat="1" ht="13.5" customHeight="1">
      <c r="A26" s="1632" t="s">
        <v>1851</v>
      </c>
      <c r="B26" s="1327" t="s">
        <v>510</v>
      </c>
      <c r="C26" s="490">
        <f ca="1">ROUND(F20*F24,4)</f>
        <v>4.0000000000000001E-3</v>
      </c>
      <c r="D26" s="471"/>
      <c r="E26" s="480"/>
      <c r="F26" s="479"/>
      <c r="G26" s="1325" t="s">
        <v>511</v>
      </c>
      <c r="H26" s="456"/>
      <c r="I26" s="456"/>
      <c r="J26" s="456"/>
      <c r="K26" s="457"/>
    </row>
    <row r="27" spans="1:14" s="2118" customFormat="1" ht="13.5" customHeight="1">
      <c r="A27" s="1636" t="s">
        <v>1869</v>
      </c>
      <c r="B27" s="458" t="s">
        <v>512</v>
      </c>
      <c r="C27" s="3055">
        <f>ROUND(F27/(1+'数据-取费表'!C42),4)</f>
        <v>5.9400000000000001E-2</v>
      </c>
      <c r="D27" s="461" t="s">
        <v>2835</v>
      </c>
      <c r="E27" s="461"/>
      <c r="F27" s="465">
        <f>'数据-取费表'!B41</f>
        <v>6.2719999999999998E-2</v>
      </c>
      <c r="G27" s="1958" t="s">
        <v>2293</v>
      </c>
      <c r="H27" s="446"/>
      <c r="I27" s="446"/>
      <c r="J27" s="446"/>
      <c r="K27" s="447"/>
    </row>
    <row r="28" spans="1:14" s="2119" customFormat="1" ht="13.5" customHeight="1">
      <c r="A28" s="1636" t="s">
        <v>1870</v>
      </c>
      <c r="B28" s="475" t="s">
        <v>513</v>
      </c>
      <c r="C28" s="469">
        <f ca="1">ROUND((C18+C19+C21+C24)/(1-C20-D21-D24-C27),0)</f>
        <v>32448</v>
      </c>
      <c r="D28" s="476"/>
      <c r="E28" s="468"/>
      <c r="F28" s="470"/>
      <c r="G28" s="1326" t="s">
        <v>2435</v>
      </c>
      <c r="H28" s="446"/>
      <c r="I28" s="446"/>
      <c r="J28" s="446"/>
      <c r="K28" s="447"/>
    </row>
    <row r="29" spans="1:14" s="2119" customFormat="1" ht="13.5" customHeight="1">
      <c r="A29" s="1636" t="s">
        <v>1871</v>
      </c>
      <c r="B29" s="475" t="s">
        <v>514</v>
      </c>
      <c r="C29" s="491">
        <f ca="1">IF(B1="",'数据-取费表'!N16,INDIRECT("'数据-取费表'!N"&amp;$K$1))</f>
        <v>0</v>
      </c>
      <c r="D29" s="492"/>
      <c r="E29" s="493"/>
      <c r="F29" s="494"/>
      <c r="G29" s="443"/>
      <c r="H29" s="446"/>
      <c r="I29" s="446"/>
      <c r="J29" s="446"/>
      <c r="K29" s="447"/>
    </row>
    <row r="30" spans="1:14" s="2119" customFormat="1" ht="13.5" customHeight="1">
      <c r="A30" s="442">
        <v>2</v>
      </c>
      <c r="B30" s="475" t="s">
        <v>515</v>
      </c>
      <c r="C30" s="496">
        <f ca="1">ROUND(C28*C29,0)</f>
        <v>0</v>
      </c>
      <c r="D30" s="492"/>
      <c r="E30" s="497"/>
      <c r="F30" s="498"/>
      <c r="G30" s="1328" t="s">
        <v>516</v>
      </c>
      <c r="H30" s="495"/>
      <c r="I30" s="495"/>
      <c r="J30" s="446"/>
      <c r="K30" s="447"/>
    </row>
    <row r="31" spans="1:14" s="2124" customFormat="1" ht="13.5" customHeight="1">
      <c r="A31" s="2504" t="s">
        <v>1867</v>
      </c>
      <c r="B31" s="1329"/>
      <c r="C31" s="499">
        <f>ROUND(C6*F31/(1+'数据-取费表'!C42),0)</f>
        <v>0</v>
      </c>
      <c r="D31" s="1330"/>
      <c r="E31" s="1330"/>
      <c r="F31" s="500">
        <f>'数据-取费表'!B41</f>
        <v>6.2719999999999998E-2</v>
      </c>
      <c r="G31" s="1331"/>
      <c r="H31" s="1331"/>
      <c r="I31" s="1331"/>
      <c r="J31" s="1332"/>
      <c r="K31" s="1333"/>
    </row>
    <row r="32" spans="1:14" s="2083"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5" t="s">
        <v>2456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c r="A3" s="1379" t="s">
        <v>1687</v>
      </c>
      <c r="B3" s="509"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7"/>
      <c r="AC3" s="427"/>
    </row>
    <row r="4" spans="1:29" s="1335" customFormat="1" ht="28.5" customHeight="1">
      <c r="A4" s="510" t="s">
        <v>521</v>
      </c>
      <c r="B4" s="426"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7"/>
    </row>
    <row r="6" spans="1:29" ht="15">
      <c r="A6" s="511" t="s">
        <v>522</v>
      </c>
      <c r="B6" s="512"/>
      <c r="C6" s="3424" t="s">
        <v>523</v>
      </c>
      <c r="D6" s="3425"/>
      <c r="E6" s="3450" t="s">
        <v>524</v>
      </c>
      <c r="F6" s="3451"/>
      <c r="G6" s="3424" t="s">
        <v>525</v>
      </c>
      <c r="H6" s="3425"/>
      <c r="I6" s="3424" t="s">
        <v>526</v>
      </c>
      <c r="J6" s="3425"/>
      <c r="K6" s="513" t="s">
        <v>527</v>
      </c>
      <c r="L6" s="2131"/>
      <c r="M6" s="2132"/>
      <c r="N6" s="2132"/>
      <c r="O6" s="2132"/>
      <c r="P6" s="3426" t="s">
        <v>528</v>
      </c>
      <c r="Q6" s="3427"/>
      <c r="R6" s="3412" t="s">
        <v>524</v>
      </c>
      <c r="S6" s="3413"/>
      <c r="T6" s="3412" t="s">
        <v>525</v>
      </c>
      <c r="U6" s="3413"/>
      <c r="V6" s="3432" t="s">
        <v>526</v>
      </c>
      <c r="W6" s="3432"/>
      <c r="X6" s="1566"/>
      <c r="Y6" s="3412" t="s">
        <v>528</v>
      </c>
      <c r="Z6" s="3413"/>
      <c r="AA6" s="3407" t="s">
        <v>524</v>
      </c>
      <c r="AB6" s="3408" t="s">
        <v>525</v>
      </c>
      <c r="AC6" s="3407" t="s">
        <v>526</v>
      </c>
    </row>
    <row r="7" spans="1:29" ht="15">
      <c r="A7" s="514"/>
      <c r="B7" s="515"/>
      <c r="C7" s="3437" t="s">
        <v>2932</v>
      </c>
      <c r="D7" s="3436"/>
      <c r="E7" s="3452" t="s">
        <v>2933</v>
      </c>
      <c r="F7" s="3453"/>
      <c r="G7" s="3437" t="s">
        <v>2934</v>
      </c>
      <c r="H7" s="3436"/>
      <c r="I7" s="3437" t="s">
        <v>2935</v>
      </c>
      <c r="J7" s="3436"/>
      <c r="K7" s="513"/>
      <c r="L7" s="2131"/>
      <c r="M7" s="2132"/>
      <c r="N7" s="2132"/>
      <c r="O7" s="2132"/>
      <c r="P7" s="3428"/>
      <c r="Q7" s="3429"/>
      <c r="R7" s="3414"/>
      <c r="S7" s="3415"/>
      <c r="T7" s="3414"/>
      <c r="U7" s="3415"/>
      <c r="V7" s="3432"/>
      <c r="W7" s="3432"/>
      <c r="X7" s="1566"/>
      <c r="Y7" s="3414"/>
      <c r="Z7" s="3415"/>
      <c r="AA7" s="3408"/>
      <c r="AB7" s="3408"/>
      <c r="AC7" s="3408"/>
    </row>
    <row r="8" spans="1:29" ht="15.75" thickBot="1">
      <c r="A8" s="516"/>
      <c r="B8" s="517"/>
      <c r="C8" s="3454" t="s">
        <v>2936</v>
      </c>
      <c r="D8" s="3434"/>
      <c r="E8" s="3455" t="s">
        <v>2936</v>
      </c>
      <c r="F8" s="3456"/>
      <c r="G8" s="3454" t="s">
        <v>2936</v>
      </c>
      <c r="H8" s="3434"/>
      <c r="I8" s="3454" t="s">
        <v>2936</v>
      </c>
      <c r="J8" s="3434"/>
      <c r="K8" s="513" t="s">
        <v>529</v>
      </c>
      <c r="L8" s="2131"/>
      <c r="M8" s="2132"/>
      <c r="N8" s="2132"/>
      <c r="O8" s="2132"/>
      <c r="P8" s="3430"/>
      <c r="Q8" s="3431"/>
      <c r="R8" s="3414"/>
      <c r="S8" s="3415"/>
      <c r="T8" s="3416"/>
      <c r="U8" s="3417"/>
      <c r="V8" s="3432"/>
      <c r="W8" s="3432"/>
      <c r="X8" s="1566"/>
      <c r="Y8" s="3416"/>
      <c r="Z8" s="3417"/>
      <c r="AA8" s="3409"/>
      <c r="AB8" s="3409"/>
      <c r="AC8" s="3409"/>
    </row>
    <row r="9" spans="1:29" s="1219" customFormat="1" ht="15.75" thickBot="1">
      <c r="A9" s="2936"/>
      <c r="B9" s="2943" t="s">
        <v>530</v>
      </c>
      <c r="C9" s="518">
        <f>'数据-取费表'!B2</f>
        <v>43104</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10" t="s">
        <v>531</v>
      </c>
      <c r="Q9" s="3419"/>
      <c r="R9" s="1567" t="s">
        <v>8</v>
      </c>
      <c r="S9" s="1568">
        <f t="shared" ref="S9:S17" si="0">F9</f>
        <v>0</v>
      </c>
      <c r="T9" s="1567" t="s">
        <v>8</v>
      </c>
      <c r="U9" s="1568">
        <f t="shared" ref="U9:U17" si="1">H9</f>
        <v>0</v>
      </c>
      <c r="V9" s="1567" t="s">
        <v>8</v>
      </c>
      <c r="W9" s="1568">
        <f t="shared" ref="W9:W17" si="2">J9</f>
        <v>0</v>
      </c>
      <c r="X9" s="1569"/>
      <c r="Y9" s="3410" t="s">
        <v>531</v>
      </c>
      <c r="Z9" s="3411"/>
      <c r="AA9" s="1570" t="e">
        <f>D9/F9</f>
        <v>#DIV/0!</v>
      </c>
      <c r="AB9" s="1570" t="e">
        <f>D9/H9</f>
        <v>#DIV/0!</v>
      </c>
      <c r="AC9" s="1570" t="e">
        <f>D9/J9</f>
        <v>#DIV/0!</v>
      </c>
    </row>
    <row r="10" spans="1:29" s="1219" customFormat="1" ht="15.75" thickBot="1">
      <c r="A10" s="2937"/>
      <c r="B10" s="2944"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10" t="s">
        <v>534</v>
      </c>
      <c r="Q10" s="3411"/>
      <c r="R10" s="1567" t="s">
        <v>8</v>
      </c>
      <c r="S10" s="1568">
        <f t="shared" si="0"/>
        <v>0</v>
      </c>
      <c r="T10" s="1567" t="s">
        <v>8</v>
      </c>
      <c r="U10" s="1568">
        <f t="shared" si="1"/>
        <v>0</v>
      </c>
      <c r="V10" s="1567" t="s">
        <v>8</v>
      </c>
      <c r="W10" s="1568">
        <f t="shared" si="2"/>
        <v>0</v>
      </c>
      <c r="X10" s="1569"/>
      <c r="Y10" s="3410" t="s">
        <v>534</v>
      </c>
      <c r="Z10" s="3411"/>
      <c r="AA10" s="1570" t="e">
        <f t="shared" ref="AA10:AA42" si="3">D10/F10</f>
        <v>#DIV/0!</v>
      </c>
      <c r="AB10" s="1570" t="e">
        <f t="shared" ref="AB10:AB42" si="4">D10/H10</f>
        <v>#DIV/0!</v>
      </c>
      <c r="AC10" s="1570" t="e">
        <f t="shared" ref="AC10:AC42" si="5">D10/J10</f>
        <v>#DIV/0!</v>
      </c>
    </row>
    <row r="11" spans="1:29" s="1219" customFormat="1" ht="15">
      <c r="A11" s="2938"/>
      <c r="B11" s="2945" t="s">
        <v>2761</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418" t="s">
        <v>536</v>
      </c>
      <c r="Q11" s="1150" t="str">
        <f t="shared" ref="Q11:Q17" si="6">B11</f>
        <v>用途</v>
      </c>
      <c r="R11" s="1567" t="s">
        <v>8</v>
      </c>
      <c r="S11" s="1568">
        <f t="shared" si="0"/>
        <v>100</v>
      </c>
      <c r="T11" s="1567" t="s">
        <v>8</v>
      </c>
      <c r="U11" s="1568">
        <f t="shared" si="1"/>
        <v>100</v>
      </c>
      <c r="V11" s="1567" t="s">
        <v>8</v>
      </c>
      <c r="W11" s="1568">
        <f t="shared" si="2"/>
        <v>100</v>
      </c>
      <c r="X11" s="1569"/>
      <c r="Y11" s="3375" t="s">
        <v>537</v>
      </c>
      <c r="Z11" s="1149" t="str">
        <f t="shared" ref="Z11:Z17" si="7">Q11</f>
        <v>用途</v>
      </c>
      <c r="AA11" s="1570">
        <f t="shared" si="3"/>
        <v>1</v>
      </c>
      <c r="AB11" s="1570">
        <f t="shared" si="4"/>
        <v>1</v>
      </c>
      <c r="AC11" s="1570">
        <f t="shared" si="5"/>
        <v>1</v>
      </c>
    </row>
    <row r="12" spans="1:29" s="1337" customFormat="1" ht="27">
      <c r="A12" s="2939"/>
      <c r="B12" s="2944" t="s">
        <v>2762</v>
      </c>
      <c r="C12" s="527"/>
      <c r="D12" s="254">
        <v>100</v>
      </c>
      <c r="E12" s="527"/>
      <c r="F12" s="254">
        <f>ROUND(100/'数据-取费表'!G16,0)</f>
        <v>101</v>
      </c>
      <c r="G12" s="527"/>
      <c r="H12" s="254">
        <f>ROUND(100/'数据-取费表'!G16,0)</f>
        <v>101</v>
      </c>
      <c r="I12" s="527"/>
      <c r="J12" s="254">
        <f>ROUND(100/'数据-取费表'!G16,0)</f>
        <v>101</v>
      </c>
      <c r="K12" s="530"/>
      <c r="L12" s="2136"/>
      <c r="M12" s="2176"/>
      <c r="N12" s="2176"/>
      <c r="O12" s="2137"/>
      <c r="P12" s="3418"/>
      <c r="Q12" s="1150" t="str">
        <f t="shared" si="6"/>
        <v>土地使用年限（年）</v>
      </c>
      <c r="R12" s="1567" t="s">
        <v>8</v>
      </c>
      <c r="S12" s="1568">
        <f t="shared" si="0"/>
        <v>101</v>
      </c>
      <c r="T12" s="1567" t="s">
        <v>8</v>
      </c>
      <c r="U12" s="1568">
        <f t="shared" si="1"/>
        <v>101</v>
      </c>
      <c r="V12" s="1567" t="s">
        <v>8</v>
      </c>
      <c r="W12" s="1568">
        <f t="shared" si="2"/>
        <v>101</v>
      </c>
      <c r="X12" s="1569"/>
      <c r="Y12" s="3375"/>
      <c r="Z12" s="1149" t="str">
        <f t="shared" si="7"/>
        <v>土地使用年限（年）</v>
      </c>
      <c r="AA12" s="1570">
        <f t="shared" si="3"/>
        <v>0.99009900990099009</v>
      </c>
      <c r="AB12" s="1570">
        <f t="shared" si="4"/>
        <v>0.99009900990099009</v>
      </c>
      <c r="AC12" s="1570">
        <f t="shared" si="5"/>
        <v>0.99009900990099009</v>
      </c>
    </row>
    <row r="13" spans="1:29" ht="15">
      <c r="A13" s="2940"/>
      <c r="B13" s="2944" t="s">
        <v>2763</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418"/>
      <c r="Q13" s="1150" t="str">
        <f t="shared" si="6"/>
        <v>容积率</v>
      </c>
      <c r="R13" s="1567" t="s">
        <v>8</v>
      </c>
      <c r="S13" s="1568" t="e">
        <f t="shared" si="0"/>
        <v>#N/A</v>
      </c>
      <c r="T13" s="1567" t="s">
        <v>8</v>
      </c>
      <c r="U13" s="1568" t="e">
        <f t="shared" si="1"/>
        <v>#N/A</v>
      </c>
      <c r="V13" s="1567" t="s">
        <v>8</v>
      </c>
      <c r="W13" s="1568" t="e">
        <f t="shared" si="2"/>
        <v>#N/A</v>
      </c>
      <c r="X13" s="1569"/>
      <c r="Y13" s="3375"/>
      <c r="Z13" s="1149" t="str">
        <f t="shared" si="7"/>
        <v>容积率</v>
      </c>
      <c r="AA13" s="1570" t="e">
        <f t="shared" si="3"/>
        <v>#N/A</v>
      </c>
      <c r="AB13" s="1570" t="e">
        <f t="shared" si="4"/>
        <v>#N/A</v>
      </c>
      <c r="AC13" s="1570" t="e">
        <f t="shared" si="5"/>
        <v>#N/A</v>
      </c>
    </row>
    <row r="14" spans="1:29" s="1219"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418"/>
      <c r="Q14" s="1150">
        <f t="shared" si="6"/>
        <v>111</v>
      </c>
      <c r="R14" s="1567" t="s">
        <v>8</v>
      </c>
      <c r="S14" s="1568">
        <f t="shared" si="0"/>
        <v>100</v>
      </c>
      <c r="T14" s="1567" t="s">
        <v>8</v>
      </c>
      <c r="U14" s="1568">
        <f t="shared" si="1"/>
        <v>100</v>
      </c>
      <c r="V14" s="1567" t="s">
        <v>8</v>
      </c>
      <c r="W14" s="1568">
        <f t="shared" si="2"/>
        <v>100</v>
      </c>
      <c r="X14" s="1569"/>
      <c r="Y14" s="3375"/>
      <c r="Z14" s="1149">
        <f t="shared" si="7"/>
        <v>111</v>
      </c>
      <c r="AA14" s="1570">
        <f>D14/F14</f>
        <v>1</v>
      </c>
      <c r="AB14" s="1570">
        <f>D14/H14</f>
        <v>1</v>
      </c>
      <c r="AC14" s="1570">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418"/>
      <c r="Q15" s="1150">
        <f t="shared" si="6"/>
        <v>111</v>
      </c>
      <c r="R15" s="1567" t="s">
        <v>8</v>
      </c>
      <c r="S15" s="1568">
        <f t="shared" si="0"/>
        <v>100</v>
      </c>
      <c r="T15" s="1567" t="s">
        <v>8</v>
      </c>
      <c r="U15" s="1568">
        <f t="shared" si="1"/>
        <v>100</v>
      </c>
      <c r="V15" s="1567" t="s">
        <v>8</v>
      </c>
      <c r="W15" s="1568">
        <f t="shared" si="2"/>
        <v>100</v>
      </c>
      <c r="X15" s="1569"/>
      <c r="Y15" s="3375"/>
      <c r="Z15" s="1149">
        <f t="shared" si="7"/>
        <v>111</v>
      </c>
      <c r="AA15" s="1570">
        <f t="shared" si="3"/>
        <v>1</v>
      </c>
      <c r="AB15" s="1570">
        <f t="shared" si="4"/>
        <v>1</v>
      </c>
      <c r="AC15" s="1570">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418"/>
      <c r="Q16" s="1150">
        <f t="shared" si="6"/>
        <v>111</v>
      </c>
      <c r="R16" s="1567" t="s">
        <v>8</v>
      </c>
      <c r="S16" s="1568">
        <f t="shared" si="0"/>
        <v>100</v>
      </c>
      <c r="T16" s="1567" t="s">
        <v>8</v>
      </c>
      <c r="U16" s="1568">
        <f t="shared" si="1"/>
        <v>100</v>
      </c>
      <c r="V16" s="1567" t="s">
        <v>8</v>
      </c>
      <c r="W16" s="1568">
        <f t="shared" si="2"/>
        <v>100</v>
      </c>
      <c r="X16" s="1569"/>
      <c r="Y16" s="3375"/>
      <c r="Z16" s="1149">
        <f t="shared" si="7"/>
        <v>111</v>
      </c>
      <c r="AA16" s="1570">
        <f t="shared" si="3"/>
        <v>1</v>
      </c>
      <c r="AB16" s="1570">
        <f t="shared" si="4"/>
        <v>1</v>
      </c>
      <c r="AC16" s="1570">
        <f t="shared" si="5"/>
        <v>1</v>
      </c>
    </row>
    <row r="17" spans="1:29" ht="57">
      <c r="A17" s="2934" t="s">
        <v>2759</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20" t="s">
        <v>541</v>
      </c>
      <c r="Q17" s="1571" t="str">
        <f t="shared" si="6"/>
        <v>产业集聚程度</v>
      </c>
      <c r="R17" s="1572" t="s">
        <v>8</v>
      </c>
      <c r="S17" s="1573">
        <f t="shared" si="0"/>
        <v>100</v>
      </c>
      <c r="T17" s="1572" t="s">
        <v>8</v>
      </c>
      <c r="U17" s="1573">
        <f t="shared" si="1"/>
        <v>100</v>
      </c>
      <c r="V17" s="1572" t="s">
        <v>8</v>
      </c>
      <c r="W17" s="1573">
        <f t="shared" si="2"/>
        <v>100</v>
      </c>
      <c r="X17" s="1566"/>
      <c r="Y17" s="3420" t="s">
        <v>541</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0"/>
      <c r="M18" s="2132"/>
      <c r="N18" s="2132"/>
      <c r="O18" s="2139"/>
      <c r="P18" s="3421"/>
      <c r="Q18" s="1571"/>
      <c r="R18" s="1572"/>
      <c r="S18" s="1573"/>
      <c r="T18" s="1572"/>
      <c r="U18" s="1573"/>
      <c r="V18" s="1572"/>
      <c r="W18" s="1573"/>
      <c r="X18" s="1566"/>
      <c r="Y18" s="3421"/>
      <c r="Z18" s="1574"/>
      <c r="AA18" s="1575">
        <v>1</v>
      </c>
      <c r="AB18" s="1575">
        <v>1</v>
      </c>
      <c r="AC18" s="1575">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21"/>
      <c r="Q19" s="1571" t="str">
        <f>B19</f>
        <v>交通便捷度</v>
      </c>
      <c r="R19" s="1572" t="s">
        <v>8</v>
      </c>
      <c r="S19" s="1573">
        <f>F19</f>
        <v>100</v>
      </c>
      <c r="T19" s="1572" t="s">
        <v>8</v>
      </c>
      <c r="U19" s="1573">
        <f>H19</f>
        <v>100</v>
      </c>
      <c r="V19" s="1572" t="s">
        <v>8</v>
      </c>
      <c r="W19" s="1573">
        <f>J19</f>
        <v>100</v>
      </c>
      <c r="X19" s="1566"/>
      <c r="Y19" s="3421"/>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0"/>
      <c r="M20" s="2132"/>
      <c r="N20" s="2132"/>
      <c r="O20" s="2139"/>
      <c r="P20" s="3421"/>
      <c r="Q20" s="1571"/>
      <c r="R20" s="1572"/>
      <c r="S20" s="1573"/>
      <c r="T20" s="1572"/>
      <c r="U20" s="1573"/>
      <c r="V20" s="1572"/>
      <c r="W20" s="1573"/>
      <c r="X20" s="1566"/>
      <c r="Y20" s="3421"/>
      <c r="Z20" s="1574"/>
      <c r="AA20" s="1575">
        <v>1</v>
      </c>
      <c r="AB20" s="1575">
        <v>1</v>
      </c>
      <c r="AC20" s="1575">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21"/>
      <c r="Q21" s="1571" t="str">
        <f t="shared" ref="Q21:Q35" si="8">B21</f>
        <v>区域土地利用方向</v>
      </c>
      <c r="R21" s="1572" t="s">
        <v>8</v>
      </c>
      <c r="S21" s="1573">
        <f>F21</f>
        <v>100</v>
      </c>
      <c r="T21" s="1572" t="s">
        <v>8</v>
      </c>
      <c r="U21" s="1573">
        <f>H21</f>
        <v>100</v>
      </c>
      <c r="V21" s="1572" t="s">
        <v>8</v>
      </c>
      <c r="W21" s="1573">
        <f>J21</f>
        <v>100</v>
      </c>
      <c r="X21" s="1566"/>
      <c r="Y21" s="3421"/>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0"/>
      <c r="M22" s="2132"/>
      <c r="N22" s="2132"/>
      <c r="O22" s="2139"/>
      <c r="P22" s="3421"/>
      <c r="Q22" s="1571"/>
      <c r="R22" s="1572"/>
      <c r="S22" s="1573"/>
      <c r="T22" s="1572"/>
      <c r="U22" s="1573"/>
      <c r="V22" s="1572"/>
      <c r="W22" s="1573"/>
      <c r="X22" s="1566"/>
      <c r="Y22" s="3421"/>
      <c r="Z22" s="1574"/>
      <c r="AA22" s="1575"/>
      <c r="AB22" s="1575"/>
      <c r="AC22" s="1575"/>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21"/>
      <c r="Q23" s="1571" t="str">
        <f t="shared" si="8"/>
        <v>环境状况</v>
      </c>
      <c r="R23" s="1572" t="s">
        <v>8</v>
      </c>
      <c r="S23" s="1573">
        <f>F23</f>
        <v>100</v>
      </c>
      <c r="T23" s="1572" t="s">
        <v>8</v>
      </c>
      <c r="U23" s="1573">
        <f>H23</f>
        <v>100</v>
      </c>
      <c r="V23" s="1572" t="s">
        <v>8</v>
      </c>
      <c r="W23" s="1573">
        <f>J23</f>
        <v>100</v>
      </c>
      <c r="X23" s="1566"/>
      <c r="Y23" s="3421"/>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0"/>
      <c r="M24" s="2132"/>
      <c r="N24" s="2132"/>
      <c r="O24" s="2139"/>
      <c r="P24" s="3421"/>
      <c r="Q24" s="1571"/>
      <c r="R24" s="1572"/>
      <c r="S24" s="1573"/>
      <c r="T24" s="1572"/>
      <c r="U24" s="1573"/>
      <c r="V24" s="1572"/>
      <c r="W24" s="1573"/>
      <c r="X24" s="1566"/>
      <c r="Y24" s="3421"/>
      <c r="Z24" s="1574"/>
      <c r="AA24" s="1575">
        <v>1</v>
      </c>
      <c r="AB24" s="1575">
        <v>1</v>
      </c>
      <c r="AC24" s="1575">
        <v>1</v>
      </c>
    </row>
    <row r="25" spans="1:29" s="1219" customFormat="1" ht="42.75">
      <c r="A25" s="576"/>
      <c r="B25" s="2615" t="s">
        <v>2551</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21"/>
      <c r="Q25" s="1150" t="str">
        <f t="shared" si="8"/>
        <v>公共配套设施</v>
      </c>
      <c r="R25" s="1567" t="s">
        <v>8</v>
      </c>
      <c r="S25" s="1568">
        <f>F25</f>
        <v>100</v>
      </c>
      <c r="T25" s="1567" t="s">
        <v>8</v>
      </c>
      <c r="U25" s="1568">
        <f>H25</f>
        <v>100</v>
      </c>
      <c r="V25" s="1567" t="s">
        <v>8</v>
      </c>
      <c r="W25" s="1568">
        <f>J25</f>
        <v>100</v>
      </c>
      <c r="X25" s="1569"/>
      <c r="Y25" s="3421"/>
      <c r="Z25" s="1149" t="str">
        <f>Q25</f>
        <v>公共配套设施</v>
      </c>
      <c r="AA25" s="1575">
        <f>D25/F25</f>
        <v>1</v>
      </c>
      <c r="AB25" s="1575">
        <f>D25/H25</f>
        <v>1</v>
      </c>
      <c r="AC25" s="1575">
        <f>D25/J25</f>
        <v>1</v>
      </c>
    </row>
    <row r="26" spans="1:29" s="1219" customFormat="1" ht="15">
      <c r="A26" s="576"/>
      <c r="B26" s="594"/>
      <c r="C26" s="2614"/>
      <c r="D26" s="554"/>
      <c r="E26" s="553"/>
      <c r="F26" s="554"/>
      <c r="G26" s="553"/>
      <c r="H26" s="554"/>
      <c r="I26" s="575"/>
      <c r="J26" s="554"/>
      <c r="K26" s="530"/>
      <c r="L26" s="2133"/>
      <c r="M26" s="2134"/>
      <c r="N26" s="2134"/>
      <c r="O26" s="2135"/>
      <c r="P26" s="3421"/>
      <c r="Q26" s="1150"/>
      <c r="R26" s="1567"/>
      <c r="S26" s="1568"/>
      <c r="T26" s="1567"/>
      <c r="U26" s="1568"/>
      <c r="V26" s="1567"/>
      <c r="W26" s="1568"/>
      <c r="X26" s="1569"/>
      <c r="Y26" s="3421"/>
      <c r="Z26" s="1149"/>
      <c r="AA26" s="1570">
        <v>1</v>
      </c>
      <c r="AB26" s="1570">
        <v>1</v>
      </c>
      <c r="AC26" s="1570">
        <v>1</v>
      </c>
    </row>
    <row r="27" spans="1:29" s="1219" customFormat="1" ht="28.5">
      <c r="A27" s="576"/>
      <c r="B27" s="2615" t="s">
        <v>2552</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21"/>
      <c r="Q27" s="2600" t="str">
        <f t="shared" ref="Q27" si="9">B27</f>
        <v>基础设施水平</v>
      </c>
      <c r="R27" s="1567" t="s">
        <v>8</v>
      </c>
      <c r="S27" s="1568">
        <f>F27</f>
        <v>100</v>
      </c>
      <c r="T27" s="1567" t="s">
        <v>8</v>
      </c>
      <c r="U27" s="1568">
        <f>H27</f>
        <v>100</v>
      </c>
      <c r="V27" s="1567" t="s">
        <v>8</v>
      </c>
      <c r="W27" s="1568">
        <f>J27</f>
        <v>100</v>
      </c>
      <c r="X27" s="1569"/>
      <c r="Y27" s="3421"/>
      <c r="Z27" s="2597" t="str">
        <f>Q27</f>
        <v>基础设施水平</v>
      </c>
      <c r="AA27" s="1575">
        <f>D27/F27</f>
        <v>1</v>
      </c>
      <c r="AB27" s="1575">
        <f>D27/H27</f>
        <v>1</v>
      </c>
      <c r="AC27" s="1575">
        <f>D27/J27</f>
        <v>1</v>
      </c>
    </row>
    <row r="28" spans="1:29" s="1219" customFormat="1" ht="15">
      <c r="A28" s="576"/>
      <c r="B28" s="594"/>
      <c r="C28" s="2614"/>
      <c r="D28" s="554"/>
      <c r="E28" s="578"/>
      <c r="F28" s="554"/>
      <c r="G28" s="578"/>
      <c r="H28" s="554"/>
      <c r="I28" s="578"/>
      <c r="J28" s="554"/>
      <c r="K28" s="530"/>
      <c r="L28" s="2133"/>
      <c r="M28" s="2134"/>
      <c r="N28" s="2134"/>
      <c r="O28" s="2135"/>
      <c r="P28" s="3421"/>
      <c r="Q28" s="2600"/>
      <c r="R28" s="1567"/>
      <c r="S28" s="1568"/>
      <c r="T28" s="1567"/>
      <c r="U28" s="1568"/>
      <c r="V28" s="1567"/>
      <c r="W28" s="1568"/>
      <c r="X28" s="1569"/>
      <c r="Y28" s="3421"/>
      <c r="Z28" s="2597"/>
      <c r="AA28" s="1570">
        <v>1</v>
      </c>
      <c r="AB28" s="1570">
        <v>1</v>
      </c>
      <c r="AC28" s="1570">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2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1"/>
      <c r="Z29" s="1574" t="str">
        <f t="shared" ref="Z29:Z42" si="13">Q29</f>
        <v>临街状况</v>
      </c>
      <c r="AA29" s="1575">
        <f t="shared" si="3"/>
        <v>1</v>
      </c>
      <c r="AB29" s="1575">
        <f t="shared" si="4"/>
        <v>1</v>
      </c>
      <c r="AC29" s="1575">
        <f t="shared" si="5"/>
        <v>1</v>
      </c>
    </row>
    <row r="30" spans="1:29" ht="27">
      <c r="A30" s="531"/>
      <c r="B30" s="921" t="s">
        <v>549</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21"/>
      <c r="Q30" s="1571" t="str">
        <f t="shared" si="8"/>
        <v>毗邻道路的类型与等级</v>
      </c>
      <c r="R30" s="1572" t="s">
        <v>8</v>
      </c>
      <c r="S30" s="1573">
        <f t="shared" si="10"/>
        <v>100</v>
      </c>
      <c r="T30" s="1572" t="s">
        <v>8</v>
      </c>
      <c r="U30" s="1573">
        <f t="shared" si="11"/>
        <v>100</v>
      </c>
      <c r="V30" s="1572" t="s">
        <v>8</v>
      </c>
      <c r="W30" s="1573">
        <f t="shared" si="12"/>
        <v>100</v>
      </c>
      <c r="X30" s="1566"/>
      <c r="Y30" s="3421"/>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0"/>
      <c r="M31" s="2132"/>
      <c r="N31" s="2132"/>
      <c r="O31" s="2139"/>
      <c r="P31" s="3421"/>
      <c r="Q31" s="1571"/>
      <c r="R31" s="1572"/>
      <c r="S31" s="1573"/>
      <c r="T31" s="1572"/>
      <c r="U31" s="1573"/>
      <c r="V31" s="1572"/>
      <c r="W31" s="1573"/>
      <c r="X31" s="1566"/>
      <c r="Y31" s="3421"/>
      <c r="Z31" s="1574"/>
      <c r="AA31" s="1575">
        <v>1</v>
      </c>
      <c r="AB31" s="1575">
        <v>1</v>
      </c>
      <c r="AC31" s="1575">
        <v>1</v>
      </c>
    </row>
    <row r="32" spans="1:29" ht="15">
      <c r="A32" s="531"/>
      <c r="B32" s="526" t="s">
        <v>550</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21"/>
      <c r="Q32" s="1571" t="str">
        <f t="shared" si="8"/>
        <v>土地级别</v>
      </c>
      <c r="R32" s="1572" t="s">
        <v>8</v>
      </c>
      <c r="S32" s="1573">
        <f t="shared" si="10"/>
        <v>100</v>
      </c>
      <c r="T32" s="1572" t="s">
        <v>8</v>
      </c>
      <c r="U32" s="1573">
        <f t="shared" si="11"/>
        <v>100</v>
      </c>
      <c r="V32" s="1572" t="s">
        <v>8</v>
      </c>
      <c r="W32" s="1573">
        <f t="shared" si="12"/>
        <v>100</v>
      </c>
      <c r="X32" s="1566"/>
      <c r="Y32" s="3421"/>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21"/>
      <c r="Q33" s="1571">
        <f t="shared" si="8"/>
        <v>111</v>
      </c>
      <c r="R33" s="1572" t="s">
        <v>8</v>
      </c>
      <c r="S33" s="1573">
        <f t="shared" si="10"/>
        <v>100</v>
      </c>
      <c r="T33" s="1572" t="s">
        <v>8</v>
      </c>
      <c r="U33" s="1573">
        <f t="shared" si="11"/>
        <v>100</v>
      </c>
      <c r="V33" s="1572" t="s">
        <v>8</v>
      </c>
      <c r="W33" s="1573">
        <f t="shared" si="12"/>
        <v>100</v>
      </c>
      <c r="X33" s="1566"/>
      <c r="Y33" s="3421"/>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22" t="s">
        <v>551</v>
      </c>
      <c r="Q34" s="1571">
        <f t="shared" si="8"/>
        <v>111</v>
      </c>
      <c r="R34" s="1572" t="s">
        <v>8</v>
      </c>
      <c r="S34" s="1573">
        <f t="shared" si="10"/>
        <v>100</v>
      </c>
      <c r="T34" s="1572" t="s">
        <v>8</v>
      </c>
      <c r="U34" s="1573">
        <f t="shared" si="11"/>
        <v>100</v>
      </c>
      <c r="V34" s="1572" t="s">
        <v>8</v>
      </c>
      <c r="W34" s="1573">
        <f t="shared" si="12"/>
        <v>100</v>
      </c>
      <c r="X34" s="1566"/>
      <c r="Y34" s="3423" t="s">
        <v>551</v>
      </c>
      <c r="Z34" s="1574">
        <f t="shared" si="13"/>
        <v>111</v>
      </c>
      <c r="AA34" s="1575">
        <f t="shared" si="3"/>
        <v>1</v>
      </c>
      <c r="AB34" s="1575">
        <f t="shared" si="4"/>
        <v>1</v>
      </c>
      <c r="AC34" s="1575">
        <f t="shared" si="5"/>
        <v>1</v>
      </c>
    </row>
    <row r="35" spans="1:29" s="1338" customFormat="1" ht="15.75" thickBot="1">
      <c r="A35" s="588"/>
      <c r="B35" s="261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23"/>
      <c r="Q35" s="1571">
        <f t="shared" si="8"/>
        <v>111</v>
      </c>
      <c r="R35" s="1576" t="s">
        <v>8</v>
      </c>
      <c r="S35" s="1577">
        <f t="shared" si="10"/>
        <v>100</v>
      </c>
      <c r="T35" s="1576" t="s">
        <v>8</v>
      </c>
      <c r="U35" s="1577">
        <f t="shared" si="11"/>
        <v>100</v>
      </c>
      <c r="V35" s="1576" t="s">
        <v>8</v>
      </c>
      <c r="W35" s="1577">
        <f t="shared" si="12"/>
        <v>100</v>
      </c>
      <c r="X35" s="1578"/>
      <c r="Y35" s="3423"/>
      <c r="Z35" s="1579">
        <f t="shared" si="13"/>
        <v>111</v>
      </c>
      <c r="AA35" s="1575">
        <f t="shared" si="3"/>
        <v>1</v>
      </c>
      <c r="AB35" s="1575">
        <f t="shared" si="4"/>
        <v>1</v>
      </c>
      <c r="AC35" s="1575">
        <f t="shared" si="5"/>
        <v>1</v>
      </c>
    </row>
    <row r="36" spans="1:29" ht="15">
      <c r="A36" s="2931" t="s">
        <v>2760</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23"/>
      <c r="Q36" s="1571" t="str">
        <f>B36</f>
        <v>宗地面积</v>
      </c>
      <c r="R36" s="1572" t="s">
        <v>8</v>
      </c>
      <c r="S36" s="1573" t="e">
        <f t="shared" si="10"/>
        <v>#N/A</v>
      </c>
      <c r="T36" s="1572" t="s">
        <v>8</v>
      </c>
      <c r="U36" s="1573" t="e">
        <f t="shared" si="11"/>
        <v>#N/A</v>
      </c>
      <c r="V36" s="1572" t="s">
        <v>8</v>
      </c>
      <c r="W36" s="1573" t="e">
        <f t="shared" si="12"/>
        <v>#N/A</v>
      </c>
      <c r="X36" s="1566"/>
      <c r="Y36" s="3423"/>
      <c r="Z36" s="1574" t="str">
        <f t="shared" si="13"/>
        <v>宗地面积</v>
      </c>
      <c r="AA36" s="1575" t="e">
        <f t="shared" si="3"/>
        <v>#N/A</v>
      </c>
      <c r="AB36" s="1575" t="e">
        <f t="shared" si="4"/>
        <v>#N/A</v>
      </c>
      <c r="AC36" s="1575"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23"/>
      <c r="Q37" s="1571" t="str">
        <f t="shared" ref="Q37:Q42" si="14">B37</f>
        <v>宗地形状</v>
      </c>
      <c r="R37" s="1572" t="s">
        <v>8</v>
      </c>
      <c r="S37" s="1573">
        <f t="shared" si="10"/>
        <v>100</v>
      </c>
      <c r="T37" s="1572" t="s">
        <v>8</v>
      </c>
      <c r="U37" s="1573">
        <f t="shared" si="11"/>
        <v>100</v>
      </c>
      <c r="V37" s="1572" t="s">
        <v>8</v>
      </c>
      <c r="W37" s="1573">
        <f t="shared" si="12"/>
        <v>100</v>
      </c>
      <c r="X37" s="1566"/>
      <c r="Y37" s="3423"/>
      <c r="Z37" s="1574" t="str">
        <f t="shared" si="13"/>
        <v>宗地形状</v>
      </c>
      <c r="AA37" s="1575">
        <f t="shared" si="3"/>
        <v>1</v>
      </c>
      <c r="AB37" s="1575">
        <f t="shared" si="4"/>
        <v>1</v>
      </c>
      <c r="AC37" s="1575">
        <f t="shared" si="5"/>
        <v>1</v>
      </c>
    </row>
    <row r="38" spans="1:29" s="1219" customFormat="1" ht="15">
      <c r="A38" s="599"/>
      <c r="B38" s="1893"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23"/>
      <c r="Q38" s="1571" t="str">
        <f t="shared" si="14"/>
        <v>宗地开发程度</v>
      </c>
      <c r="R38" s="1567" t="s">
        <v>8</v>
      </c>
      <c r="S38" s="1568">
        <f t="shared" si="10"/>
        <v>100</v>
      </c>
      <c r="T38" s="1567" t="s">
        <v>8</v>
      </c>
      <c r="U38" s="1568">
        <f t="shared" si="11"/>
        <v>100</v>
      </c>
      <c r="V38" s="1567" t="s">
        <v>8</v>
      </c>
      <c r="W38" s="1568">
        <f t="shared" si="12"/>
        <v>100</v>
      </c>
      <c r="X38" s="1569"/>
      <c r="Y38" s="3423"/>
      <c r="Z38" s="1149" t="str">
        <f t="shared" si="13"/>
        <v>宗地开发程度</v>
      </c>
      <c r="AA38" s="1570">
        <f t="shared" si="3"/>
        <v>1</v>
      </c>
      <c r="AB38" s="1570">
        <f t="shared" si="4"/>
        <v>1</v>
      </c>
      <c r="AC38" s="1570">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3" t="s">
        <v>602</v>
      </c>
      <c r="Q39" s="1571" t="str">
        <f t="shared" si="14"/>
        <v>工程地质条件</v>
      </c>
      <c r="R39" s="1572" t="s">
        <v>8</v>
      </c>
      <c r="S39" s="1573">
        <f t="shared" si="10"/>
        <v>100</v>
      </c>
      <c r="T39" s="1572" t="s">
        <v>8</v>
      </c>
      <c r="U39" s="1573">
        <f t="shared" si="11"/>
        <v>100</v>
      </c>
      <c r="V39" s="1572" t="s">
        <v>8</v>
      </c>
      <c r="W39" s="1573">
        <f t="shared" si="12"/>
        <v>100</v>
      </c>
      <c r="X39" s="1566"/>
      <c r="Y39" s="3423" t="s">
        <v>602</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23"/>
      <c r="Q40" s="1571">
        <f t="shared" si="14"/>
        <v>111</v>
      </c>
      <c r="R40" s="1572" t="s">
        <v>8</v>
      </c>
      <c r="S40" s="1573">
        <f t="shared" si="10"/>
        <v>100</v>
      </c>
      <c r="T40" s="1572" t="s">
        <v>8</v>
      </c>
      <c r="U40" s="1573">
        <f t="shared" si="11"/>
        <v>100</v>
      </c>
      <c r="V40" s="1572" t="s">
        <v>8</v>
      </c>
      <c r="W40" s="1573">
        <f t="shared" si="12"/>
        <v>100</v>
      </c>
      <c r="X40" s="1566"/>
      <c r="Y40" s="3423"/>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23"/>
      <c r="Q41" s="1571">
        <f t="shared" si="14"/>
        <v>111</v>
      </c>
      <c r="R41" s="1572" t="s">
        <v>8</v>
      </c>
      <c r="S41" s="1573">
        <f t="shared" si="10"/>
        <v>100</v>
      </c>
      <c r="T41" s="1572" t="s">
        <v>8</v>
      </c>
      <c r="U41" s="1573">
        <f t="shared" si="11"/>
        <v>100</v>
      </c>
      <c r="V41" s="1572" t="s">
        <v>8</v>
      </c>
      <c r="W41" s="1573">
        <f t="shared" si="12"/>
        <v>100</v>
      </c>
      <c r="X41" s="1566"/>
      <c r="Y41" s="3423"/>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23"/>
      <c r="Q42" s="1571">
        <f t="shared" si="14"/>
        <v>111</v>
      </c>
      <c r="R42" s="1576" t="s">
        <v>8</v>
      </c>
      <c r="S42" s="1577">
        <f t="shared" si="10"/>
        <v>100</v>
      </c>
      <c r="T42" s="1576" t="s">
        <v>8</v>
      </c>
      <c r="U42" s="1577">
        <f t="shared" si="11"/>
        <v>100</v>
      </c>
      <c r="V42" s="1576" t="s">
        <v>8</v>
      </c>
      <c r="W42" s="1577">
        <f t="shared" si="12"/>
        <v>100</v>
      </c>
      <c r="X42" s="1578"/>
      <c r="Y42" s="3423"/>
      <c r="Z42" s="1579">
        <f t="shared" si="13"/>
        <v>111</v>
      </c>
      <c r="AA42" s="1575">
        <f t="shared" si="3"/>
        <v>1</v>
      </c>
      <c r="AB42" s="1575">
        <f t="shared" si="4"/>
        <v>1</v>
      </c>
      <c r="AC42" s="1575">
        <f t="shared" si="5"/>
        <v>1</v>
      </c>
    </row>
    <row r="43" spans="1:29" ht="15">
      <c r="A43" s="606" t="s">
        <v>557</v>
      </c>
      <c r="B43" s="607" t="s">
        <v>2937</v>
      </c>
      <c r="C43" s="608" t="s">
        <v>1</v>
      </c>
      <c r="D43" s="609"/>
      <c r="E43" s="610"/>
      <c r="F43" s="611"/>
      <c r="G43" s="612"/>
      <c r="H43" s="613"/>
      <c r="I43" s="610"/>
      <c r="J43" s="613"/>
      <c r="K43" s="1339"/>
      <c r="L43" s="2142"/>
      <c r="M43" s="2132"/>
      <c r="N43" s="2132"/>
      <c r="O43" s="2143"/>
      <c r="P43" s="3418" t="str">
        <f>A43</f>
        <v>成交单价</v>
      </c>
      <c r="Q43" s="3418"/>
      <c r="R43" s="3432">
        <f>E43</f>
        <v>0</v>
      </c>
      <c r="S43" s="3432"/>
      <c r="T43" s="3432">
        <f>G43</f>
        <v>0</v>
      </c>
      <c r="U43" s="3432"/>
      <c r="V43" s="3432">
        <f>I43</f>
        <v>0</v>
      </c>
      <c r="W43" s="3432"/>
      <c r="X43" s="1558"/>
      <c r="Y43" s="1580"/>
      <c r="Z43" s="1558"/>
      <c r="AA43" s="1558"/>
      <c r="AB43" s="1558"/>
      <c r="AC43" s="1558"/>
    </row>
    <row r="44" spans="1:29" ht="15.75" thickBot="1">
      <c r="A44" s="614" t="s">
        <v>2698</v>
      </c>
      <c r="B44" s="615"/>
      <c r="C44" s="616" t="e">
        <f>R45</f>
        <v>#DIV/0!</v>
      </c>
      <c r="D44" s="617"/>
      <c r="E44" s="616" t="e">
        <f>R44</f>
        <v>#DIV/0!</v>
      </c>
      <c r="F44" s="618"/>
      <c r="G44" s="619" t="e">
        <f>T44</f>
        <v>#DIV/0!</v>
      </c>
      <c r="H44" s="617"/>
      <c r="I44" s="616" t="e">
        <f>V44</f>
        <v>#DIV/0!</v>
      </c>
      <c r="J44" s="617"/>
      <c r="K44" s="1340"/>
      <c r="L44" s="2142"/>
      <c r="M44" s="2132"/>
      <c r="N44" s="2132"/>
      <c r="O44" s="2143"/>
      <c r="P44" s="3418" t="str">
        <f>A44</f>
        <v>比较价格（元/平方米）</v>
      </c>
      <c r="Q44" s="3418"/>
      <c r="R44" s="3444" t="e">
        <f>ROUND(PRODUCT(R43,AA9:AA42),0)</f>
        <v>#DIV/0!</v>
      </c>
      <c r="S44" s="3444"/>
      <c r="T44" s="3444" t="e">
        <f>ROUND(PRODUCT(T43,AB9:AB42),0)</f>
        <v>#DIV/0!</v>
      </c>
      <c r="U44" s="3444"/>
      <c r="V44" s="3444" t="e">
        <f>ROUND(PRODUCT(V43,AC9:AC42),0)</f>
        <v>#DIV/0!</v>
      </c>
      <c r="W44" s="3444"/>
      <c r="X44" s="1558"/>
      <c r="Y44" s="1558"/>
      <c r="Z44" s="1558"/>
      <c r="AA44" s="1558"/>
      <c r="AB44" s="1558"/>
      <c r="AC44" s="1558"/>
    </row>
    <row r="45" spans="1:29" ht="15.75" thickBot="1">
      <c r="A45" s="620" t="s">
        <v>2938</v>
      </c>
      <c r="B45" s="621"/>
      <c r="C45" s="622" t="e">
        <f>R45</f>
        <v>#DIV/0!</v>
      </c>
      <c r="D45" s="622"/>
      <c r="E45" s="622"/>
      <c r="F45" s="622"/>
      <c r="G45" s="622"/>
      <c r="H45" s="622"/>
      <c r="I45" s="622"/>
      <c r="J45" s="622"/>
      <c r="K45" s="1341"/>
      <c r="L45" s="2142"/>
      <c r="M45" s="2132"/>
      <c r="N45" s="2132"/>
      <c r="O45" s="2143"/>
      <c r="P45" s="3441" t="str">
        <f>A45</f>
        <v>估价对象XX用房的比较价格（楼面单价，元/平方米）</v>
      </c>
      <c r="Q45" s="3442"/>
      <c r="R45" s="3443" t="e">
        <f>ROUND(AVERAGE(R44:V44),0)</f>
        <v>#DIV/0!</v>
      </c>
      <c r="S45" s="3443"/>
      <c r="T45" s="3443"/>
      <c r="U45" s="3443"/>
      <c r="V45" s="3443"/>
      <c r="W45" s="3443"/>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561</v>
      </c>
      <c r="B52" s="629" t="s">
        <v>562</v>
      </c>
      <c r="C52" s="1559" t="s">
        <v>1726</v>
      </c>
      <c r="D52" s="2225" t="s">
        <v>2295</v>
      </c>
      <c r="E52" s="630" t="s">
        <v>563</v>
      </c>
      <c r="F52" s="1949" t="s">
        <v>564</v>
      </c>
      <c r="G52" s="3445" t="s">
        <v>2286</v>
      </c>
      <c r="H52" s="3446"/>
      <c r="I52" s="1950" t="s">
        <v>1949</v>
      </c>
      <c r="J52" s="1554" t="str">
        <f>项目基本情况!F41</f>
        <v>四川省峨眉山市</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565</v>
      </c>
      <c r="B53" s="633" t="e">
        <f>C45</f>
        <v>#DIV/0!</v>
      </c>
      <c r="C53" s="634">
        <v>1</v>
      </c>
      <c r="D53" s="2226">
        <v>1</v>
      </c>
      <c r="E53" s="634">
        <f>'数据-汇总表'!E8+'数据-汇总表'!E9</f>
        <v>104990.39999999999</v>
      </c>
      <c r="F53" s="1948" t="e">
        <f t="shared" ref="F53:F62" si="15">ROUND(B53*E53/10000,0)</f>
        <v>#DIV/0!</v>
      </c>
      <c r="G53" s="3447"/>
      <c r="H53" s="3448"/>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566</v>
      </c>
      <c r="B54" s="637" t="e">
        <f>ROUND($C$45*C54*D54,0)</f>
        <v>#DIV/0!</v>
      </c>
      <c r="C54" s="377">
        <f t="shared" ref="C54:C62" si="16">IF($C$52="北京市系数",I54,J54)</f>
        <v>0</v>
      </c>
      <c r="D54" s="2227">
        <v>0.25</v>
      </c>
      <c r="E54" s="638"/>
      <c r="F54" s="1948" t="e">
        <f t="shared" si="15"/>
        <v>#DIV/0!</v>
      </c>
      <c r="G54" s="3449" t="s">
        <v>2287</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567</v>
      </c>
      <c r="B55" s="637" t="e">
        <f t="shared" ref="B55:B62" si="17">ROUND($C$45*C55*D55,0)</f>
        <v>#DIV/0!</v>
      </c>
      <c r="C55" s="377">
        <f t="shared" si="16"/>
        <v>0</v>
      </c>
      <c r="D55" s="2227">
        <v>0.25</v>
      </c>
      <c r="E55" s="638"/>
      <c r="F55" s="1948" t="e">
        <f t="shared" si="15"/>
        <v>#DIV/0!</v>
      </c>
      <c r="G55" s="3449"/>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568</v>
      </c>
      <c r="B56" s="637" t="e">
        <f t="shared" si="17"/>
        <v>#DIV/0!</v>
      </c>
      <c r="C56" s="377">
        <f t="shared" si="16"/>
        <v>0</v>
      </c>
      <c r="D56" s="2227">
        <v>0.25</v>
      </c>
      <c r="E56" s="638"/>
      <c r="F56" s="1948" t="e">
        <f t="shared" si="15"/>
        <v>#DIV/0!</v>
      </c>
      <c r="G56" s="3449"/>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569</v>
      </c>
      <c r="B57" s="637" t="e">
        <f t="shared" si="17"/>
        <v>#DIV/0!</v>
      </c>
      <c r="C57" s="377">
        <f t="shared" si="16"/>
        <v>0</v>
      </c>
      <c r="D57" s="2227">
        <v>0.25</v>
      </c>
      <c r="E57" s="638"/>
      <c r="F57" s="1948" t="e">
        <f t="shared" si="15"/>
        <v>#DIV/0!</v>
      </c>
      <c r="G57" s="3449"/>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2329</v>
      </c>
      <c r="B58" s="637" t="e">
        <f t="shared" si="17"/>
        <v>#DIV/0!</v>
      </c>
      <c r="C58" s="377">
        <f t="shared" si="16"/>
        <v>0</v>
      </c>
      <c r="D58" s="2227">
        <v>0.25</v>
      </c>
      <c r="E58" s="640">
        <f>'数据-汇总表'!E11</f>
        <v>0</v>
      </c>
      <c r="F58" s="1948" t="e">
        <f t="shared" si="15"/>
        <v>#DIV/0!</v>
      </c>
      <c r="G58" s="1954" t="s">
        <v>2288</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570</v>
      </c>
      <c r="B59" s="637" t="e">
        <f t="shared" si="17"/>
        <v>#DIV/0!</v>
      </c>
      <c r="C59" s="377">
        <f t="shared" si="16"/>
        <v>0</v>
      </c>
      <c r="D59" s="2227">
        <v>0.25</v>
      </c>
      <c r="E59" s="640">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571</v>
      </c>
      <c r="B60" s="637" t="e">
        <f t="shared" si="17"/>
        <v>#DIV/0!</v>
      </c>
      <c r="C60" s="377">
        <f t="shared" si="16"/>
        <v>0</v>
      </c>
      <c r="D60" s="2227">
        <v>0.25</v>
      </c>
      <c r="E60" s="640">
        <f>'数据-汇总表'!E13</f>
        <v>0</v>
      </c>
      <c r="F60" s="1948" t="e">
        <f t="shared" si="15"/>
        <v>#DIV/0!</v>
      </c>
      <c r="G60" s="1944" t="s">
        <v>924</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572</v>
      </c>
      <c r="B61" s="637" t="e">
        <f t="shared" si="17"/>
        <v>#DIV/0!</v>
      </c>
      <c r="C61" s="377">
        <f t="shared" si="16"/>
        <v>0</v>
      </c>
      <c r="D61" s="2227">
        <v>0.25</v>
      </c>
      <c r="E61" s="640">
        <f>'数据-汇总表'!E14</f>
        <v>0</v>
      </c>
      <c r="F61" s="1948" t="e">
        <f t="shared" si="15"/>
        <v>#DIV/0!</v>
      </c>
      <c r="G61" s="1954" t="s">
        <v>2287</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573</v>
      </c>
      <c r="B62" s="637" t="e">
        <f t="shared" si="17"/>
        <v>#DIV/0!</v>
      </c>
      <c r="C62" s="377">
        <f t="shared" si="16"/>
        <v>0</v>
      </c>
      <c r="D62" s="2227">
        <v>0.25</v>
      </c>
      <c r="E62" s="640">
        <f>'数据-汇总表'!E15</f>
        <v>0</v>
      </c>
      <c r="F62" s="1948" t="e">
        <f t="shared" si="15"/>
        <v>#DIV/0!</v>
      </c>
      <c r="G62" s="1955" t="s">
        <v>2288</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574</v>
      </c>
      <c r="B63" s="642" t="s">
        <v>17</v>
      </c>
      <c r="C63" s="642" t="s">
        <v>18</v>
      </c>
      <c r="D63" s="642" t="s">
        <v>2296</v>
      </c>
      <c r="E63" s="642">
        <f>IF(B43="楼面地价",SUM(E53:E62),'数据-汇总表'!D3)</f>
        <v>87492</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4" t="str">
        <f>YEAR(C9)&amp;"-"&amp;MONTH(C9)&amp;"-1"</f>
        <v>2018-1-1</v>
      </c>
      <c r="D65" s="2823">
        <f>EDATE(C65,-3)</f>
        <v>43009</v>
      </c>
      <c r="E65" s="2823">
        <f t="shared" ref="E65:N65" si="18">EDATE(D65,-3)</f>
        <v>42917</v>
      </c>
      <c r="F65" s="2823">
        <f t="shared" si="18"/>
        <v>42826</v>
      </c>
      <c r="G65" s="2823">
        <f t="shared" si="18"/>
        <v>42736</v>
      </c>
      <c r="H65" s="2823">
        <f t="shared" si="18"/>
        <v>42644</v>
      </c>
      <c r="I65" s="2823">
        <f t="shared" si="18"/>
        <v>42552</v>
      </c>
      <c r="J65" s="2823">
        <f t="shared" si="18"/>
        <v>42461</v>
      </c>
      <c r="K65" s="2823">
        <f t="shared" si="18"/>
        <v>42370</v>
      </c>
      <c r="L65" s="2823">
        <f t="shared" si="18"/>
        <v>42278</v>
      </c>
      <c r="M65" s="2823">
        <f t="shared" si="18"/>
        <v>42186</v>
      </c>
      <c r="N65" s="2823">
        <f t="shared" si="18"/>
        <v>42095</v>
      </c>
      <c r="O65" s="2143"/>
      <c r="P65" s="2143"/>
      <c r="Q65" s="2143"/>
      <c r="R65" s="2143"/>
      <c r="S65" s="2143"/>
      <c r="T65" s="2143"/>
      <c r="U65" s="2143"/>
      <c r="V65" s="2143"/>
      <c r="W65" s="2143"/>
      <c r="X65" s="2143"/>
      <c r="Y65" s="2143"/>
      <c r="Z65" s="2143"/>
      <c r="AA65" s="2143"/>
      <c r="AB65" s="2143"/>
      <c r="AC65" s="2143"/>
    </row>
    <row r="66" spans="1:29" ht="21.75" thickBot="1">
      <c r="A66" s="1583" t="s">
        <v>575</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6" customFormat="1" ht="15">
      <c r="A67" s="2590" t="s">
        <v>2536</v>
      </c>
      <c r="B67" s="645"/>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7"/>
      <c r="P67" s="2158"/>
      <c r="Q67" s="2159"/>
      <c r="R67" s="2159"/>
      <c r="S67" s="2159"/>
      <c r="T67" s="2159"/>
      <c r="U67" s="2159"/>
      <c r="V67" s="2159"/>
      <c r="W67" s="2159"/>
      <c r="X67" s="2159"/>
      <c r="Y67" s="2159"/>
      <c r="Z67" s="2159"/>
      <c r="AA67" s="2159"/>
      <c r="AB67" s="2159"/>
      <c r="AC67" s="2159"/>
    </row>
    <row r="68" spans="1:29" s="1219" customFormat="1" ht="27.75" customHeight="1">
      <c r="A68" s="2822" t="s">
        <v>2654</v>
      </c>
      <c r="B68" s="478" t="str">
        <f>"北京市平均增长率"&amp;TEXT(基准地价!P24,"0.00%")</f>
        <v>北京市平均增长率0.00%</v>
      </c>
      <c r="C68" s="893">
        <v>100</v>
      </c>
      <c r="D68" s="729"/>
      <c r="E68" s="729"/>
      <c r="F68" s="729"/>
      <c r="G68" s="729"/>
      <c r="H68" s="729"/>
      <c r="I68" s="729"/>
      <c r="J68" s="729"/>
      <c r="K68" s="729"/>
      <c r="L68" s="729"/>
      <c r="M68" s="2816"/>
      <c r="N68" s="2817"/>
      <c r="O68" s="2160"/>
      <c r="P68" s="2156"/>
      <c r="Q68" s="1991"/>
      <c r="R68" s="1991"/>
      <c r="S68" s="1991"/>
      <c r="T68" s="1991"/>
      <c r="U68" s="1991"/>
      <c r="V68" s="1991"/>
      <c r="W68" s="1991"/>
      <c r="X68" s="1991"/>
      <c r="Y68" s="1991"/>
      <c r="Z68" s="1991"/>
      <c r="AA68" s="1991"/>
      <c r="AB68" s="1991"/>
      <c r="AC68" s="1991"/>
    </row>
    <row r="69" spans="1:29" s="1219" customFormat="1" ht="15.75" thickBot="1">
      <c r="A69" s="652" t="s">
        <v>576</v>
      </c>
      <c r="B69" s="653"/>
      <c r="C69" s="2814"/>
      <c r="D69" s="2815"/>
      <c r="E69" s="2815"/>
      <c r="F69" s="2815"/>
      <c r="G69" s="2815"/>
      <c r="H69" s="2815"/>
      <c r="I69" s="2815"/>
      <c r="J69" s="2815"/>
      <c r="K69" s="2815"/>
      <c r="L69" s="2815"/>
      <c r="M69" s="2815"/>
      <c r="N69" s="2815"/>
      <c r="O69" s="2160"/>
      <c r="P69" s="2156"/>
      <c r="Q69" s="2156"/>
      <c r="R69" s="1991"/>
      <c r="S69" s="1991"/>
      <c r="T69" s="1991"/>
      <c r="U69" s="1991"/>
      <c r="V69" s="1991"/>
      <c r="W69" s="1991"/>
      <c r="X69" s="1991"/>
      <c r="Y69" s="1991"/>
      <c r="Z69" s="1991"/>
      <c r="AA69" s="1991"/>
      <c r="AB69" s="1991"/>
      <c r="AC69" s="1991"/>
    </row>
    <row r="70" spans="1:29" s="1219" customFormat="1" ht="15">
      <c r="A70" s="658" t="s">
        <v>532</v>
      </c>
      <c r="B70" s="647"/>
      <c r="C70" s="659" t="s">
        <v>577</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578</v>
      </c>
      <c r="B72" s="664" t="s">
        <v>535</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538</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540</v>
      </c>
      <c r="B85" s="664" t="s">
        <v>603</v>
      </c>
      <c r="C85" s="702" t="s">
        <v>580</v>
      </c>
      <c r="D85" s="702" t="s">
        <v>581</v>
      </c>
      <c r="E85" s="702" t="s">
        <v>582</v>
      </c>
      <c r="F85" s="702" t="s">
        <v>583</v>
      </c>
      <c r="G85" s="702" t="s">
        <v>584</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587</v>
      </c>
      <c r="C87" s="707" t="s">
        <v>580</v>
      </c>
      <c r="D87" s="707" t="s">
        <v>581</v>
      </c>
      <c r="E87" s="707" t="s">
        <v>582</v>
      </c>
      <c r="F87" s="707" t="s">
        <v>583</v>
      </c>
      <c r="G87" s="707" t="s">
        <v>584</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2551</v>
      </c>
      <c r="C93" s="702" t="s">
        <v>580</v>
      </c>
      <c r="D93" s="702" t="s">
        <v>581</v>
      </c>
      <c r="E93" s="702" t="s">
        <v>582</v>
      </c>
      <c r="F93" s="702" t="s">
        <v>583</v>
      </c>
      <c r="G93" s="702" t="s">
        <v>584</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619" t="s">
        <v>2553</v>
      </c>
      <c r="C95" s="2620" t="s">
        <v>2554</v>
      </c>
      <c r="D95" s="2620" t="s">
        <v>2555</v>
      </c>
      <c r="E95" s="2620" t="s">
        <v>2556</v>
      </c>
      <c r="F95" s="2620" t="s">
        <v>2557</v>
      </c>
      <c r="G95" s="2620" t="s">
        <v>2558</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2"/>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590</v>
      </c>
      <c r="D97" s="673" t="s">
        <v>591</v>
      </c>
      <c r="E97" s="673" t="s">
        <v>592</v>
      </c>
      <c r="F97" s="673" t="s">
        <v>593</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549</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550</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7" t="str">
        <f t="shared" si="25"/>
        <v>(含)-</v>
      </c>
      <c r="L109" s="3118" t="str">
        <f t="shared" si="25"/>
        <v>(含)-</v>
      </c>
      <c r="M109" s="3119"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595</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2426</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597</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2427</v>
      </c>
      <c r="D1" s="1520">
        <f>SUM(D29:D30,D33:D39)</f>
        <v>0</v>
      </c>
      <c r="E1" s="1405" t="s">
        <v>2428</v>
      </c>
      <c r="F1" s="2474"/>
      <c r="G1" s="1400"/>
      <c r="H1" s="1400"/>
      <c r="I1" s="1400"/>
      <c r="J1" s="1400"/>
      <c r="K1" s="1400"/>
      <c r="L1" s="1880" t="s">
        <v>2240</v>
      </c>
      <c r="M1" s="1881">
        <f>SUMPRODUCT((区片价!B5:B9=I2)*(区片价!C3:F3=E2)*(区片价!C5:F9))</f>
        <v>0</v>
      </c>
      <c r="N1" s="1882">
        <f>SUMPRODUCT((因素修正幅度!B5:B9=I2)*(因素修正幅度!C3:F3=E2)*(因素修正幅度!C5:F9))</f>
        <v>0</v>
      </c>
      <c r="O1" s="2187"/>
      <c r="P1" s="2187"/>
      <c r="Q1" s="2187"/>
      <c r="R1" s="2960" t="s">
        <v>2767</v>
      </c>
      <c r="S1" s="2960" t="s">
        <v>2768</v>
      </c>
      <c r="T1" s="2960" t="s">
        <v>2789</v>
      </c>
      <c r="U1" s="2960" t="s">
        <v>2790</v>
      </c>
      <c r="V1" s="2960" t="s">
        <v>2791</v>
      </c>
      <c r="W1" s="2187"/>
      <c r="X1" s="2187"/>
      <c r="Y1" s="2187"/>
      <c r="Z1" s="2187"/>
      <c r="AA1" s="2187"/>
      <c r="AB1" s="2187"/>
      <c r="AC1" s="2188"/>
    </row>
    <row r="2" spans="1:39" ht="15.75">
      <c r="A2" s="1405" t="s">
        <v>921</v>
      </c>
      <c r="B2" s="1037" t="e">
        <f>C26</f>
        <v>#DIV/0!</v>
      </c>
      <c r="C2" s="1406" t="s">
        <v>922</v>
      </c>
      <c r="D2" s="1407" t="s">
        <v>923</v>
      </c>
      <c r="E2" s="1408"/>
      <c r="F2" s="1407" t="s">
        <v>925</v>
      </c>
      <c r="G2" s="1651">
        <f>IF(E2="商业",项目基本情况!B43,IF(E2="办公",项目基本情况!C43,IF(E2="住宅",项目基本情况!D43,项目基本情况!E43)))</f>
        <v>0</v>
      </c>
      <c r="H2" s="1407" t="s">
        <v>927</v>
      </c>
      <c r="I2" s="1652">
        <f>IF(E2="商业",项目基本情况!B44,IF(E2="办公",项目基本情况!C44,IF(E2="住宅",项目基本情况!D44,项目基本情况!E44)))</f>
        <v>0</v>
      </c>
      <c r="J2" s="1409"/>
      <c r="K2" s="1400"/>
      <c r="L2" s="1883" t="s">
        <v>2241</v>
      </c>
      <c r="M2" s="1884">
        <f>SUMPRODUCT((区片价!B10:B28=I2)*(区片价!C3:F3=E2)*(区片价!C10:F28))</f>
        <v>0</v>
      </c>
      <c r="N2" s="1885">
        <f>SUMPRODUCT((因素修正幅度!B10:B28=I2)*(因素修正幅度!C3:F3=E2)*(因素修正幅度!C10:F28))</f>
        <v>0</v>
      </c>
      <c r="O2" s="2187"/>
      <c r="P2" s="2187"/>
      <c r="Q2" s="2187"/>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7"/>
      <c r="X2" s="2187"/>
      <c r="Y2" s="2187"/>
      <c r="Z2" s="2187"/>
      <c r="AA2" s="2187"/>
      <c r="AB2" s="2187"/>
      <c r="AC2" s="2188"/>
    </row>
    <row r="3" spans="1:39" ht="15.75">
      <c r="A3" s="1410" t="s">
        <v>1689</v>
      </c>
      <c r="B3" s="1037" t="e">
        <f>ROUND(B2*10000/D1,0)</f>
        <v>#DIV/0!</v>
      </c>
      <c r="C3" s="1406" t="s">
        <v>928</v>
      </c>
      <c r="D3" s="1407" t="s">
        <v>929</v>
      </c>
      <c r="E3" s="1411"/>
      <c r="F3" s="1412" t="s">
        <v>2939</v>
      </c>
      <c r="G3" s="1038">
        <f>IF(F3="宗地容积率",'数据-汇总表'!I4,IF(F3="估价对象容积率",'数据-汇总表'!I6,'数据-汇总表'!I7))</f>
        <v>1.2</v>
      </c>
      <c r="H3" s="1413" t="s">
        <v>930</v>
      </c>
      <c r="I3" s="1039">
        <v>8</v>
      </c>
      <c r="J3" s="1409" t="s">
        <v>931</v>
      </c>
      <c r="K3" s="1400"/>
      <c r="L3" s="1883" t="s">
        <v>2242</v>
      </c>
      <c r="M3" s="1884">
        <f>SUMPRODUCT((区片价!B29:B48=I2)*(区片价!C3:F3=E2)*(区片价!C29:F48))</f>
        <v>0</v>
      </c>
      <c r="N3" s="1885">
        <f>SUMPRODUCT((因素修正幅度!B29:B48=I2)*(因素修正幅度!C3:F3=E2)*(因素修正幅度!C29:F48))</f>
        <v>0</v>
      </c>
      <c r="O3" s="2187"/>
      <c r="P3" s="2187"/>
      <c r="Q3" s="2187"/>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7"/>
      <c r="X3" s="2187"/>
      <c r="Y3" s="2187"/>
      <c r="Z3" s="2187"/>
      <c r="AA3" s="2187"/>
      <c r="AB3" s="2187"/>
      <c r="AC3" s="2188"/>
    </row>
    <row r="4" spans="1:39" ht="28.5">
      <c r="A4" s="1889" t="s">
        <v>2282</v>
      </c>
      <c r="B4" s="2475" t="e">
        <f>ROUND(B2*10000/F1,0)</f>
        <v>#DIV/0!</v>
      </c>
      <c r="C4" s="1892" t="s">
        <v>2256</v>
      </c>
      <c r="D4" s="1892" t="e">
        <f>ROUND(B2/(F1/666.67),0)</f>
        <v>#DIV/0!</v>
      </c>
      <c r="E4" s="1892" t="s">
        <v>2257</v>
      </c>
      <c r="F4" s="1890"/>
      <c r="G4" s="1890"/>
      <c r="H4" s="1890"/>
      <c r="I4" s="1890"/>
      <c r="J4" s="1891"/>
      <c r="K4" s="1400"/>
      <c r="L4" s="1883" t="s">
        <v>2243</v>
      </c>
      <c r="M4" s="1884">
        <f>SUMPRODUCT((区片价!B49:B75=I2)*(区片价!C3:F3=E2)*(区片价!C49:F75))</f>
        <v>0</v>
      </c>
      <c r="N4" s="1885">
        <f>SUMPRODUCT((因素修正幅度!B49:B75=I2)*(因素修正幅度!C3:F3=E2)*(因素修正幅度!C49:F75))</f>
        <v>0</v>
      </c>
      <c r="O4" s="2187"/>
      <c r="P4" s="2187"/>
      <c r="Q4" s="2187"/>
      <c r="R4" s="2961">
        <v>3</v>
      </c>
      <c r="S4" s="2961">
        <f>ROUND(IF(G3&gt;1,IF(R4&lt;7,SUMPRODUCT((B93:B98=R4)*(C92:N92=G2)*(C93:N98)),SUMIF(C92:N92,G2,C100:N100)),IF(R4&lt;7,SUMPRODUCT((B102:B107=R4)*(C92:N92=G2)*(C102:N107)),SUMIF(C92:N92,G2,C109:N109))),4)</f>
        <v>0</v>
      </c>
      <c r="T4" s="2961" t="e">
        <f t="shared" si="0"/>
        <v>#DIV/0!</v>
      </c>
      <c r="U4" s="2950"/>
      <c r="V4" s="2961" t="e">
        <f t="shared" si="1"/>
        <v>#DIV/0!</v>
      </c>
      <c r="W4" s="2187"/>
      <c r="X4" s="2187"/>
      <c r="Y4" s="2187"/>
      <c r="Z4" s="2187"/>
      <c r="AA4" s="2187"/>
      <c r="AB4" s="2187"/>
      <c r="AC4" s="2188"/>
    </row>
    <row r="5" spans="1:39" s="1420" customFormat="1" ht="15.75" thickBot="1">
      <c r="A5" s="1637" t="s">
        <v>1825</v>
      </c>
      <c r="B5" s="1414" t="s">
        <v>932</v>
      </c>
      <c r="C5" s="1040" t="e">
        <f>ROUND(IF(E2="商业",IF(F16="增加",C6*C7+C16,C6*C7-C16),IF(E2="住宅",IF(F16="增加",C6*C12+C16,C6*C12-C16),IF(F16="增加",C6+C16,C6-C16))),0)</f>
        <v>#DIV/0!</v>
      </c>
      <c r="D5" s="3149">
        <f>ROUND(IF(E2="商业",IF(F16="增加",C6+C16,C6-C16)),0)</f>
        <v>0</v>
      </c>
      <c r="E5" s="1415"/>
      <c r="F5" s="1415"/>
      <c r="G5" s="1416"/>
      <c r="H5" s="1416"/>
      <c r="I5" s="1416"/>
      <c r="J5" s="1417"/>
      <c r="K5" s="1593"/>
      <c r="L5" s="1883" t="s">
        <v>2244</v>
      </c>
      <c r="M5" s="1884">
        <f>SUMPRODUCT((区片价!B76:B109=I2)*(区片价!C3:F3=E2)*(区片价!C76:F109))</f>
        <v>0</v>
      </c>
      <c r="N5" s="1885">
        <f>SUMPRODUCT((因素修正幅度!B76:B109=I2)*(因素修正幅度!C3:F3=E2)*(因素修正幅度!C76:F109))</f>
        <v>0</v>
      </c>
      <c r="O5" s="2187"/>
      <c r="P5" s="2187"/>
      <c r="Q5" s="2187"/>
      <c r="R5" s="2961">
        <v>4</v>
      </c>
      <c r="S5" s="2961">
        <f>ROUND(IF(G3&gt;1,IF(R5&lt;7,SUMPRODUCT((B93:B98=R5)*(C92:N92=G2)*(C93:N98)),SUMIF(C92:N92,G2,C100:N100)),IF(R5&lt;7,SUMPRODUCT((B102:B107=R5)*(C92:N92=G2)*(C102:N107)),SUMIF(C92:N92,G2,C109:N109))),4)</f>
        <v>0</v>
      </c>
      <c r="T5" s="2961" t="e">
        <f t="shared" si="0"/>
        <v>#DIV/0!</v>
      </c>
      <c r="U5" s="2950"/>
      <c r="V5" s="2961"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1872</v>
      </c>
      <c r="B6" s="1421" t="s">
        <v>932</v>
      </c>
      <c r="C6" s="1041">
        <f>SUMIF(L1:L12,基准地价!G2,M1:M12)</f>
        <v>0</v>
      </c>
      <c r="D6" s="1422" t="s">
        <v>1697</v>
      </c>
      <c r="E6" s="1423"/>
      <c r="F6" s="1423"/>
      <c r="G6" s="1424"/>
      <c r="H6" s="1424"/>
      <c r="I6" s="1424"/>
      <c r="J6" s="1425"/>
      <c r="K6" s="1594"/>
      <c r="L6" s="1883" t="s">
        <v>2245</v>
      </c>
      <c r="M6" s="1884">
        <f>SUMPRODUCT((区片价!B110:B157=I2)*(区片价!C3:F3=E2)*(区片价!C110:F157))</f>
        <v>0</v>
      </c>
      <c r="N6" s="1885">
        <f>SUMPRODUCT((因素修正幅度!B110:B157=I2)*(因素修正幅度!C3:F3=E2)*(因素修正幅度!C110:F157))</f>
        <v>0</v>
      </c>
      <c r="O6" s="2187"/>
      <c r="P6" s="2187"/>
      <c r="Q6" s="2187"/>
      <c r="R6" s="2961">
        <v>5</v>
      </c>
      <c r="S6" s="2961">
        <f>ROUND(IF(G3&gt;1,IF(R6&lt;7,SUMPRODUCT((B93:B98=R6)*(C92:N92=G2)*(C93:N98)),SUMIF(C92:N92,G2,C100:N100)),IF(R6&lt;7,SUMPRODUCT((B102:B107=R6)*(C92:N92=G2)*(C102:N107)),SUMIF(C92:N92,G2,C109:N109))),4)</f>
        <v>0</v>
      </c>
      <c r="T6" s="2961" t="e">
        <f t="shared" si="0"/>
        <v>#DIV/0!</v>
      </c>
      <c r="U6" s="2950"/>
      <c r="V6" s="2961" t="e">
        <f t="shared" si="1"/>
        <v>#DIV/0!</v>
      </c>
      <c r="W6" s="2187"/>
      <c r="X6" s="2187"/>
      <c r="Y6" s="2187"/>
      <c r="Z6" s="2187"/>
      <c r="AA6" s="2187"/>
      <c r="AB6" s="2187"/>
      <c r="AC6" s="2189"/>
      <c r="AD6" s="1418"/>
      <c r="AE6" s="1418"/>
      <c r="AF6" s="1418"/>
      <c r="AG6" s="1418"/>
      <c r="AH6" s="1418"/>
      <c r="AI6" s="1418"/>
      <c r="AJ6" s="1419"/>
    </row>
    <row r="7" spans="1:39" ht="24">
      <c r="A7" s="3458" t="str">
        <f>IF(E2="商业",IF(C8="不临58条商业街","",2),"")</f>
        <v/>
      </c>
      <c r="B7" s="1426" t="s">
        <v>933</v>
      </c>
      <c r="C7" s="1042" t="e">
        <f>IF(C8="不临58条商业街",1,ROUND(1+(1.6*E8+1.2*E9+0.8*E10+0.4*E11)*C9,4))</f>
        <v>#DIV/0!</v>
      </c>
      <c r="D7" s="1427" t="s">
        <v>934</v>
      </c>
      <c r="E7" s="1043"/>
      <c r="F7" s="1428"/>
      <c r="G7" s="1429"/>
      <c r="H7" s="1429"/>
      <c r="I7" s="1429"/>
      <c r="J7" s="1430"/>
      <c r="K7" s="1594"/>
      <c r="L7" s="1883" t="s">
        <v>2246</v>
      </c>
      <c r="M7" s="1884">
        <f>SUMPRODUCT((区片价!B158:B205=I2)*(区片价!C3:F3=E2)*(区片价!C158:F205))</f>
        <v>0</v>
      </c>
      <c r="N7" s="1885">
        <f>SUMPRODUCT((因素修正幅度!B158:B205=I2)*(因素修正幅度!C3:F3=E2)*(因素修正幅度!C158:F205))</f>
        <v>0</v>
      </c>
      <c r="O7" s="2187"/>
      <c r="P7" s="2187"/>
      <c r="Q7" s="2187"/>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2770</v>
      </c>
      <c r="X7" s="2951">
        <f>G2</f>
        <v>0</v>
      </c>
      <c r="Y7" s="2951" t="s">
        <v>2771</v>
      </c>
      <c r="Z7" s="2952">
        <f>G3</f>
        <v>1.2</v>
      </c>
      <c r="AA7" s="2190"/>
      <c r="AB7" s="2190"/>
      <c r="AC7" s="2191"/>
      <c r="AD7" s="2953"/>
      <c r="AE7" s="2953"/>
      <c r="AF7" s="2953"/>
      <c r="AG7" s="2953"/>
      <c r="AH7" s="2953"/>
      <c r="AI7" s="2953"/>
      <c r="AJ7" s="2954"/>
    </row>
    <row r="8" spans="1:39" ht="15">
      <c r="A8" s="3459"/>
      <c r="B8" s="1413" t="s">
        <v>935</v>
      </c>
      <c r="C8" s="1528"/>
      <c r="D8" s="1044" t="s">
        <v>936</v>
      </c>
      <c r="E8" s="1045" t="e">
        <f>ROUND(C11/E7,4)</f>
        <v>#DIV/0!</v>
      </c>
      <c r="F8" s="1431" t="s">
        <v>937</v>
      </c>
      <c r="G8" s="1432"/>
      <c r="H8" s="1432"/>
      <c r="I8" s="1432"/>
      <c r="J8" s="1433"/>
      <c r="K8" s="1400"/>
      <c r="L8" s="1883" t="s">
        <v>2247</v>
      </c>
      <c r="M8" s="1884">
        <f>SUMPRODUCT((区片价!B206:B244=I2)*(区片价!C3:F3=E2)*(区片价!C206:F244))</f>
        <v>0</v>
      </c>
      <c r="N8" s="1885">
        <f>SUMPRODUCT((因素修正幅度!B206:B244=I2)*(因素修正幅度!C3:F3=E2)*(因素修正幅度!C206:F244))</f>
        <v>0</v>
      </c>
      <c r="O8" s="2187"/>
      <c r="P8" s="2187"/>
      <c r="Q8" s="2187"/>
      <c r="R8" s="2961">
        <v>7</v>
      </c>
      <c r="S8" s="2950"/>
      <c r="T8" s="2961" t="e">
        <f t="shared" si="0"/>
        <v>#DIV/0!</v>
      </c>
      <c r="U8" s="2950"/>
      <c r="V8" s="2961" t="e">
        <f t="shared" si="1"/>
        <v>#DIV/0!</v>
      </c>
      <c r="W8" s="3468" t="s">
        <v>2788</v>
      </c>
      <c r="X8" s="3469"/>
      <c r="Y8" s="1847" t="s">
        <v>2772</v>
      </c>
      <c r="Z8" s="1847" t="s">
        <v>2773</v>
      </c>
      <c r="AA8" s="1847" t="s">
        <v>2774</v>
      </c>
      <c r="AB8" s="1847" t="s">
        <v>2775</v>
      </c>
      <c r="AC8" s="1847" t="s">
        <v>2776</v>
      </c>
      <c r="AD8" s="1847" t="s">
        <v>2777</v>
      </c>
      <c r="AE8" s="1847" t="s">
        <v>2778</v>
      </c>
      <c r="AF8" s="1847" t="s">
        <v>2779</v>
      </c>
      <c r="AG8" s="1847" t="s">
        <v>2780</v>
      </c>
      <c r="AH8" s="1847" t="s">
        <v>2781</v>
      </c>
      <c r="AI8" s="1847" t="s">
        <v>2782</v>
      </c>
      <c r="AJ8" s="1847" t="s">
        <v>2783</v>
      </c>
    </row>
    <row r="9" spans="1:39" ht="15">
      <c r="A9" s="3459"/>
      <c r="B9" s="1413" t="s">
        <v>938</v>
      </c>
      <c r="C9" s="1046">
        <f>SUMIF(修正!C59:C119,C8,修正!E59:E119)</f>
        <v>0</v>
      </c>
      <c r="D9" s="1047" t="s">
        <v>939</v>
      </c>
      <c r="E9" s="1047" t="e">
        <f>ROUND(C11/E7,4)</f>
        <v>#DIV/0!</v>
      </c>
      <c r="F9" s="1431" t="s">
        <v>940</v>
      </c>
      <c r="G9" s="1432"/>
      <c r="H9" s="1432"/>
      <c r="I9" s="1432"/>
      <c r="J9" s="1433"/>
      <c r="K9" s="1400"/>
      <c r="L9" s="1883" t="s">
        <v>2248</v>
      </c>
      <c r="M9" s="1884">
        <f>SUMPRODUCT((区片价!B245:B289=I2)*(区片价!C3:F3=E2)*(区片价!C245:F289))</f>
        <v>0</v>
      </c>
      <c r="N9" s="1885">
        <f>SUMPRODUCT((因素修正幅度!B245:B289=I2)*(因素修正幅度!C3:F3=E2)*(因素修正幅度!C245:F289))</f>
        <v>0</v>
      </c>
      <c r="O9" s="2187"/>
      <c r="P9" s="2187"/>
      <c r="Q9" s="2187"/>
      <c r="R9" s="2961">
        <v>8</v>
      </c>
      <c r="S9" s="2950"/>
      <c r="T9" s="2961" t="e">
        <f t="shared" si="0"/>
        <v>#DIV/0!</v>
      </c>
      <c r="U9" s="2950"/>
      <c r="V9" s="2961" t="e">
        <f t="shared" si="1"/>
        <v>#DIV/0!</v>
      </c>
      <c r="W9" s="3467" t="s">
        <v>2784</v>
      </c>
      <c r="X9" s="2955" t="s">
        <v>2785</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59"/>
      <c r="B10" s="1413" t="s">
        <v>941</v>
      </c>
      <c r="C10" s="1047">
        <f>SUMIF(修正!C59:C119,C8,修正!F59:F119)</f>
        <v>0</v>
      </c>
      <c r="D10" s="1047" t="s">
        <v>942</v>
      </c>
      <c r="E10" s="1047" t="e">
        <f>ROUND(C11/E7,4)</f>
        <v>#DIV/0!</v>
      </c>
      <c r="F10" s="1431" t="s">
        <v>943</v>
      </c>
      <c r="G10" s="1432"/>
      <c r="H10" s="1432"/>
      <c r="I10" s="1432"/>
      <c r="J10" s="1433"/>
      <c r="K10" s="1400"/>
      <c r="L10" s="1883" t="s">
        <v>2249</v>
      </c>
      <c r="M10" s="1884">
        <f>SUMPRODUCT((区片价!B290:B316=I2)*(区片价!C3:F3=E2)*(区片价!C290:F316))</f>
        <v>0</v>
      </c>
      <c r="N10" s="1885">
        <f>SUMPRODUCT((因素修正幅度!B290:B316=I2)*(因素修正幅度!C3:F3=E2)*(因素修正幅度!C290:F316))</f>
        <v>0</v>
      </c>
      <c r="O10" s="2187"/>
      <c r="P10" s="2187"/>
      <c r="Q10" s="2187"/>
      <c r="R10" s="2961">
        <v>9</v>
      </c>
      <c r="S10" s="2950"/>
      <c r="T10" s="2961" t="e">
        <f t="shared" si="0"/>
        <v>#DIV/0!</v>
      </c>
      <c r="U10" s="2950"/>
      <c r="V10" s="2961" t="e">
        <f t="shared" si="1"/>
        <v>#DIV/0!</v>
      </c>
      <c r="W10" s="3467"/>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59"/>
      <c r="B11" s="1434" t="s">
        <v>944</v>
      </c>
      <c r="C11" s="1048">
        <f>C10/4</f>
        <v>0</v>
      </c>
      <c r="D11" s="1048" t="s">
        <v>945</v>
      </c>
      <c r="E11" s="1048" t="e">
        <f>ROUND(C11/E7,4)</f>
        <v>#DIV/0!</v>
      </c>
      <c r="F11" s="1435" t="s">
        <v>946</v>
      </c>
      <c r="G11" s="1436"/>
      <c r="H11" s="1436"/>
      <c r="I11" s="1436"/>
      <c r="J11" s="1437"/>
      <c r="K11" s="1400"/>
      <c r="L11" s="1883" t="s">
        <v>2250</v>
      </c>
      <c r="M11" s="1884">
        <f>SUMPRODUCT((区片价!B317:B337=I2)*(区片价!C3:F3=E2)*(区片价!C317:F337))</f>
        <v>0</v>
      </c>
      <c r="N11" s="1885">
        <f>SUMPRODUCT((因素修正幅度!B317:B337=I2)*(因素修正幅度!C3:F3=E2)*(因素修正幅度!C317:F337))</f>
        <v>0</v>
      </c>
      <c r="O11" s="2187"/>
      <c r="P11" s="2187"/>
      <c r="Q11" s="2187"/>
      <c r="R11" s="2961">
        <v>10</v>
      </c>
      <c r="S11" s="2950"/>
      <c r="T11" s="2961" t="e">
        <f t="shared" si="0"/>
        <v>#DIV/0!</v>
      </c>
      <c r="U11" s="2950"/>
      <c r="V11" s="2961" t="e">
        <f t="shared" si="1"/>
        <v>#DIV/0!</v>
      </c>
      <c r="W11" s="3467" t="s">
        <v>2786</v>
      </c>
      <c r="X11" s="1047" t="s">
        <v>2771</v>
      </c>
      <c r="Y11" s="1652">
        <f>$G$3</f>
        <v>1.2</v>
      </c>
      <c r="Z11" s="1652">
        <f t="shared" ref="Z11:AJ11" si="3">$G$3</f>
        <v>1.2</v>
      </c>
      <c r="AA11" s="1652">
        <f t="shared" si="3"/>
        <v>1.2</v>
      </c>
      <c r="AB11" s="1652">
        <f t="shared" si="3"/>
        <v>1.2</v>
      </c>
      <c r="AC11" s="1652">
        <f t="shared" si="3"/>
        <v>1.2</v>
      </c>
      <c r="AD11" s="1652">
        <f t="shared" si="3"/>
        <v>1.2</v>
      </c>
      <c r="AE11" s="1652">
        <f t="shared" si="3"/>
        <v>1.2</v>
      </c>
      <c r="AF11" s="1652">
        <f t="shared" si="3"/>
        <v>1.2</v>
      </c>
      <c r="AG11" s="1652">
        <f t="shared" si="3"/>
        <v>1.2</v>
      </c>
      <c r="AH11" s="1652">
        <f t="shared" si="3"/>
        <v>1.2</v>
      </c>
      <c r="AI11" s="1652">
        <f t="shared" si="3"/>
        <v>1.2</v>
      </c>
      <c r="AJ11" s="1652">
        <f t="shared" si="3"/>
        <v>1.2</v>
      </c>
    </row>
    <row r="12" spans="1:39" ht="25.5" thickBot="1">
      <c r="A12" s="3458" t="s">
        <v>1873</v>
      </c>
      <c r="B12" s="1438" t="s">
        <v>947</v>
      </c>
      <c r="C12" s="1042">
        <f>ROUND(C15*D15*E15*F15*G15*H15*I15*J15,4)</f>
        <v>1</v>
      </c>
      <c r="D12" s="1439" t="s">
        <v>948</v>
      </c>
      <c r="E12" s="1440"/>
      <c r="F12" s="1440"/>
      <c r="G12" s="1441"/>
      <c r="H12" s="1441"/>
      <c r="I12" s="1441"/>
      <c r="J12" s="1442"/>
      <c r="K12" s="1400"/>
      <c r="L12" s="1886" t="s">
        <v>2251</v>
      </c>
      <c r="M12" s="1887">
        <f>SUMPRODUCT((区片价!B338:B344=I2)*(区片价!C3:F3=E2)*(区片价!C338:F344))</f>
        <v>0</v>
      </c>
      <c r="N12" s="1888">
        <f>SUMPRODUCT((因素修正幅度!B338:B344=I2)*(因素修正幅度!C3:F3=E2)*(因素修正幅度!C338:F344))</f>
        <v>0</v>
      </c>
      <c r="O12" s="2187"/>
      <c r="P12" s="2187"/>
      <c r="Q12" s="2187"/>
      <c r="R12" s="2961">
        <v>11</v>
      </c>
      <c r="S12" s="2950"/>
      <c r="T12" s="2961" t="e">
        <f t="shared" si="0"/>
        <v>#DIV/0!</v>
      </c>
      <c r="U12" s="2950"/>
      <c r="V12" s="2961" t="e">
        <f t="shared" si="1"/>
        <v>#DIV/0!</v>
      </c>
      <c r="W12" s="3467"/>
      <c r="X12" s="2958" t="s">
        <v>2787</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60"/>
      <c r="B13" s="1443" t="s">
        <v>1698</v>
      </c>
      <c r="C13" s="1444" t="s">
        <v>1699</v>
      </c>
      <c r="D13" s="1088" t="s">
        <v>1700</v>
      </c>
      <c r="E13" s="1088" t="s">
        <v>1701</v>
      </c>
      <c r="F13" s="1445" t="s">
        <v>949</v>
      </c>
      <c r="G13" s="1446" t="s">
        <v>1644</v>
      </c>
      <c r="H13" s="1447" t="s">
        <v>1644</v>
      </c>
      <c r="I13" s="1448" t="s">
        <v>1644</v>
      </c>
      <c r="J13" s="1449" t="s">
        <v>1644</v>
      </c>
      <c r="K13" s="1400"/>
      <c r="L13" s="2187"/>
      <c r="M13" s="2187"/>
      <c r="N13" s="2187"/>
      <c r="O13" s="2187"/>
      <c r="P13" s="2187"/>
      <c r="Q13" s="2187"/>
      <c r="R13" s="2961">
        <v>12</v>
      </c>
      <c r="S13" s="2950"/>
      <c r="T13" s="2961" t="e">
        <f t="shared" si="0"/>
        <v>#DIV/0!</v>
      </c>
      <c r="U13" s="2950"/>
      <c r="V13" s="2961" t="e">
        <f t="shared" si="1"/>
        <v>#DIV/0!</v>
      </c>
      <c r="W13" s="3467"/>
      <c r="X13" s="2958"/>
      <c r="Y13" s="2957">
        <f>(-0.163*(Y12^2)-0.59*Y12+7617)*(10^(-4))/Y11</f>
        <v>0.63475000000000004</v>
      </c>
      <c r="Z13" s="2957">
        <f t="shared" ref="Z13:AJ13" si="5">(-0.163*(Z12^2)-0.59*Z12+7617)*(10^(-4))/Z11</f>
        <v>0.63475000000000004</v>
      </c>
      <c r="AA13" s="2957">
        <f t="shared" si="5"/>
        <v>0.63475000000000004</v>
      </c>
      <c r="AB13" s="2957">
        <f t="shared" si="5"/>
        <v>0.63475000000000004</v>
      </c>
      <c r="AC13" s="2957">
        <f t="shared" si="5"/>
        <v>0.63475000000000004</v>
      </c>
      <c r="AD13" s="2957">
        <f t="shared" si="5"/>
        <v>0.63475000000000004</v>
      </c>
      <c r="AE13" s="2957">
        <f t="shared" si="5"/>
        <v>0.63475000000000004</v>
      </c>
      <c r="AF13" s="2957">
        <f t="shared" si="5"/>
        <v>0.63475000000000004</v>
      </c>
      <c r="AG13" s="2957">
        <f t="shared" si="5"/>
        <v>0.63475000000000004</v>
      </c>
      <c r="AH13" s="2957">
        <f t="shared" si="5"/>
        <v>0.63475000000000004</v>
      </c>
      <c r="AI13" s="2957">
        <f t="shared" si="5"/>
        <v>0.63475000000000004</v>
      </c>
      <c r="AJ13" s="2957">
        <f t="shared" si="5"/>
        <v>0.63475000000000004</v>
      </c>
    </row>
    <row r="14" spans="1:39" ht="12.75" customHeight="1" thickBot="1">
      <c r="A14" s="3460"/>
      <c r="B14" s="1450"/>
      <c r="C14" s="1451"/>
      <c r="D14" s="1452"/>
      <c r="E14" s="1452"/>
      <c r="F14" s="1453"/>
      <c r="G14" s="1454" t="s">
        <v>950</v>
      </c>
      <c r="H14" s="1455"/>
      <c r="I14" s="1456"/>
      <c r="J14" s="1457"/>
      <c r="K14" s="1400"/>
      <c r="L14" s="2187"/>
      <c r="M14" s="2187"/>
      <c r="N14" s="2187"/>
      <c r="O14" s="2187"/>
      <c r="P14" s="2187"/>
      <c r="Q14" s="2187"/>
      <c r="R14" s="2961">
        <v>13</v>
      </c>
      <c r="S14" s="2950"/>
      <c r="T14" s="2961" t="e">
        <f t="shared" si="0"/>
        <v>#DIV/0!</v>
      </c>
      <c r="U14" s="2950"/>
      <c r="V14" s="2961" t="e">
        <f t="shared" si="1"/>
        <v>#DIV/0!</v>
      </c>
      <c r="W14" s="2187"/>
      <c r="X14" s="2187"/>
      <c r="Y14" s="2187"/>
      <c r="Z14" s="2187"/>
      <c r="AA14" s="2187"/>
      <c r="AB14" s="2187"/>
      <c r="AC14" s="2188"/>
    </row>
    <row r="15" spans="1:39" ht="13.5" customHeight="1" thickBot="1">
      <c r="A15" s="3461"/>
      <c r="B15" s="1458" t="s">
        <v>1702</v>
      </c>
      <c r="C15" s="1050">
        <f>IF(C14="有",1.1,1)</f>
        <v>1</v>
      </c>
      <c r="D15" s="1050">
        <f>IF(D14="有",1.1,1)</f>
        <v>1</v>
      </c>
      <c r="E15" s="1050">
        <f>IF(E14="有",1.1,1)</f>
        <v>1</v>
      </c>
      <c r="F15" s="1050">
        <f>IF(F14="500米范围内",1.2,IF(F14="500-1000米",1.1,1))</f>
        <v>1</v>
      </c>
      <c r="G15" s="1051">
        <v>1</v>
      </c>
      <c r="H15" s="1051">
        <v>1</v>
      </c>
      <c r="I15" s="1051">
        <v>1</v>
      </c>
      <c r="J15" s="1052">
        <v>1</v>
      </c>
      <c r="K15" s="1400"/>
      <c r="L15" s="1597" t="s">
        <v>899</v>
      </c>
      <c r="M15" s="1427" t="s">
        <v>985</v>
      </c>
      <c r="N15" s="1427" t="s">
        <v>986</v>
      </c>
      <c r="O15" s="1427" t="s">
        <v>903</v>
      </c>
      <c r="P15" s="1475" t="s">
        <v>987</v>
      </c>
      <c r="Q15" s="2187"/>
      <c r="R15" s="2961">
        <v>14</v>
      </c>
      <c r="S15" s="2950"/>
      <c r="T15" s="2961" t="e">
        <f t="shared" si="0"/>
        <v>#DIV/0!</v>
      </c>
      <c r="U15" s="2950"/>
      <c r="V15" s="2961" t="e">
        <f t="shared" si="1"/>
        <v>#DIV/0!</v>
      </c>
      <c r="W15" s="2187"/>
      <c r="X15" s="2187"/>
      <c r="Y15" s="2187"/>
      <c r="Z15" s="2187"/>
      <c r="AA15" s="2187"/>
      <c r="AB15" s="2187"/>
      <c r="AC15" s="2188"/>
    </row>
    <row r="16" spans="1:39" ht="24">
      <c r="A16" s="3458" t="s">
        <v>1840</v>
      </c>
      <c r="B16" s="1426" t="s">
        <v>951</v>
      </c>
      <c r="C16" s="1053" t="e">
        <f>ROUND(SUM(G17:J17)/C17,0)</f>
        <v>#DIV/0!</v>
      </c>
      <c r="D16" s="1459" t="s">
        <v>952</v>
      </c>
      <c r="E16" s="1460"/>
      <c r="F16" s="1461"/>
      <c r="G16" s="1462"/>
      <c r="H16" s="1462"/>
      <c r="I16" s="1462"/>
      <c r="J16" s="1462"/>
      <c r="K16" s="1400"/>
      <c r="L16" s="1463" t="s">
        <v>989</v>
      </c>
      <c r="M16" s="1046">
        <v>0.25</v>
      </c>
      <c r="N16" s="1046">
        <v>0.2</v>
      </c>
      <c r="O16" s="1046">
        <v>0.15</v>
      </c>
      <c r="P16" s="1538">
        <v>0.1</v>
      </c>
      <c r="Q16" s="2190"/>
      <c r="R16" s="2961">
        <v>15</v>
      </c>
      <c r="S16" s="2950"/>
      <c r="T16" s="2961" t="e">
        <f t="shared" si="0"/>
        <v>#DIV/0!</v>
      </c>
      <c r="U16" s="2950"/>
      <c r="V16" s="2961" t="e">
        <f t="shared" si="1"/>
        <v>#DIV/0!</v>
      </c>
      <c r="W16" s="2190"/>
      <c r="X16" s="2190"/>
      <c r="Y16" s="2190"/>
      <c r="Z16" s="2190"/>
      <c r="AA16" s="2190"/>
      <c r="AB16" s="2190"/>
      <c r="AC16" s="2191"/>
    </row>
    <row r="17" spans="1:40" ht="13.5" thickBot="1">
      <c r="A17" s="3459"/>
      <c r="B17" s="1464" t="s">
        <v>954</v>
      </c>
      <c r="C17" s="1054">
        <f>SUMPRODUCT((修正!A2:A5=E2)*(修正!B1:M1=G2)*(修正!B2:M5))</f>
        <v>0</v>
      </c>
      <c r="D17" s="1466" t="s">
        <v>955</v>
      </c>
      <c r="E17" s="1467" t="str">
        <f>IF(OR(G2="八级",G2="九级",G2="十级",G2="十一级",G2="十二级"),"五通一平","七通一平")</f>
        <v>七通一平</v>
      </c>
      <c r="F17" s="1465"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1831</v>
      </c>
      <c r="B18" s="2796" t="s">
        <v>957</v>
      </c>
      <c r="C18" s="2797">
        <f>SUMIF(修正!C18:C39,E3,修正!E18:E39)</f>
        <v>0</v>
      </c>
      <c r="D18" s="2798"/>
      <c r="E18" s="2799"/>
      <c r="F18" s="2800"/>
      <c r="G18" s="2794"/>
      <c r="H18" s="2794"/>
      <c r="I18" s="2794"/>
      <c r="J18" s="2801"/>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1837</v>
      </c>
      <c r="B19" s="1469" t="s">
        <v>958</v>
      </c>
      <c r="C19" s="1056" t="e">
        <f>ROUND(IF(H19="按公示增长率计算",SUMPRODUCT((地价!A3:A20=YEAR(G19)&amp;"-"&amp;ROUNDUP(MONTH(G19)/3,0))*(地价!X2:AB2=E2)*(地价!X3:AB20)),IF(H19="地价指数",M20/M19,(1+I19)^O19)),4)</f>
        <v>#DIV/0!</v>
      </c>
      <c r="D19" s="1473" t="s">
        <v>959</v>
      </c>
      <c r="E19" s="1057">
        <v>41640</v>
      </c>
      <c r="F19" s="1473" t="s">
        <v>960</v>
      </c>
      <c r="G19" s="1058">
        <f>'数据-取费表'!B2</f>
        <v>43104</v>
      </c>
      <c r="H19" s="1474" t="s">
        <v>2940</v>
      </c>
      <c r="I19" s="2808" t="str">
        <f>IF(H19="季度增幅（自定义）",SUMIF(N21:N24,E2,O21:O24),"")</f>
        <v/>
      </c>
      <c r="J19" s="1470"/>
      <c r="K19" s="1480"/>
      <c r="L19" s="3064" t="s">
        <v>2846</v>
      </c>
      <c r="M19" s="3065">
        <f>ROUND(SUMIF(地价!B2:F2,E2,地价!B20:F20),0)</f>
        <v>0</v>
      </c>
      <c r="N19" s="2810" t="s">
        <v>1678</v>
      </c>
      <c r="O19" s="2809">
        <f>ROUNDDOWN(DATEDIF(E19,G19,"M")/3,0)</f>
        <v>16</v>
      </c>
      <c r="P19" s="1595"/>
      <c r="R19" s="2949"/>
      <c r="S19" s="2949"/>
      <c r="T19" s="2949"/>
      <c r="U19" s="2949"/>
      <c r="V19" s="2949"/>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802" t="s">
        <v>1838</v>
      </c>
      <c r="B20" s="2803" t="s">
        <v>973</v>
      </c>
      <c r="C20" s="2804" t="e">
        <f>ROUND(POWER(1+G20,J20-I20)*(POWER(1+G20,I20)-1)/(POWER(1+G20,J20)-1),4)</f>
        <v>#DIV/0!</v>
      </c>
      <c r="D20" s="2805" t="s">
        <v>974</v>
      </c>
      <c r="E20" s="3120">
        <f ca="1">存贷款利率!I4/100</f>
        <v>4.3499999999999997E-2</v>
      </c>
      <c r="F20" s="2805" t="s">
        <v>975</v>
      </c>
      <c r="G20" s="2806">
        <f>SUMIF(M15:P15,E2,M17:P17)</f>
        <v>0</v>
      </c>
      <c r="H20" s="2805" t="s">
        <v>976</v>
      </c>
      <c r="I20" s="2795" t="e">
        <f>SUMIF('数据-取费表'!C6:C15,E2,'数据-取费表'!F6:F15)/COUNTIF('数据-取费表'!C6:C15,E2)</f>
        <v>#DIV/0!</v>
      </c>
      <c r="J20" s="2807">
        <f>IF(E2="住宅",70,IF(E2="商业",40,50))</f>
        <v>50</v>
      </c>
      <c r="K20" s="1480"/>
      <c r="L20" s="3066" t="s">
        <v>2847</v>
      </c>
      <c r="M20" s="3067">
        <f>ROUND(SUMPRODUCT((地价!A5:A20=YEAR(G19)&amp;"-"&amp;ROUNDUP(MONTH(G19)/3,0))*(地价!B2:F2=E2)*(地价!B5:F20)),0)</f>
        <v>0</v>
      </c>
      <c r="N20" s="2813" t="s">
        <v>2650</v>
      </c>
      <c r="O20" s="2811" t="s">
        <v>2649</v>
      </c>
      <c r="P20" s="2812" t="s">
        <v>2655</v>
      </c>
      <c r="R20" s="2949"/>
      <c r="S20" s="2949"/>
      <c r="T20" s="2949"/>
      <c r="U20" s="2949"/>
      <c r="V20" s="2949"/>
      <c r="W20" s="2193"/>
      <c r="X20" s="2193"/>
      <c r="Y20" s="2193"/>
      <c r="Z20" s="2193"/>
      <c r="AA20" s="2193"/>
      <c r="AB20" s="2193"/>
      <c r="AC20" s="2193"/>
      <c r="AD20" s="1471"/>
      <c r="AE20" s="1471"/>
      <c r="AF20" s="1471"/>
      <c r="AG20" s="1471"/>
      <c r="AH20" s="1471"/>
      <c r="AI20" s="1471"/>
    </row>
    <row r="21" spans="1:40" s="1420" customFormat="1" ht="14.25">
      <c r="A21" s="1641" t="s">
        <v>1839</v>
      </c>
      <c r="B21" s="1479" t="s">
        <v>2766</v>
      </c>
      <c r="C21" s="1157">
        <f>IF(B21="容积率修正",IF(G3&lt;=10,D22,J22),C23)</f>
        <v>0</v>
      </c>
      <c r="D21" s="1480"/>
      <c r="E21" s="1480"/>
      <c r="F21" s="1480"/>
      <c r="G21" s="1480"/>
      <c r="H21" s="1480"/>
      <c r="I21" s="1480"/>
      <c r="J21" s="1481"/>
      <c r="K21" s="1480"/>
      <c r="L21" s="1480"/>
      <c r="M21" s="1480"/>
      <c r="N21" s="1477" t="s">
        <v>977</v>
      </c>
      <c r="O21" s="1541"/>
      <c r="P21" s="2793">
        <f>SUMPRODUCT((地价!A3:A20=YEAR(G19)&amp;"-"&amp;ROUNDUP(MONTH(G19)/3,0))*(地价!AD2:AH2=N21)*(地价!AD3:AH20))</f>
        <v>0</v>
      </c>
      <c r="R21" s="2949"/>
      <c r="S21" s="2949"/>
      <c r="T21" s="2949"/>
      <c r="U21" s="2949"/>
      <c r="V21" s="2949"/>
      <c r="W21" s="2193"/>
      <c r="X21" s="2193"/>
      <c r="Y21" s="2193"/>
      <c r="Z21" s="2193"/>
      <c r="AA21" s="2193"/>
      <c r="AB21" s="2193"/>
      <c r="AC21" s="2193"/>
      <c r="AD21" s="1402"/>
      <c r="AE21" s="1402"/>
      <c r="AF21" s="1402"/>
      <c r="AG21" s="1402"/>
      <c r="AH21" s="1471"/>
      <c r="AI21" s="1471"/>
    </row>
    <row r="22" spans="1:40" s="1420" customFormat="1" ht="14.25">
      <c r="A22" s="1642" t="s">
        <v>1872</v>
      </c>
      <c r="B22" s="1482" t="s">
        <v>978</v>
      </c>
      <c r="C22" s="1059" t="s">
        <v>1704</v>
      </c>
      <c r="D22" s="1059" t="b">
        <f>IF(E22=G22,F22,IF(G3&lt;=10,ROUND(F22+(H22-F22)*(G3-E22)/(G22-E22),4),"——"))</f>
        <v>0</v>
      </c>
      <c r="E22" s="1038">
        <f>ROUNDDOWN(G3,1)</f>
        <v>1.2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0"/>
      <c r="L22" s="1480"/>
      <c r="M22" s="1480"/>
      <c r="N22" s="1477" t="s">
        <v>980</v>
      </c>
      <c r="O22" s="1541"/>
      <c r="P22" s="2793">
        <f>SUMPRODUCT((地价!A3:A20=YEAR(G19)&amp;"-"&amp;ROUNDUP(MONTH(G19)/3,0))*(地价!AD2:AH2=N22)*(地价!AD3:AH20))</f>
        <v>0</v>
      </c>
      <c r="R22" s="2949"/>
      <c r="S22" s="2949"/>
      <c r="T22" s="2949"/>
      <c r="U22" s="2949"/>
      <c r="V22" s="2949"/>
      <c r="W22" s="2193"/>
      <c r="X22" s="2193"/>
      <c r="Y22" s="2193"/>
      <c r="Z22" s="2193"/>
      <c r="AA22" s="2193"/>
      <c r="AB22" s="2193"/>
      <c r="AC22" s="2193"/>
      <c r="AD22" s="1471"/>
      <c r="AE22" s="1471"/>
      <c r="AF22" s="1471"/>
      <c r="AG22" s="1471"/>
      <c r="AH22" s="1471"/>
      <c r="AI22" s="1471"/>
    </row>
    <row r="23" spans="1:40" ht="27.75" thickBot="1">
      <c r="A23" s="1642" t="s">
        <v>1873</v>
      </c>
      <c r="B23" s="1482" t="s">
        <v>981</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924</v>
      </c>
      <c r="O23" s="1541"/>
      <c r="P23" s="2793">
        <f>SUMPRODUCT((地价!A3:A20=YEAR(G19)&amp;"-"&amp;ROUNDUP(MONTH(G19)/3,0))*(地价!AD2:AH2=N23)*(地价!AD3:AH20))</f>
        <v>0</v>
      </c>
      <c r="R23" s="2949"/>
      <c r="S23" s="2949"/>
      <c r="T23" s="2949"/>
      <c r="U23" s="2949"/>
      <c r="V23" s="2949"/>
      <c r="W23" s="2193"/>
      <c r="X23" s="2193"/>
      <c r="Y23" s="2193"/>
      <c r="Z23" s="2193"/>
      <c r="AA23" s="2193"/>
      <c r="AB23" s="2193"/>
      <c r="AC23" s="2193"/>
      <c r="AN23" s="1403"/>
    </row>
    <row r="24" spans="1:40" s="1420" customFormat="1" ht="15.75" thickBot="1">
      <c r="A24" s="1640" t="s">
        <v>1874</v>
      </c>
      <c r="B24" s="1414" t="s">
        <v>982</v>
      </c>
      <c r="C24" s="1061">
        <f>SUMIF(A44:A87,E2,B44:B87)</f>
        <v>0</v>
      </c>
      <c r="D24" s="1534"/>
      <c r="E24" s="1535"/>
      <c r="F24" s="1535"/>
      <c r="G24" s="1535"/>
      <c r="H24" s="1535"/>
      <c r="I24" s="1535"/>
      <c r="J24" s="1535"/>
      <c r="K24" s="1480"/>
      <c r="L24" s="1480"/>
      <c r="M24" s="1480"/>
      <c r="N24" s="1483" t="s">
        <v>983</v>
      </c>
      <c r="O24" s="1542"/>
      <c r="P24" s="1540">
        <f>SUMPRODUCT((地价!A3:A20=YEAR(G19)&amp;"-"&amp;ROUNDUP(MONTH(G19)/3,0))*(地价!AD2:AH2=N24)*(地价!AD3:AH20))</f>
        <v>0</v>
      </c>
      <c r="R24" s="2949"/>
      <c r="S24" s="2949"/>
      <c r="T24" s="2949"/>
      <c r="U24" s="2949"/>
      <c r="V24" s="2949"/>
      <c r="W24" s="2193"/>
      <c r="X24" s="2193"/>
      <c r="Y24" s="2193"/>
      <c r="Z24" s="2193"/>
      <c r="AA24" s="2193"/>
      <c r="AB24" s="2193"/>
      <c r="AC24" s="2193"/>
      <c r="AD24" s="1471"/>
      <c r="AE24" s="1471"/>
      <c r="AF24" s="1471"/>
      <c r="AG24" s="1471"/>
      <c r="AH24" s="1471"/>
      <c r="AI24" s="1471"/>
    </row>
    <row r="25" spans="1:40" ht="15" thickBot="1">
      <c r="A25" s="1640" t="s">
        <v>1875</v>
      </c>
      <c r="B25" s="1485" t="s">
        <v>984</v>
      </c>
      <c r="C25" s="1486"/>
      <c r="D25" s="1429"/>
      <c r="E25" s="1429"/>
      <c r="F25" s="1487"/>
      <c r="G25" s="1429"/>
      <c r="H25" s="1429"/>
      <c r="I25" s="1429"/>
      <c r="J25" s="1430"/>
      <c r="K25" s="1400"/>
      <c r="L25" s="2193"/>
      <c r="M25" s="2193"/>
      <c r="N25" s="2821" t="s">
        <v>2653</v>
      </c>
      <c r="O25" s="2193"/>
      <c r="P25" s="1540">
        <f>SUMPRODUCT((地价!A3:A20=YEAR(G19)&amp;"-"&amp;ROUNDUP(MONTH(G19)/3,0))*(地价!AD2:AH2=N25)*(地价!AD3:AH20))</f>
        <v>0</v>
      </c>
      <c r="R25" s="2949"/>
      <c r="S25" s="2949"/>
      <c r="T25" s="2949"/>
      <c r="U25" s="2949"/>
      <c r="V25" s="2949"/>
      <c r="W25" s="2193"/>
      <c r="X25" s="2193"/>
      <c r="Y25" s="2193"/>
      <c r="Z25" s="2193"/>
      <c r="AA25" s="2193"/>
      <c r="AB25" s="2193"/>
      <c r="AC25" s="2193"/>
    </row>
    <row r="26" spans="1:40" ht="14.25">
      <c r="A26" s="1488"/>
      <c r="B26" s="1482" t="s">
        <v>988</v>
      </c>
      <c r="C26" s="1062" t="e">
        <f>E29+SUM(E33:E39)</f>
        <v>#DIV/0!</v>
      </c>
      <c r="D26" s="1489"/>
      <c r="E26" s="1455"/>
      <c r="F26" s="1490"/>
      <c r="G26" s="1455"/>
      <c r="H26" s="1455"/>
      <c r="I26" s="1455"/>
      <c r="J26" s="1491"/>
      <c r="K26" s="1400"/>
      <c r="L26" s="2193"/>
      <c r="M26" s="2193"/>
      <c r="N26" s="2193"/>
      <c r="O26" s="2193"/>
      <c r="P26" s="2193"/>
      <c r="Q26" s="2193"/>
      <c r="R26" s="2949"/>
      <c r="S26" s="2949"/>
      <c r="T26" s="2949"/>
      <c r="U26" s="2949"/>
      <c r="V26" s="2949"/>
      <c r="W26" s="2193"/>
      <c r="X26" s="2193"/>
      <c r="Y26" s="2193"/>
      <c r="Z26" s="2193"/>
      <c r="AA26" s="2193"/>
      <c r="AB26" s="2193"/>
      <c r="AC26" s="2193"/>
      <c r="AD26" s="1471"/>
      <c r="AE26" s="1471"/>
      <c r="AF26" s="1471"/>
      <c r="AG26" s="1471"/>
    </row>
    <row r="27" spans="1:40" ht="15" thickBot="1">
      <c r="A27" s="1488"/>
      <c r="B27" s="1492" t="s">
        <v>990</v>
      </c>
      <c r="C27" s="1063" t="e">
        <f>E30+SUM(I33:I39)</f>
        <v>#DIV/0!</v>
      </c>
      <c r="D27" s="1493"/>
      <c r="E27" s="1494"/>
      <c r="F27" s="1495"/>
      <c r="G27" s="1494"/>
      <c r="H27" s="1494"/>
      <c r="I27" s="1494"/>
      <c r="J27" s="1496"/>
      <c r="K27" s="1400"/>
      <c r="L27" s="2193"/>
      <c r="M27" s="2193"/>
      <c r="N27" s="2193"/>
      <c r="O27" s="2193"/>
      <c r="P27" s="2193"/>
      <c r="Q27" s="2193"/>
      <c r="R27" s="2949"/>
      <c r="S27" s="2949"/>
      <c r="T27" s="2949"/>
      <c r="U27" s="2949"/>
      <c r="V27" s="2949"/>
      <c r="W27" s="2193"/>
      <c r="X27" s="2193"/>
      <c r="Y27" s="2193"/>
      <c r="Z27" s="2193"/>
      <c r="AA27" s="2193"/>
      <c r="AB27" s="2193"/>
      <c r="AC27" s="2193"/>
    </row>
    <row r="28" spans="1:40" ht="14.25">
      <c r="A28" s="1484"/>
      <c r="B28" s="1497" t="s">
        <v>991</v>
      </c>
      <c r="C28" s="1498" t="s">
        <v>992</v>
      </c>
      <c r="D28" s="1498" t="s">
        <v>993</v>
      </c>
      <c r="E28" s="1499" t="s">
        <v>994</v>
      </c>
      <c r="F28" s="1500"/>
      <c r="G28" s="1441"/>
      <c r="H28" s="1441"/>
      <c r="I28" s="1441"/>
      <c r="J28" s="1442"/>
      <c r="K28" s="1400"/>
      <c r="L28" s="2193"/>
      <c r="M28" s="2193"/>
      <c r="N28" s="2193"/>
      <c r="O28" s="2193"/>
      <c r="P28" s="2193"/>
      <c r="Q28" s="2193"/>
      <c r="R28" s="2949"/>
      <c r="S28" s="2949"/>
      <c r="T28" s="2949"/>
      <c r="U28" s="2949"/>
      <c r="V28" s="2949"/>
      <c r="W28" s="2193"/>
      <c r="X28" s="2193"/>
      <c r="Y28" s="2193"/>
      <c r="Z28" s="2193"/>
      <c r="AA28" s="2193"/>
      <c r="AB28" s="2193"/>
      <c r="AC28" s="2193"/>
      <c r="AD28" s="1471"/>
      <c r="AE28" s="1471"/>
      <c r="AF28" s="1471"/>
      <c r="AG28" s="1471"/>
    </row>
    <row r="29" spans="1:40" ht="24">
      <c r="A29" s="1501"/>
      <c r="B29" s="1502" t="s">
        <v>995</v>
      </c>
      <c r="C29" s="1062" t="e">
        <f>ROUND(C5*C18*C19*C20*C21*C24,0)</f>
        <v>#DIV/0!</v>
      </c>
      <c r="D29" s="1503"/>
      <c r="E29" s="1847" t="e">
        <f>ROUND(C29*D29/10000,0)</f>
        <v>#DIV/0!</v>
      </c>
      <c r="F29" s="1504" t="s">
        <v>1703</v>
      </c>
      <c r="G29" s="1505"/>
      <c r="H29" s="1505"/>
      <c r="I29" s="1505"/>
      <c r="J29" s="1506"/>
      <c r="K29" s="1400"/>
      <c r="L29" s="2193"/>
      <c r="M29" s="2193"/>
      <c r="N29" s="2193"/>
      <c r="O29" s="2193"/>
      <c r="P29" s="2193"/>
      <c r="Q29" s="2193"/>
      <c r="R29" s="2949"/>
      <c r="S29" s="2949"/>
      <c r="T29" s="2949"/>
      <c r="U29" s="2949"/>
      <c r="V29" s="2949"/>
      <c r="W29" s="2193"/>
      <c r="X29" s="2193"/>
      <c r="Y29" s="2193"/>
      <c r="Z29" s="2193"/>
      <c r="AA29" s="2193"/>
      <c r="AB29" s="2193"/>
      <c r="AC29" s="2193"/>
      <c r="AH29" s="1401"/>
      <c r="AI29" s="1401"/>
      <c r="AJ29" s="1404"/>
      <c r="AK29" s="1404"/>
      <c r="AL29" s="1404"/>
      <c r="AM29" s="1404"/>
    </row>
    <row r="30" spans="1:40" ht="24.75" thickBot="1">
      <c r="A30" s="1507"/>
      <c r="B30" s="1508" t="s">
        <v>996</v>
      </c>
      <c r="C30" s="1050" t="e">
        <f>ROUND(IF(E2="工业",C29*M39,C29*M38),0)</f>
        <v>#DIV/0!</v>
      </c>
      <c r="D30" s="1509"/>
      <c r="E30" s="1847" t="e">
        <f>ROUND(C30*D30/10000,0)</f>
        <v>#DIV/0!</v>
      </c>
      <c r="F30" s="1510" t="s">
        <v>997</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64" t="s">
        <v>2967</v>
      </c>
      <c r="B33" s="1523" t="s">
        <v>1001</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65"/>
      <c r="B34" s="1444" t="s">
        <v>1002</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65"/>
      <c r="B35" s="1444" t="s">
        <v>1003</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66"/>
      <c r="B36" s="1444" t="s">
        <v>1004</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1005</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1705</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1006</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1707</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1007</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1706</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41" t="s">
        <v>1008</v>
      </c>
      <c r="B44" s="2442"/>
      <c r="C44" s="2443"/>
      <c r="D44" s="2444"/>
      <c r="E44" s="2444"/>
      <c r="F44" s="2445"/>
      <c r="G44" s="1065"/>
      <c r="H44" s="2445"/>
      <c r="I44" s="1065"/>
      <c r="J44" s="1065"/>
      <c r="K44" s="1065"/>
      <c r="L44" s="1065"/>
      <c r="M44" s="1065"/>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46" t="s">
        <v>1009</v>
      </c>
      <c r="B45" s="2447">
        <f>1+E47</f>
        <v>1</v>
      </c>
      <c r="C45" s="2448"/>
      <c r="D45" s="2449"/>
      <c r="E45" s="2450"/>
      <c r="F45" s="2451"/>
      <c r="G45" s="2445"/>
      <c r="H45" s="2445"/>
      <c r="I45" s="1065"/>
      <c r="J45" s="1065"/>
      <c r="K45" s="1065"/>
      <c r="L45" s="1065"/>
      <c r="M45" s="1065"/>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6" t="s">
        <v>1010</v>
      </c>
      <c r="B46" s="2430" t="s">
        <v>1011</v>
      </c>
      <c r="C46" s="2452" t="s">
        <v>1012</v>
      </c>
      <c r="D46" s="2453" t="s">
        <v>1013</v>
      </c>
      <c r="E46" s="2454" t="s">
        <v>1015</v>
      </c>
      <c r="F46" s="2455" t="s">
        <v>2252</v>
      </c>
      <c r="G46" s="2453" t="s">
        <v>1016</v>
      </c>
      <c r="H46" s="2436" t="s">
        <v>2419</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36">
      <c r="A47" s="1066" t="s">
        <v>1022</v>
      </c>
      <c r="B47" s="2433" t="str">
        <f>估价对象房地状况!C16</f>
        <v>估价对象位于XX商圈，周边商业氛围成熟，人流量大，商业繁华度好</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48">
      <c r="A48" s="1066" t="s">
        <v>1023</v>
      </c>
      <c r="B48" s="2430" t="str">
        <f>估价对象房地状况!C18</f>
        <v>估价对象周边道路状况、公共交通通达情况、停车便捷程度，综合评价交通便捷度较好</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6" t="s">
        <v>1024</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6" t="s">
        <v>1025</v>
      </c>
      <c r="B50" s="3122" t="s">
        <v>2942</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6" t="s">
        <v>1026</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6" t="s">
        <v>1027</v>
      </c>
      <c r="B52" s="3121" t="s">
        <v>2941</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62" t="s">
        <v>1028</v>
      </c>
      <c r="B53" s="2431" t="str">
        <f>估价对象房地状况!C21</f>
        <v>估价对象所在区域公共配套设施齐备情况</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62" t="s">
        <v>1029</v>
      </c>
      <c r="B54" s="2430" t="str">
        <f>估价对象房地状况!C22</f>
        <v>估价对象所在区域基础设施水平</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36.75" thickBot="1">
      <c r="A55" s="2463" t="s">
        <v>1030</v>
      </c>
      <c r="B55" s="2434" t="str">
        <f>估价对象房地状况!C20</f>
        <v>区域自然环境：；人文环境；综合评价环境状况一般</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46" t="s">
        <v>1031</v>
      </c>
      <c r="B56" s="2447">
        <f>1+E58</f>
        <v>1</v>
      </c>
      <c r="C56" s="2466"/>
      <c r="D56" s="2449"/>
      <c r="E56" s="2450"/>
      <c r="F56" s="2451"/>
      <c r="G56" s="2445"/>
      <c r="H56" s="2445"/>
      <c r="I56" s="2445"/>
      <c r="J56" s="1065"/>
      <c r="K56" s="1065"/>
      <c r="L56" s="1065"/>
      <c r="M56" s="1065"/>
      <c r="N56" s="1065"/>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6" t="s">
        <v>1010</v>
      </c>
      <c r="B57" s="2430"/>
      <c r="C57" s="2452" t="s">
        <v>1012</v>
      </c>
      <c r="D57" s="2453" t="s">
        <v>1013</v>
      </c>
      <c r="E57" s="2454" t="s">
        <v>1015</v>
      </c>
      <c r="F57" s="2455" t="s">
        <v>2253</v>
      </c>
      <c r="G57" s="2453" t="s">
        <v>1016</v>
      </c>
      <c r="H57" s="2436" t="s">
        <v>2419</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36">
      <c r="A58" s="1066" t="s">
        <v>1032</v>
      </c>
      <c r="B58" s="2433" t="str">
        <f>估价对象房地状况!C17</f>
        <v>估价对象位于XX商圈，周边办公楼项目较多，入驻率高，办公集聚程度较好</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48">
      <c r="A59" s="1066" t="s">
        <v>1023</v>
      </c>
      <c r="B59" s="2430" t="str">
        <f>估价对象房地状况!C18</f>
        <v>估价对象周边道路状况、公共交通通达情况、停车便捷程度，综合评价交通便捷度较好</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6" t="s">
        <v>1024</v>
      </c>
      <c r="B60" s="2430">
        <f>估价对象房地状况!C19</f>
        <v>0</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6" t="s">
        <v>1025</v>
      </c>
      <c r="B61" s="3122" t="s">
        <v>2943</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6" t="s">
        <v>1026</v>
      </c>
      <c r="B62" s="2430">
        <f>估价对象房地状况!C24</f>
        <v>0</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6" t="s">
        <v>1027</v>
      </c>
      <c r="B63" s="3121" t="s">
        <v>2941</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6" t="s">
        <v>1028</v>
      </c>
      <c r="B64" s="2431" t="str">
        <f>估价对象房地状况!C21</f>
        <v>估价对象所在区域公共配套设施齐备情况</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6" t="s">
        <v>1029</v>
      </c>
      <c r="B65" s="2431" t="str">
        <f>估价对象房地状况!C22</f>
        <v>估价对象所在区域基础设施水平</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36.75" thickBot="1">
      <c r="A66" s="2463" t="s">
        <v>1030</v>
      </c>
      <c r="B66" s="2435" t="str">
        <f>估价对象房地状况!C20</f>
        <v>区域自然环境：；人文环境；综合评价环境状况一般</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46" t="s">
        <v>1033</v>
      </c>
      <c r="B67" s="2447">
        <f>1+E69</f>
        <v>1</v>
      </c>
      <c r="C67" s="2466"/>
      <c r="D67" s="2449"/>
      <c r="E67" s="2450"/>
      <c r="F67" s="2451"/>
      <c r="G67" s="2445"/>
      <c r="H67" s="2445"/>
      <c r="I67" s="2445"/>
      <c r="J67" s="1065"/>
      <c r="K67" s="1065"/>
      <c r="L67" s="1065"/>
      <c r="M67" s="1065"/>
      <c r="N67" s="1065"/>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6" t="s">
        <v>1010</v>
      </c>
      <c r="B68" s="2430"/>
      <c r="C68" s="2452" t="s">
        <v>1012</v>
      </c>
      <c r="D68" s="2453" t="s">
        <v>1013</v>
      </c>
      <c r="E68" s="2454" t="s">
        <v>1015</v>
      </c>
      <c r="F68" s="2455" t="s">
        <v>2254</v>
      </c>
      <c r="G68" s="2453" t="s">
        <v>1016</v>
      </c>
      <c r="H68" s="2436" t="s">
        <v>2419</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48">
      <c r="A69" s="1066" t="s">
        <v>1034</v>
      </c>
      <c r="B69" s="2433" t="str">
        <f>估价对象房地状况!C15</f>
        <v>估价对象周边居住用地比例、居住小区规模和社区发展完善程度，综合评价居住社区成熟度一般</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48">
      <c r="A70" s="1066" t="s">
        <v>1035</v>
      </c>
      <c r="B70" s="2430" t="str">
        <f>估价对象房地状况!C18</f>
        <v>估价对象周边道路状况、公共交通通达情况、停车便捷程度，综合评价交通便捷度较好</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6" t="s">
        <v>1024</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6" t="s">
        <v>1036</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6" t="s">
        <v>1028</v>
      </c>
      <c r="B73" s="2431" t="str">
        <f>估价对象房地状况!C21</f>
        <v>估价对象所在区域公共配套设施齐备情况</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6" t="s">
        <v>1029</v>
      </c>
      <c r="B74" s="2431" t="str">
        <f>估价对象房地状况!C22</f>
        <v>估价对象所在区域基础设施水平</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6" t="s">
        <v>1027</v>
      </c>
      <c r="B75" s="3121" t="s">
        <v>2941</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36">
      <c r="A76" s="1066" t="s">
        <v>1030</v>
      </c>
      <c r="B76" s="2433" t="str">
        <f>估价对象房地状况!C20</f>
        <v>区域自然环境：；人文环境；综合评价环境状况一般</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63" t="s">
        <v>1037</v>
      </c>
      <c r="B77" s="1848"/>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1038</v>
      </c>
      <c r="B78" s="2447">
        <f>1+E80</f>
        <v>1</v>
      </c>
      <c r="C78" s="2466"/>
      <c r="D78" s="2449"/>
      <c r="E78" s="2450"/>
      <c r="F78" s="2451"/>
      <c r="G78" s="2445"/>
      <c r="H78" s="2445"/>
      <c r="I78" s="2445"/>
      <c r="J78" s="1065"/>
      <c r="K78" s="1065"/>
      <c r="L78" s="1065"/>
      <c r="M78" s="1065"/>
      <c r="N78" s="1065"/>
      <c r="AC78" s="1404"/>
      <c r="AD78" s="1403"/>
      <c r="AJ78" s="1402"/>
      <c r="AN78" s="1403"/>
    </row>
    <row r="79" spans="1:40" ht="24">
      <c r="A79" s="1066" t="s">
        <v>1010</v>
      </c>
      <c r="B79" s="2430"/>
      <c r="C79" s="2452" t="s">
        <v>1012</v>
      </c>
      <c r="D79" s="2453" t="s">
        <v>1013</v>
      </c>
      <c r="E79" s="2454" t="s">
        <v>1015</v>
      </c>
      <c r="F79" s="2455" t="s">
        <v>2255</v>
      </c>
      <c r="G79" s="2453" t="s">
        <v>1016</v>
      </c>
      <c r="H79" s="2436" t="s">
        <v>2419</v>
      </c>
      <c r="I79" s="2453" t="s">
        <v>1014</v>
      </c>
      <c r="J79" s="2456" t="s">
        <v>1017</v>
      </c>
      <c r="K79" s="2456" t="s">
        <v>1018</v>
      </c>
      <c r="L79" s="2456" t="s">
        <v>1019</v>
      </c>
      <c r="M79" s="2456" t="s">
        <v>1020</v>
      </c>
      <c r="N79" s="2456" t="s">
        <v>1021</v>
      </c>
      <c r="AC79" s="1404"/>
      <c r="AD79" s="1403"/>
      <c r="AJ79" s="1402"/>
      <c r="AN79" s="1403"/>
    </row>
    <row r="80" spans="1:40" ht="36">
      <c r="A80" s="1066" t="s">
        <v>1039</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48">
      <c r="A81" s="1066" t="s">
        <v>1035</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6" t="s">
        <v>1024</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6" t="s">
        <v>1036</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6" t="s">
        <v>1028</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6" t="s">
        <v>1029</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6" t="s">
        <v>1027</v>
      </c>
      <c r="B86" s="3121" t="s">
        <v>2941</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36.75" thickBot="1">
      <c r="A87" s="2463" t="s">
        <v>1040</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462" t="s">
        <v>1635</v>
      </c>
      <c r="B90" s="3462"/>
      <c r="C90" s="3462"/>
      <c r="D90" s="3462"/>
      <c r="E90" s="3462"/>
      <c r="F90" s="3462"/>
      <c r="G90" s="3462"/>
      <c r="H90" s="3462"/>
      <c r="I90" s="3462"/>
      <c r="J90" s="3462"/>
      <c r="K90" s="2472"/>
      <c r="L90" s="2472"/>
      <c r="M90" s="2472"/>
      <c r="N90" s="2472"/>
    </row>
    <row r="91" spans="1:40">
      <c r="A91" s="3463" t="s">
        <v>1445</v>
      </c>
      <c r="B91" s="3463" t="s">
        <v>1636</v>
      </c>
      <c r="C91" s="1139" t="s">
        <v>1637</v>
      </c>
      <c r="D91" s="1140"/>
      <c r="E91" s="1140"/>
      <c r="F91" s="1140"/>
      <c r="G91" s="1140"/>
      <c r="H91" s="1140"/>
      <c r="I91" s="1140"/>
      <c r="J91" s="1141"/>
      <c r="K91" s="1133"/>
      <c r="L91" s="1133"/>
      <c r="M91" s="1133"/>
      <c r="N91" s="1133"/>
    </row>
    <row r="92" spans="1:40">
      <c r="A92" s="3463"/>
      <c r="B92" s="3463"/>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470"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7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7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7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7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7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71"/>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7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70" t="s">
        <v>1639</v>
      </c>
      <c r="B101" s="1146" t="s">
        <v>907</v>
      </c>
      <c r="C101" s="1147">
        <f>$G$3</f>
        <v>1.2</v>
      </c>
      <c r="D101" s="1147">
        <f t="shared" ref="D101:N101" si="31">$G$3</f>
        <v>1.2</v>
      </c>
      <c r="E101" s="1147">
        <f t="shared" si="31"/>
        <v>1.2</v>
      </c>
      <c r="F101" s="1147">
        <f t="shared" si="31"/>
        <v>1.2</v>
      </c>
      <c r="G101" s="1147">
        <f t="shared" si="31"/>
        <v>1.2</v>
      </c>
      <c r="H101" s="1147">
        <f t="shared" si="31"/>
        <v>1.2</v>
      </c>
      <c r="I101" s="1147">
        <f t="shared" si="31"/>
        <v>1.2</v>
      </c>
      <c r="J101" s="1147">
        <f t="shared" si="31"/>
        <v>1.2</v>
      </c>
      <c r="K101" s="1147">
        <f t="shared" si="31"/>
        <v>1.2</v>
      </c>
      <c r="L101" s="1147">
        <f t="shared" si="31"/>
        <v>1.2</v>
      </c>
      <c r="M101" s="1147">
        <f t="shared" si="31"/>
        <v>1.2</v>
      </c>
      <c r="N101" s="1147">
        <f t="shared" si="31"/>
        <v>1.2</v>
      </c>
    </row>
    <row r="102" spans="1:14">
      <c r="A102" s="3471"/>
      <c r="B102" s="1142">
        <v>1</v>
      </c>
      <c r="C102" s="1143">
        <f>1.9362/C101</f>
        <v>1.6134999999999999</v>
      </c>
      <c r="D102" s="1143">
        <f>1.9362/D101</f>
        <v>1.6134999999999999</v>
      </c>
      <c r="E102" s="1143">
        <f>1.8629/E101</f>
        <v>1.5524166666666668</v>
      </c>
      <c r="F102" s="1143">
        <f>1.8629/F101</f>
        <v>1.5524166666666668</v>
      </c>
      <c r="G102" s="1143">
        <f>1.8629/G101</f>
        <v>1.5524166666666668</v>
      </c>
      <c r="H102" s="1143">
        <f>1.8629/H101</f>
        <v>1.5524166666666668</v>
      </c>
      <c r="I102" s="1143">
        <f>1.8629/I101</f>
        <v>1.5524166666666668</v>
      </c>
      <c r="J102" s="1143">
        <f>1.942/J101</f>
        <v>1.6183333333333334</v>
      </c>
      <c r="K102" s="1143">
        <f>1.942/K101</f>
        <v>1.6183333333333334</v>
      </c>
      <c r="L102" s="1143">
        <f>1.942/L101</f>
        <v>1.6183333333333334</v>
      </c>
      <c r="M102" s="1143">
        <f>1.942/M101</f>
        <v>1.6183333333333334</v>
      </c>
      <c r="N102" s="1143">
        <f>1.942/N101</f>
        <v>1.6183333333333334</v>
      </c>
    </row>
    <row r="103" spans="1:14">
      <c r="A103" s="3471"/>
      <c r="B103" s="1142">
        <v>2</v>
      </c>
      <c r="C103" s="1143">
        <f>1.4198/C101</f>
        <v>1.1831666666666667</v>
      </c>
      <c r="D103" s="1143">
        <f>1.4198/D101</f>
        <v>1.1831666666666667</v>
      </c>
      <c r="E103" s="1143">
        <f>1.3372/E101</f>
        <v>1.1143333333333334</v>
      </c>
      <c r="F103" s="1143">
        <f>1.3372/F101</f>
        <v>1.1143333333333334</v>
      </c>
      <c r="G103" s="1143">
        <f>1.3372/G101</f>
        <v>1.1143333333333334</v>
      </c>
      <c r="H103" s="1143">
        <f>1.3372/H101</f>
        <v>1.1143333333333334</v>
      </c>
      <c r="I103" s="1143">
        <f>1.3372/I101</f>
        <v>1.1143333333333334</v>
      </c>
      <c r="J103" s="1143">
        <f>1.2799/J101</f>
        <v>1.0665833333333334</v>
      </c>
      <c r="K103" s="1143">
        <f>1.2799/K101</f>
        <v>1.0665833333333334</v>
      </c>
      <c r="L103" s="1143">
        <f>1.2799/L101</f>
        <v>1.0665833333333334</v>
      </c>
      <c r="M103" s="1143">
        <f>1.2799/M101</f>
        <v>1.0665833333333334</v>
      </c>
      <c r="N103" s="1143">
        <f>1.2799/N101</f>
        <v>1.0665833333333334</v>
      </c>
    </row>
    <row r="104" spans="1:14">
      <c r="A104" s="3471"/>
      <c r="B104" s="1142">
        <v>3</v>
      </c>
      <c r="C104" s="1143">
        <f>1.1594/C101</f>
        <v>0.96616666666666673</v>
      </c>
      <c r="D104" s="1143">
        <f>1.1594/D101</f>
        <v>0.96616666666666673</v>
      </c>
      <c r="E104" s="1143">
        <f>1.0788/E101</f>
        <v>0.89900000000000002</v>
      </c>
      <c r="F104" s="1143">
        <f>1.0788/F101</f>
        <v>0.89900000000000002</v>
      </c>
      <c r="G104" s="1143">
        <f>1.0788/G101</f>
        <v>0.89900000000000002</v>
      </c>
      <c r="H104" s="1143">
        <f>1.0788/H101</f>
        <v>0.89900000000000002</v>
      </c>
      <c r="I104" s="1143">
        <f>1.0788/I101</f>
        <v>0.89900000000000002</v>
      </c>
      <c r="J104" s="1143">
        <f>1.0072/J101</f>
        <v>0.83933333333333349</v>
      </c>
      <c r="K104" s="1143">
        <f>1.0072/K101</f>
        <v>0.83933333333333349</v>
      </c>
      <c r="L104" s="1143">
        <f>1.0072/L101</f>
        <v>0.83933333333333349</v>
      </c>
      <c r="M104" s="1143">
        <f>1.0072/M101</f>
        <v>0.83933333333333349</v>
      </c>
      <c r="N104" s="1143">
        <f>1.0072/N101</f>
        <v>0.83933333333333349</v>
      </c>
    </row>
    <row r="105" spans="1:14">
      <c r="A105" s="3471"/>
      <c r="B105" s="1142">
        <v>4</v>
      </c>
      <c r="C105" s="1143">
        <f>0.9622/C101</f>
        <v>0.8018333333333334</v>
      </c>
      <c r="D105" s="1143">
        <f>0.9622/D101</f>
        <v>0.8018333333333334</v>
      </c>
      <c r="E105" s="1143">
        <f>0.8656/E101</f>
        <v>0.72133333333333338</v>
      </c>
      <c r="F105" s="1143">
        <f>0.8656/F101</f>
        <v>0.72133333333333338</v>
      </c>
      <c r="G105" s="1143">
        <f>0.8656/G101</f>
        <v>0.72133333333333338</v>
      </c>
      <c r="H105" s="1143">
        <f>0.8656/H101</f>
        <v>0.72133333333333338</v>
      </c>
      <c r="I105" s="1143">
        <f>0.8656/I101</f>
        <v>0.72133333333333338</v>
      </c>
      <c r="J105" s="1143">
        <f>0.7525/J101</f>
        <v>0.62708333333333333</v>
      </c>
      <c r="K105" s="1143">
        <f>0.7525/K101</f>
        <v>0.62708333333333333</v>
      </c>
      <c r="L105" s="1143">
        <f>0.7525/L101</f>
        <v>0.62708333333333333</v>
      </c>
      <c r="M105" s="1143">
        <f>0.7525/M101</f>
        <v>0.62708333333333333</v>
      </c>
      <c r="N105" s="1143">
        <f>0.7525/N101</f>
        <v>0.62708333333333333</v>
      </c>
    </row>
    <row r="106" spans="1:14">
      <c r="A106" s="3471"/>
      <c r="B106" s="1142">
        <v>5</v>
      </c>
      <c r="C106" s="1143">
        <f>0.8417/C101</f>
        <v>0.70141666666666669</v>
      </c>
      <c r="D106" s="1143">
        <f>0.8417/D101</f>
        <v>0.70141666666666669</v>
      </c>
      <c r="E106" s="1143">
        <f>0.7371/E101</f>
        <v>0.61424999999999996</v>
      </c>
      <c r="F106" s="1143">
        <f>0.7371/F101</f>
        <v>0.61424999999999996</v>
      </c>
      <c r="G106" s="1143">
        <f>0.7371/G101</f>
        <v>0.61424999999999996</v>
      </c>
      <c r="H106" s="1143">
        <f>0.7371/H101</f>
        <v>0.61424999999999996</v>
      </c>
      <c r="I106" s="1143">
        <f>0.7371/I101</f>
        <v>0.61424999999999996</v>
      </c>
      <c r="J106" s="1143">
        <f>0.5659/J101</f>
        <v>0.4715833333333333</v>
      </c>
      <c r="K106" s="1143">
        <f>0.5659/K101</f>
        <v>0.4715833333333333</v>
      </c>
      <c r="L106" s="1143">
        <f>0.5659/L101</f>
        <v>0.4715833333333333</v>
      </c>
      <c r="M106" s="1143">
        <f>0.5659/M101</f>
        <v>0.4715833333333333</v>
      </c>
      <c r="N106" s="1143">
        <f>0.5659/N101</f>
        <v>0.4715833333333333</v>
      </c>
    </row>
    <row r="107" spans="1:14">
      <c r="A107" s="3471"/>
      <c r="B107" s="1142">
        <v>6</v>
      </c>
      <c r="C107" s="1143">
        <f>0.7608/C101</f>
        <v>0.63400000000000001</v>
      </c>
      <c r="D107" s="1143">
        <f>0.7608/D101</f>
        <v>0.63400000000000001</v>
      </c>
      <c r="E107" s="1143">
        <f>0.6482/E101</f>
        <v>0.54016666666666668</v>
      </c>
      <c r="F107" s="1143">
        <f>0.6482/F101</f>
        <v>0.54016666666666668</v>
      </c>
      <c r="G107" s="1143">
        <f>0.6482/G101</f>
        <v>0.54016666666666668</v>
      </c>
      <c r="H107" s="1143">
        <f>0.6482/H101</f>
        <v>0.54016666666666668</v>
      </c>
      <c r="I107" s="1143">
        <f>0.6482/I101</f>
        <v>0.54016666666666668</v>
      </c>
      <c r="J107" s="1143">
        <f>0.4525/J101</f>
        <v>0.37708333333333338</v>
      </c>
      <c r="K107" s="1143">
        <f>0.4525/K101</f>
        <v>0.37708333333333338</v>
      </c>
      <c r="L107" s="1143">
        <f>0.4525/L101</f>
        <v>0.37708333333333338</v>
      </c>
      <c r="M107" s="1143">
        <f>0.4525/M101</f>
        <v>0.37708333333333338</v>
      </c>
      <c r="N107" s="1143">
        <f>0.4525/N101</f>
        <v>0.37708333333333338</v>
      </c>
    </row>
    <row r="108" spans="1:14">
      <c r="A108" s="3471"/>
      <c r="B108" s="3473"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72"/>
      <c r="B109" s="3474"/>
      <c r="C109" s="1145">
        <f>(-0.163*(C108^2)-0.59*C108+7617)*(10^(-4))/C101</f>
        <v>0.6334873333333334</v>
      </c>
      <c r="D109" s="1145">
        <f>(-0.163*(D108^2)-0.59*D108+7617)*(10^(-4))/D101</f>
        <v>0.6334873333333334</v>
      </c>
      <c r="E109" s="1145">
        <f>(-0.161*(E108^2)-7.509*E108+6533)*(10^(-4))/E101</f>
        <v>0.53855200000000003</v>
      </c>
      <c r="F109" s="1145">
        <f>(-0.161*(F108^2)-7.509*F108+6533)*(10^(-4))/F101</f>
        <v>0.53855200000000003</v>
      </c>
      <c r="G109" s="1145">
        <f>(-0.161*(G108^2)-7.509*G108+6533)*(10^(-4))/G101</f>
        <v>0.53855200000000003</v>
      </c>
      <c r="H109" s="1145">
        <f>(-0.161*(H108^2)-7.509*H108+6533)*(10^(-4))/H101</f>
        <v>0.53855200000000003</v>
      </c>
      <c r="I109" s="1145">
        <f>(-0.161*(I108^2)-7.509*I108+6533)*(10^(-4))/I101</f>
        <v>0.53855200000000003</v>
      </c>
      <c r="J109" s="1145">
        <f>(-0.214*(J108^2)-21.991*J108+4665)*(10^(-4))/J101</f>
        <v>0.37294800000000006</v>
      </c>
      <c r="K109" s="1145">
        <f>(-0.214*(K108^2)-21.991*K108+4665)*(10^(-4))/K101</f>
        <v>0.37294800000000006</v>
      </c>
      <c r="L109" s="1145">
        <f>(-0.214*(L108^2)-21.991*L108+4665)*(10^(-4))/L101</f>
        <v>0.37294800000000006</v>
      </c>
      <c r="M109" s="1145">
        <f>(-0.214*(M108^2)-21.991*M108+4665)*(10^(-4))/M101</f>
        <v>0.37294800000000006</v>
      </c>
      <c r="N109" s="1145">
        <f>(-0.214*(N108^2)-21.991*N108+4665)*(10^(-4))/N101</f>
        <v>0.37294800000000006</v>
      </c>
    </row>
    <row r="110" spans="1:14">
      <c r="A110" s="3457" t="s">
        <v>1641</v>
      </c>
      <c r="B110" s="3457"/>
      <c r="C110" s="3457"/>
      <c r="D110" s="3457"/>
      <c r="E110" s="3457"/>
      <c r="F110" s="3457"/>
      <c r="G110" s="3457"/>
      <c r="H110" s="3457"/>
      <c r="I110" s="3457"/>
      <c r="J110" s="3457"/>
      <c r="K110" s="2470"/>
      <c r="L110" s="2470"/>
      <c r="M110" s="2470"/>
      <c r="N110" s="2470"/>
    </row>
    <row r="112" spans="1:14" ht="12.75" thickBot="1"/>
    <row r="113" spans="1:13" ht="25.5" thickBot="1">
      <c r="A113" s="1015" t="s">
        <v>897</v>
      </c>
      <c r="B113" s="2473">
        <f>G3</f>
        <v>1.2</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0.92220000000000002</v>
      </c>
      <c r="C115" s="1029">
        <f>B115</f>
        <v>0.92220000000000002</v>
      </c>
      <c r="D115" s="1029">
        <f>ROUND(0.8331-0.0109*B113,4)</f>
        <v>0.82</v>
      </c>
      <c r="E115" s="1029">
        <f>D115</f>
        <v>0.82</v>
      </c>
      <c r="F115" s="1029">
        <f>E115</f>
        <v>0.82</v>
      </c>
      <c r="G115" s="1029">
        <f>F115</f>
        <v>0.82</v>
      </c>
      <c r="H115" s="1029">
        <f>G115</f>
        <v>0.82</v>
      </c>
      <c r="I115" s="1029">
        <f>ROUND(0.689-0.0155*B113,4)</f>
        <v>0.6704</v>
      </c>
      <c r="J115" s="1029">
        <f t="shared" ref="J115:M118" si="33">I115</f>
        <v>0.6704</v>
      </c>
      <c r="K115" s="1029">
        <f t="shared" si="33"/>
        <v>0.6704</v>
      </c>
      <c r="L115" s="1029">
        <f t="shared" si="33"/>
        <v>0.6704</v>
      </c>
      <c r="M115" s="1030">
        <f t="shared" si="33"/>
        <v>0.6704</v>
      </c>
    </row>
    <row r="116" spans="1:13" ht="12.75">
      <c r="A116" s="1028" t="s">
        <v>902</v>
      </c>
      <c r="B116" s="1029">
        <f>ROUND(0.949-0.012*B113,4)</f>
        <v>0.93459999999999999</v>
      </c>
      <c r="C116" s="1029">
        <f>B116</f>
        <v>0.93459999999999999</v>
      </c>
      <c r="D116" s="1029">
        <f>ROUND(0.8567-0.013*B113,4)</f>
        <v>0.84109999999999996</v>
      </c>
      <c r="E116" s="1029">
        <f t="shared" ref="E116:H117" si="34">D116</f>
        <v>0.84109999999999996</v>
      </c>
      <c r="F116" s="1029">
        <f t="shared" si="34"/>
        <v>0.84109999999999996</v>
      </c>
      <c r="G116" s="1029">
        <f t="shared" si="34"/>
        <v>0.84109999999999996</v>
      </c>
      <c r="H116" s="1029">
        <f t="shared" si="34"/>
        <v>0.84109999999999996</v>
      </c>
      <c r="I116" s="1029">
        <f>ROUND(0.7694-0.014*B113,4)</f>
        <v>0.75260000000000005</v>
      </c>
      <c r="J116" s="1029">
        <f t="shared" si="33"/>
        <v>0.75260000000000005</v>
      </c>
      <c r="K116" s="1029">
        <f t="shared" si="33"/>
        <v>0.75260000000000005</v>
      </c>
      <c r="L116" s="1029">
        <f t="shared" si="33"/>
        <v>0.75260000000000005</v>
      </c>
      <c r="M116" s="1030">
        <f t="shared" si="33"/>
        <v>0.75260000000000005</v>
      </c>
    </row>
    <row r="117" spans="1:13" ht="12.75">
      <c r="A117" s="1031" t="s">
        <v>903</v>
      </c>
      <c r="B117" s="1029">
        <f>ROUND(0.8808-0.006*B113,4)</f>
        <v>0.87360000000000004</v>
      </c>
      <c r="C117" s="1029">
        <f>B117</f>
        <v>0.87360000000000004</v>
      </c>
      <c r="D117" s="1029">
        <f>ROUND(0.8748-0.008*B113,4)</f>
        <v>0.86519999999999997</v>
      </c>
      <c r="E117" s="1029">
        <f t="shared" si="34"/>
        <v>0.86519999999999997</v>
      </c>
      <c r="F117" s="1029">
        <f t="shared" si="34"/>
        <v>0.86519999999999997</v>
      </c>
      <c r="G117" s="1029">
        <f t="shared" si="34"/>
        <v>0.86519999999999997</v>
      </c>
      <c r="H117" s="1029">
        <f t="shared" si="34"/>
        <v>0.86519999999999997</v>
      </c>
      <c r="I117" s="1029">
        <f>ROUND(0.7412-0.0095*B113,4)</f>
        <v>0.7298</v>
      </c>
      <c r="J117" s="1029">
        <f t="shared" si="33"/>
        <v>0.7298</v>
      </c>
      <c r="K117" s="1029">
        <f t="shared" si="33"/>
        <v>0.7298</v>
      </c>
      <c r="L117" s="1029">
        <f t="shared" si="33"/>
        <v>0.7298</v>
      </c>
      <c r="M117" s="1030">
        <f t="shared" si="33"/>
        <v>0.7298</v>
      </c>
    </row>
    <row r="118" spans="1:13" ht="13.5" thickBot="1">
      <c r="A118" s="1032" t="s">
        <v>904</v>
      </c>
      <c r="B118" s="1033">
        <f>ROUND(0.7275-0.01*B113,4)</f>
        <v>0.71550000000000002</v>
      </c>
      <c r="C118" s="1033">
        <f>B118</f>
        <v>0.71550000000000002</v>
      </c>
      <c r="D118" s="1033">
        <f>ROUND(0.7043-0.012*B113,4)</f>
        <v>0.68989999999999996</v>
      </c>
      <c r="E118" s="1033">
        <f>D118</f>
        <v>0.68989999999999996</v>
      </c>
      <c r="F118" s="1033">
        <f>E118</f>
        <v>0.68989999999999996</v>
      </c>
      <c r="G118" s="1033">
        <f>ROUND(0.6299-0.0122*B113,4)</f>
        <v>0.61529999999999996</v>
      </c>
      <c r="H118" s="1033">
        <f>G118</f>
        <v>0.61529999999999996</v>
      </c>
      <c r="I118" s="1033">
        <f>ROUND(0.5667-0.0136*B113,4)</f>
        <v>0.5504</v>
      </c>
      <c r="J118" s="1033">
        <f t="shared" si="33"/>
        <v>0.5504</v>
      </c>
      <c r="K118" s="1033">
        <f t="shared" si="33"/>
        <v>0.5504</v>
      </c>
      <c r="L118" s="1033">
        <f t="shared" si="33"/>
        <v>0.5504</v>
      </c>
      <c r="M118" s="1034">
        <f t="shared" si="33"/>
        <v>0.5504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8" customFormat="1" ht="19.5" customHeight="1">
      <c r="A18" s="3463" t="s">
        <v>1009</v>
      </c>
      <c r="B18" s="1153" t="s">
        <v>1448</v>
      </c>
      <c r="C18" s="1130" t="s">
        <v>1449</v>
      </c>
      <c r="D18" s="1131"/>
      <c r="E18" s="1153">
        <v>1</v>
      </c>
      <c r="F18" s="1132" t="s">
        <v>1450</v>
      </c>
      <c r="G18" s="1133"/>
      <c r="H18" s="1104"/>
      <c r="I18" s="1104"/>
    </row>
    <row r="19" spans="1:9" s="1598" customFormat="1" ht="19.5" customHeight="1">
      <c r="A19" s="3463"/>
      <c r="B19" s="3463" t="s">
        <v>1451</v>
      </c>
      <c r="C19" s="1130" t="s">
        <v>1452</v>
      </c>
      <c r="D19" s="1131"/>
      <c r="E19" s="1153">
        <v>0.9</v>
      </c>
      <c r="F19" s="1132" t="s">
        <v>1453</v>
      </c>
      <c r="G19" s="1133"/>
      <c r="H19" s="1104"/>
      <c r="I19" s="1104"/>
    </row>
    <row r="20" spans="1:9" s="1598" customFormat="1" ht="19.5" customHeight="1">
      <c r="A20" s="3463"/>
      <c r="B20" s="3463"/>
      <c r="C20" s="1130" t="s">
        <v>1454</v>
      </c>
      <c r="D20" s="1131"/>
      <c r="E20" s="1153">
        <v>1.1000000000000001</v>
      </c>
      <c r="F20" s="1132" t="s">
        <v>1455</v>
      </c>
      <c r="G20" s="1133"/>
      <c r="H20" s="1104"/>
      <c r="I20" s="1104"/>
    </row>
    <row r="21" spans="1:9" s="1598" customFormat="1" ht="19.5" customHeight="1">
      <c r="A21" s="3463"/>
      <c r="B21" s="3463"/>
      <c r="C21" s="1130" t="s">
        <v>1456</v>
      </c>
      <c r="D21" s="1131"/>
      <c r="E21" s="1153">
        <v>0.8</v>
      </c>
      <c r="F21" s="1132" t="s">
        <v>1457</v>
      </c>
      <c r="G21" s="1133"/>
      <c r="H21" s="1104"/>
      <c r="I21" s="1104"/>
    </row>
    <row r="22" spans="1:9" s="1598" customFormat="1" ht="19.5" customHeight="1">
      <c r="A22" s="3463"/>
      <c r="B22" s="3463"/>
      <c r="C22" s="1130" t="s">
        <v>1458</v>
      </c>
      <c r="D22" s="1131"/>
      <c r="E22" s="1153">
        <v>0.5</v>
      </c>
      <c r="F22" s="1132"/>
      <c r="G22" s="1133"/>
      <c r="H22" s="1104"/>
      <c r="I22" s="1104"/>
    </row>
    <row r="23" spans="1:9" s="1598" customFormat="1" ht="19.5" customHeight="1">
      <c r="A23" s="3463" t="s">
        <v>1031</v>
      </c>
      <c r="B23" s="1153" t="s">
        <v>1448</v>
      </c>
      <c r="C23" s="1130" t="s">
        <v>1459</v>
      </c>
      <c r="D23" s="1131"/>
      <c r="E23" s="1153">
        <v>1</v>
      </c>
      <c r="F23" s="1132" t="s">
        <v>1460</v>
      </c>
      <c r="G23" s="1133"/>
      <c r="H23" s="1104"/>
      <c r="I23" s="1104"/>
    </row>
    <row r="24" spans="1:9" s="1598" customFormat="1" ht="19.5" customHeight="1">
      <c r="A24" s="3463"/>
      <c r="B24" s="3463" t="s">
        <v>1451</v>
      </c>
      <c r="C24" s="1130" t="s">
        <v>1461</v>
      </c>
      <c r="D24" s="1131"/>
      <c r="E24" s="1153">
        <v>0.5</v>
      </c>
      <c r="F24" s="1132"/>
      <c r="G24" s="1133"/>
      <c r="H24" s="1104"/>
      <c r="I24" s="1104"/>
    </row>
    <row r="25" spans="1:9" s="1598" customFormat="1" ht="19.5" customHeight="1">
      <c r="A25" s="3463"/>
      <c r="B25" s="3463"/>
      <c r="C25" s="1130" t="s">
        <v>1462</v>
      </c>
      <c r="D25" s="1131"/>
      <c r="E25" s="1153">
        <v>1.1000000000000001</v>
      </c>
      <c r="F25" s="1132"/>
      <c r="G25" s="1133"/>
      <c r="H25" s="1104"/>
      <c r="I25" s="1104"/>
    </row>
    <row r="26" spans="1:9" s="1598" customFormat="1" ht="19.5" customHeight="1">
      <c r="A26" s="3463"/>
      <c r="B26" s="3463"/>
      <c r="C26" s="1130" t="s">
        <v>1463</v>
      </c>
      <c r="D26" s="1131"/>
      <c r="E26" s="1153">
        <v>1.1000000000000001</v>
      </c>
      <c r="F26" s="1132"/>
      <c r="G26" s="1133"/>
      <c r="H26" s="1104"/>
      <c r="I26" s="1104"/>
    </row>
    <row r="27" spans="1:9" s="1598" customFormat="1" ht="19.5" customHeight="1">
      <c r="A27" s="3463"/>
      <c r="B27" s="3463"/>
      <c r="C27" s="1130" t="s">
        <v>1464</v>
      </c>
      <c r="D27" s="1131"/>
      <c r="E27" s="1153">
        <v>0.9</v>
      </c>
      <c r="F27" s="1132" t="s">
        <v>1465</v>
      </c>
      <c r="G27" s="1133"/>
      <c r="H27" s="1104"/>
      <c r="I27" s="1104"/>
    </row>
    <row r="28" spans="1:9" s="1598" customFormat="1" ht="19.5" customHeight="1">
      <c r="A28" s="3463"/>
      <c r="B28" s="3463"/>
      <c r="C28" s="1130" t="s">
        <v>1466</v>
      </c>
      <c r="D28" s="1131"/>
      <c r="E28" s="1153">
        <v>0.9</v>
      </c>
      <c r="F28" s="1132" t="s">
        <v>1467</v>
      </c>
      <c r="G28" s="1133"/>
      <c r="H28" s="1104"/>
      <c r="I28" s="1104"/>
    </row>
    <row r="29" spans="1:9" s="1598" customFormat="1" ht="19.5" customHeight="1">
      <c r="A29" s="3463"/>
      <c r="B29" s="3463"/>
      <c r="C29" s="1130" t="s">
        <v>1468</v>
      </c>
      <c r="D29" s="1131"/>
      <c r="E29" s="1153">
        <v>0.9</v>
      </c>
      <c r="F29" s="1132" t="s">
        <v>1469</v>
      </c>
      <c r="G29" s="1133"/>
      <c r="H29" s="1104"/>
      <c r="I29" s="1104"/>
    </row>
    <row r="30" spans="1:9" s="1598" customFormat="1" ht="19.5" customHeight="1">
      <c r="A30" s="3463"/>
      <c r="B30" s="3463"/>
      <c r="C30" s="1130" t="s">
        <v>1470</v>
      </c>
      <c r="D30" s="1131"/>
      <c r="E30" s="1153">
        <v>0.9</v>
      </c>
      <c r="F30" s="1132" t="s">
        <v>1471</v>
      </c>
      <c r="G30" s="1133"/>
      <c r="H30" s="1104"/>
      <c r="I30" s="1104"/>
    </row>
    <row r="31" spans="1:9" s="1598" customFormat="1" ht="19.5" customHeight="1">
      <c r="A31" s="3463"/>
      <c r="B31" s="3463"/>
      <c r="C31" s="1130" t="s">
        <v>1472</v>
      </c>
      <c r="D31" s="1131"/>
      <c r="E31" s="1153">
        <v>0.8</v>
      </c>
      <c r="F31" s="1132" t="s">
        <v>1473</v>
      </c>
      <c r="G31" s="1133"/>
      <c r="H31" s="1104"/>
      <c r="I31" s="1104"/>
    </row>
    <row r="32" spans="1:9" s="1598" customFormat="1" ht="19.5" customHeight="1">
      <c r="A32" s="3463"/>
      <c r="B32" s="3463"/>
      <c r="C32" s="1130" t="s">
        <v>1474</v>
      </c>
      <c r="D32" s="1131"/>
      <c r="E32" s="1153">
        <v>0.8</v>
      </c>
      <c r="F32" s="1132" t="s">
        <v>1475</v>
      </c>
      <c r="G32" s="1133"/>
      <c r="H32" s="1104"/>
      <c r="I32" s="1104"/>
    </row>
    <row r="33" spans="1:9" s="1598" customFormat="1" ht="19.5" customHeight="1">
      <c r="A33" s="3463" t="s">
        <v>1476</v>
      </c>
      <c r="B33" s="1153" t="s">
        <v>1448</v>
      </c>
      <c r="C33" s="1130" t="s">
        <v>1477</v>
      </c>
      <c r="D33" s="1131"/>
      <c r="E33" s="1153">
        <v>1</v>
      </c>
      <c r="F33" s="1132" t="s">
        <v>1478</v>
      </c>
      <c r="G33" s="1133"/>
      <c r="H33" s="1104"/>
      <c r="I33" s="1104"/>
    </row>
    <row r="34" spans="1:9" s="1598" customFormat="1" ht="19.5" customHeight="1">
      <c r="A34" s="3463"/>
      <c r="B34" s="1153" t="s">
        <v>1451</v>
      </c>
      <c r="C34" s="1130" t="s">
        <v>1479</v>
      </c>
      <c r="D34" s="1131"/>
      <c r="E34" s="1153">
        <v>1.5</v>
      </c>
      <c r="F34" s="1132" t="s">
        <v>1480</v>
      </c>
      <c r="G34" s="1133"/>
      <c r="H34" s="1104"/>
      <c r="I34" s="1104"/>
    </row>
    <row r="35" spans="1:9" s="1598" customFormat="1" ht="19.5" customHeight="1">
      <c r="A35" s="3463" t="s">
        <v>1434</v>
      </c>
      <c r="B35" s="1153" t="s">
        <v>1448</v>
      </c>
      <c r="C35" s="1130" t="s">
        <v>1481</v>
      </c>
      <c r="D35" s="1131"/>
      <c r="E35" s="1153">
        <v>1</v>
      </c>
      <c r="F35" s="1132" t="s">
        <v>1482</v>
      </c>
      <c r="G35" s="1133"/>
      <c r="H35" s="1104"/>
      <c r="I35" s="1104"/>
    </row>
    <row r="36" spans="1:9" s="1598" customFormat="1" ht="19.5" customHeight="1">
      <c r="A36" s="3463"/>
      <c r="B36" s="3463" t="s">
        <v>1451</v>
      </c>
      <c r="C36" s="1130" t="s">
        <v>1483</v>
      </c>
      <c r="D36" s="1131"/>
      <c r="E36" s="1153">
        <v>1</v>
      </c>
      <c r="F36" s="1132" t="s">
        <v>1484</v>
      </c>
      <c r="G36" s="1133"/>
      <c r="H36" s="1104"/>
      <c r="I36" s="1104"/>
    </row>
    <row r="37" spans="1:9" s="1598" customFormat="1" ht="19.5" customHeight="1">
      <c r="A37" s="3463"/>
      <c r="B37" s="3463"/>
      <c r="C37" s="1130" t="s">
        <v>1485</v>
      </c>
      <c r="D37" s="1131"/>
      <c r="E37" s="1153">
        <v>1.5</v>
      </c>
      <c r="F37" s="1132" t="s">
        <v>1486</v>
      </c>
      <c r="G37" s="1133"/>
      <c r="H37" s="1104"/>
      <c r="I37" s="1104"/>
    </row>
    <row r="38" spans="1:9" s="1598" customFormat="1" ht="19.5" customHeight="1">
      <c r="A38" s="3463"/>
      <c r="B38" s="3463"/>
      <c r="C38" s="1130" t="s">
        <v>1487</v>
      </c>
      <c r="D38" s="1131"/>
      <c r="E38" s="1153">
        <v>1</v>
      </c>
      <c r="F38" s="1132" t="s">
        <v>1488</v>
      </c>
      <c r="G38" s="1133"/>
      <c r="H38" s="1104"/>
      <c r="I38" s="1104"/>
    </row>
    <row r="39" spans="1:9" s="1598" customFormat="1" ht="19.5" customHeight="1">
      <c r="A39" s="3463"/>
      <c r="B39" s="3463"/>
      <c r="C39" s="1130" t="s">
        <v>1489</v>
      </c>
      <c r="D39" s="1131"/>
      <c r="E39" s="1153">
        <v>1</v>
      </c>
      <c r="F39" s="1132" t="s">
        <v>1490</v>
      </c>
      <c r="G39" s="1133"/>
      <c r="H39" s="1104"/>
      <c r="I39" s="1104"/>
    </row>
    <row r="40" spans="1:9" s="1598" customFormat="1" ht="19.5" customHeight="1">
      <c r="A40" s="1599" t="s">
        <v>1491</v>
      </c>
      <c r="B40" s="1599"/>
      <c r="C40" s="1599"/>
      <c r="D40" s="1599"/>
      <c r="E40" s="1599"/>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463" t="s">
        <v>1503</v>
      </c>
      <c r="C61" s="1067" t="s">
        <v>1504</v>
      </c>
      <c r="D61" s="1067" t="s">
        <v>1505</v>
      </c>
      <c r="E61" s="1138">
        <v>0.5</v>
      </c>
      <c r="F61" s="1153">
        <v>80</v>
      </c>
      <c r="H61" s="1104">
        <f>SUMIF(C59:C119,基准地价!C8,E59:E119)</f>
        <v>0</v>
      </c>
    </row>
    <row r="62" spans="1:8" s="1104" customFormat="1" ht="24">
      <c r="A62" s="1153">
        <v>2</v>
      </c>
      <c r="B62" s="3463"/>
      <c r="C62" s="1067" t="s">
        <v>1506</v>
      </c>
      <c r="D62" s="1067" t="s">
        <v>1507</v>
      </c>
      <c r="E62" s="1138">
        <v>0.5</v>
      </c>
      <c r="F62" s="1153">
        <v>80</v>
      </c>
    </row>
    <row r="63" spans="1:8" s="1104" customFormat="1" ht="36">
      <c r="A63" s="1153">
        <v>3</v>
      </c>
      <c r="B63" s="3463"/>
      <c r="C63" s="1067" t="s">
        <v>1508</v>
      </c>
      <c r="D63" s="1067" t="s">
        <v>1509</v>
      </c>
      <c r="E63" s="1138">
        <v>0.5</v>
      </c>
      <c r="F63" s="1153">
        <v>80</v>
      </c>
    </row>
    <row r="64" spans="1:8" s="1104" customFormat="1" ht="36">
      <c r="A64" s="1153">
        <v>4</v>
      </c>
      <c r="B64" s="3463"/>
      <c r="C64" s="1067" t="s">
        <v>1510</v>
      </c>
      <c r="D64" s="1067" t="s">
        <v>1511</v>
      </c>
      <c r="E64" s="1138">
        <v>0.4</v>
      </c>
      <c r="F64" s="1153">
        <v>60</v>
      </c>
    </row>
    <row r="65" spans="1:6" s="1104" customFormat="1" ht="36">
      <c r="A65" s="1153">
        <v>5</v>
      </c>
      <c r="B65" s="3463"/>
      <c r="C65" s="1067" t="s">
        <v>1512</v>
      </c>
      <c r="D65" s="1067" t="s">
        <v>1513</v>
      </c>
      <c r="E65" s="1138">
        <v>0.2</v>
      </c>
      <c r="F65" s="1153">
        <v>30</v>
      </c>
    </row>
    <row r="66" spans="1:6" s="1104" customFormat="1" ht="36">
      <c r="A66" s="1153">
        <v>6</v>
      </c>
      <c r="B66" s="3463"/>
      <c r="C66" s="1067" t="s">
        <v>1514</v>
      </c>
      <c r="D66" s="1067" t="s">
        <v>1515</v>
      </c>
      <c r="E66" s="1138">
        <v>0.3</v>
      </c>
      <c r="F66" s="1153">
        <v>50</v>
      </c>
    </row>
    <row r="67" spans="1:6" s="1104" customFormat="1" ht="36">
      <c r="A67" s="1153">
        <v>7</v>
      </c>
      <c r="B67" s="3463"/>
      <c r="C67" s="1067" t="s">
        <v>1516</v>
      </c>
      <c r="D67" s="1067" t="s">
        <v>1517</v>
      </c>
      <c r="E67" s="1138">
        <v>0.2</v>
      </c>
      <c r="F67" s="1153">
        <v>30</v>
      </c>
    </row>
    <row r="68" spans="1:6" s="1104" customFormat="1" ht="36">
      <c r="A68" s="1153">
        <v>8</v>
      </c>
      <c r="B68" s="3463"/>
      <c r="C68" s="1067" t="s">
        <v>1518</v>
      </c>
      <c r="D68" s="1067" t="s">
        <v>1519</v>
      </c>
      <c r="E68" s="1138">
        <v>0.2</v>
      </c>
      <c r="F68" s="1153">
        <v>30</v>
      </c>
    </row>
    <row r="69" spans="1:6" s="1104" customFormat="1" ht="36">
      <c r="A69" s="1153">
        <v>9</v>
      </c>
      <c r="B69" s="3463"/>
      <c r="C69" s="1067" t="s">
        <v>1520</v>
      </c>
      <c r="D69" s="1067" t="s">
        <v>1521</v>
      </c>
      <c r="E69" s="1138">
        <v>0.2</v>
      </c>
      <c r="F69" s="1153">
        <v>30</v>
      </c>
    </row>
    <row r="70" spans="1:6" s="1104" customFormat="1" ht="48">
      <c r="A70" s="1153">
        <v>10</v>
      </c>
      <c r="B70" s="3463"/>
      <c r="C70" s="1067" t="s">
        <v>1522</v>
      </c>
      <c r="D70" s="1067" t="s">
        <v>1523</v>
      </c>
      <c r="E70" s="1138">
        <v>0.2</v>
      </c>
      <c r="F70" s="1153">
        <v>30</v>
      </c>
    </row>
    <row r="71" spans="1:6" s="1104" customFormat="1" ht="48">
      <c r="A71" s="1153">
        <v>11</v>
      </c>
      <c r="B71" s="3463"/>
      <c r="C71" s="1067" t="s">
        <v>1524</v>
      </c>
      <c r="D71" s="1067" t="s">
        <v>1525</v>
      </c>
      <c r="E71" s="1138">
        <v>0.2</v>
      </c>
      <c r="F71" s="1153">
        <v>30</v>
      </c>
    </row>
    <row r="72" spans="1:6" s="1104" customFormat="1" ht="36">
      <c r="A72" s="1153">
        <v>12</v>
      </c>
      <c r="B72" s="3463"/>
      <c r="C72" s="1067" t="s">
        <v>1526</v>
      </c>
      <c r="D72" s="1067" t="s">
        <v>1527</v>
      </c>
      <c r="E72" s="1138">
        <v>0.5</v>
      </c>
      <c r="F72" s="1153">
        <v>80</v>
      </c>
    </row>
    <row r="73" spans="1:6" s="1104" customFormat="1" ht="24">
      <c r="A73" s="1153">
        <v>13</v>
      </c>
      <c r="B73" s="3463"/>
      <c r="C73" s="1067" t="s">
        <v>1528</v>
      </c>
      <c r="D73" s="1067" t="s">
        <v>1529</v>
      </c>
      <c r="E73" s="1138">
        <v>0.4</v>
      </c>
      <c r="F73" s="1153">
        <v>60</v>
      </c>
    </row>
    <row r="74" spans="1:6" s="1104" customFormat="1" ht="24">
      <c r="A74" s="1153">
        <v>14</v>
      </c>
      <c r="B74" s="3463"/>
      <c r="C74" s="1067" t="s">
        <v>1530</v>
      </c>
      <c r="D74" s="1067" t="s">
        <v>1531</v>
      </c>
      <c r="E74" s="1138">
        <v>0.2</v>
      </c>
      <c r="F74" s="1153">
        <v>30</v>
      </c>
    </row>
    <row r="75" spans="1:6" s="1104" customFormat="1" ht="24">
      <c r="A75" s="1153">
        <v>15</v>
      </c>
      <c r="B75" s="3463"/>
      <c r="C75" s="1067" t="s">
        <v>1532</v>
      </c>
      <c r="D75" s="1067" t="s">
        <v>1533</v>
      </c>
      <c r="E75" s="1138">
        <v>0.2</v>
      </c>
      <c r="F75" s="1153">
        <v>30</v>
      </c>
    </row>
    <row r="76" spans="1:6" s="1104" customFormat="1" ht="24">
      <c r="A76" s="1153">
        <v>16</v>
      </c>
      <c r="B76" s="3463" t="s">
        <v>1534</v>
      </c>
      <c r="C76" s="1067" t="s">
        <v>1535</v>
      </c>
      <c r="D76" s="1067" t="s">
        <v>1536</v>
      </c>
      <c r="E76" s="1138">
        <v>0.5</v>
      </c>
      <c r="F76" s="1153">
        <v>80</v>
      </c>
    </row>
    <row r="77" spans="1:6" s="1104" customFormat="1" ht="24">
      <c r="A77" s="1153">
        <v>17</v>
      </c>
      <c r="B77" s="3463"/>
      <c r="C77" s="1067" t="s">
        <v>1537</v>
      </c>
      <c r="D77" s="1067" t="s">
        <v>1538</v>
      </c>
      <c r="E77" s="1138">
        <v>0.5</v>
      </c>
      <c r="F77" s="1153">
        <v>80</v>
      </c>
    </row>
    <row r="78" spans="1:6" s="1104" customFormat="1" ht="24">
      <c r="A78" s="1153">
        <v>18</v>
      </c>
      <c r="B78" s="3463"/>
      <c r="C78" s="1067" t="s">
        <v>1539</v>
      </c>
      <c r="D78" s="1067" t="s">
        <v>1540</v>
      </c>
      <c r="E78" s="1138">
        <v>0.2</v>
      </c>
      <c r="F78" s="1153">
        <v>30</v>
      </c>
    </row>
    <row r="79" spans="1:6" s="1104" customFormat="1" ht="24">
      <c r="A79" s="1153">
        <v>19</v>
      </c>
      <c r="B79" s="3463"/>
      <c r="C79" s="1067" t="s">
        <v>1541</v>
      </c>
      <c r="D79" s="1067" t="s">
        <v>1542</v>
      </c>
      <c r="E79" s="1138">
        <v>0.5</v>
      </c>
      <c r="F79" s="1153">
        <v>80</v>
      </c>
    </row>
    <row r="80" spans="1:6" s="1104" customFormat="1" ht="36">
      <c r="A80" s="1153">
        <v>20</v>
      </c>
      <c r="B80" s="3463"/>
      <c r="C80" s="1067" t="s">
        <v>1543</v>
      </c>
      <c r="D80" s="1067" t="s">
        <v>1544</v>
      </c>
      <c r="E80" s="1138">
        <v>0.2</v>
      </c>
      <c r="F80" s="1153">
        <v>30</v>
      </c>
    </row>
    <row r="81" spans="1:6" s="1104" customFormat="1" ht="36">
      <c r="A81" s="1153">
        <v>21</v>
      </c>
      <c r="B81" s="3463"/>
      <c r="C81" s="1067" t="s">
        <v>1545</v>
      </c>
      <c r="D81" s="1067" t="s">
        <v>1546</v>
      </c>
      <c r="E81" s="1138">
        <v>0.2</v>
      </c>
      <c r="F81" s="1153">
        <v>30</v>
      </c>
    </row>
    <row r="82" spans="1:6" s="1104" customFormat="1" ht="48">
      <c r="A82" s="1153">
        <v>22</v>
      </c>
      <c r="B82" s="3463"/>
      <c r="C82" s="1067" t="s">
        <v>1547</v>
      </c>
      <c r="D82" s="1067" t="s">
        <v>1548</v>
      </c>
      <c r="E82" s="1138">
        <v>0.2</v>
      </c>
      <c r="F82" s="1153">
        <v>30</v>
      </c>
    </row>
    <row r="83" spans="1:6" s="1104" customFormat="1" ht="48">
      <c r="A83" s="1153">
        <v>23</v>
      </c>
      <c r="B83" s="3463"/>
      <c r="C83" s="1067" t="s">
        <v>1549</v>
      </c>
      <c r="D83" s="1067" t="s">
        <v>1550</v>
      </c>
      <c r="E83" s="1138">
        <v>0.2</v>
      </c>
      <c r="F83" s="1153">
        <v>30</v>
      </c>
    </row>
    <row r="84" spans="1:6" s="1104" customFormat="1" ht="36">
      <c r="A84" s="1153">
        <v>24</v>
      </c>
      <c r="B84" s="3463"/>
      <c r="C84" s="1067" t="s">
        <v>1551</v>
      </c>
      <c r="D84" s="1067" t="s">
        <v>1552</v>
      </c>
      <c r="E84" s="1138">
        <v>0.2</v>
      </c>
      <c r="F84" s="1153">
        <v>30</v>
      </c>
    </row>
    <row r="85" spans="1:6" s="1104" customFormat="1" ht="36">
      <c r="A85" s="1153">
        <v>25</v>
      </c>
      <c r="B85" s="3463"/>
      <c r="C85" s="1067" t="s">
        <v>1553</v>
      </c>
      <c r="D85" s="1067" t="s">
        <v>1554</v>
      </c>
      <c r="E85" s="1138">
        <v>0.5</v>
      </c>
      <c r="F85" s="1153">
        <v>80</v>
      </c>
    </row>
    <row r="86" spans="1:6" s="1104" customFormat="1" ht="36">
      <c r="A86" s="1153">
        <v>26</v>
      </c>
      <c r="B86" s="3463"/>
      <c r="C86" s="1067" t="s">
        <v>1555</v>
      </c>
      <c r="D86" s="1067" t="s">
        <v>1556</v>
      </c>
      <c r="E86" s="1138">
        <v>0.2</v>
      </c>
      <c r="F86" s="1153">
        <v>30</v>
      </c>
    </row>
    <row r="87" spans="1:6" s="1104" customFormat="1" ht="36">
      <c r="A87" s="1153">
        <v>27</v>
      </c>
      <c r="B87" s="3463"/>
      <c r="C87" s="1067" t="s">
        <v>1557</v>
      </c>
      <c r="D87" s="1067" t="s">
        <v>1558</v>
      </c>
      <c r="E87" s="1138">
        <v>0.2</v>
      </c>
      <c r="F87" s="1153">
        <v>30</v>
      </c>
    </row>
    <row r="88" spans="1:6" s="1104" customFormat="1" ht="36">
      <c r="A88" s="1153">
        <v>28</v>
      </c>
      <c r="B88" s="3463"/>
      <c r="C88" s="1067" t="s">
        <v>1559</v>
      </c>
      <c r="D88" s="1067" t="s">
        <v>1560</v>
      </c>
      <c r="E88" s="1138">
        <v>0.2</v>
      </c>
      <c r="F88" s="1153">
        <v>30</v>
      </c>
    </row>
    <row r="89" spans="1:6" s="1104" customFormat="1" ht="24">
      <c r="A89" s="1153">
        <v>29</v>
      </c>
      <c r="B89" s="3463"/>
      <c r="C89" s="1067" t="s">
        <v>1561</v>
      </c>
      <c r="D89" s="1067" t="s">
        <v>1562</v>
      </c>
      <c r="E89" s="1138">
        <v>0.2</v>
      </c>
      <c r="F89" s="1153">
        <v>30</v>
      </c>
    </row>
    <row r="90" spans="1:6" s="1104" customFormat="1" ht="24">
      <c r="A90" s="1153">
        <v>30</v>
      </c>
      <c r="B90" s="3463"/>
      <c r="C90" s="1067" t="s">
        <v>1563</v>
      </c>
      <c r="D90" s="1067" t="s">
        <v>1564</v>
      </c>
      <c r="E90" s="1138">
        <v>0.2</v>
      </c>
      <c r="F90" s="1153">
        <v>30</v>
      </c>
    </row>
    <row r="91" spans="1:6" s="1104" customFormat="1" ht="36">
      <c r="A91" s="1153">
        <v>31</v>
      </c>
      <c r="B91" s="3463"/>
      <c r="C91" s="1067" t="s">
        <v>1565</v>
      </c>
      <c r="D91" s="1067" t="s">
        <v>1566</v>
      </c>
      <c r="E91" s="1138">
        <v>0.2</v>
      </c>
      <c r="F91" s="1153">
        <v>30</v>
      </c>
    </row>
    <row r="92" spans="1:6" s="1104" customFormat="1" ht="24">
      <c r="A92" s="1153">
        <v>32</v>
      </c>
      <c r="B92" s="3463" t="s">
        <v>1567</v>
      </c>
      <c r="C92" s="1153" t="s">
        <v>1568</v>
      </c>
      <c r="D92" s="1067" t="s">
        <v>1569</v>
      </c>
      <c r="E92" s="1138">
        <v>0.2</v>
      </c>
      <c r="F92" s="1153">
        <v>30</v>
      </c>
    </row>
    <row r="93" spans="1:6" s="1104" customFormat="1" ht="36">
      <c r="A93" s="1153">
        <v>33</v>
      </c>
      <c r="B93" s="3463"/>
      <c r="C93" s="1153" t="s">
        <v>1570</v>
      </c>
      <c r="D93" s="1067" t="s">
        <v>1571</v>
      </c>
      <c r="E93" s="1138">
        <v>0.2</v>
      </c>
      <c r="F93" s="1153">
        <v>30</v>
      </c>
    </row>
    <row r="94" spans="1:6" s="1104" customFormat="1" ht="48">
      <c r="A94" s="1153">
        <v>34</v>
      </c>
      <c r="B94" s="3463"/>
      <c r="C94" s="1153" t="s">
        <v>1572</v>
      </c>
      <c r="D94" s="1067" t="s">
        <v>1573</v>
      </c>
      <c r="E94" s="1138">
        <v>0.2</v>
      </c>
      <c r="F94" s="1153">
        <v>30</v>
      </c>
    </row>
    <row r="95" spans="1:6" s="1104" customFormat="1" ht="36">
      <c r="A95" s="1153">
        <v>35</v>
      </c>
      <c r="B95" s="3463"/>
      <c r="C95" s="1153" t="s">
        <v>1574</v>
      </c>
      <c r="D95" s="1067" t="s">
        <v>1575</v>
      </c>
      <c r="E95" s="1138">
        <v>0.2</v>
      </c>
      <c r="F95" s="1153">
        <v>30</v>
      </c>
    </row>
    <row r="96" spans="1:6" s="1104" customFormat="1" ht="48">
      <c r="A96" s="1153">
        <v>36</v>
      </c>
      <c r="B96" s="3463"/>
      <c r="C96" s="1067" t="s">
        <v>1576</v>
      </c>
      <c r="D96" s="1067" t="s">
        <v>1577</v>
      </c>
      <c r="E96" s="1138">
        <v>0.2</v>
      </c>
      <c r="F96" s="1153">
        <v>30</v>
      </c>
    </row>
    <row r="97" spans="1:6" s="1104" customFormat="1" ht="36">
      <c r="A97" s="1153">
        <v>37</v>
      </c>
      <c r="B97" s="3463"/>
      <c r="C97" s="1153" t="s">
        <v>1578</v>
      </c>
      <c r="D97" s="1067" t="s">
        <v>1579</v>
      </c>
      <c r="E97" s="1138">
        <v>0.2</v>
      </c>
      <c r="F97" s="1153">
        <v>30</v>
      </c>
    </row>
    <row r="98" spans="1:6" s="1104" customFormat="1" ht="36">
      <c r="A98" s="1153">
        <v>38</v>
      </c>
      <c r="B98" s="3463"/>
      <c r="C98" s="1153" t="s">
        <v>1580</v>
      </c>
      <c r="D98" s="1067" t="s">
        <v>1581</v>
      </c>
      <c r="E98" s="1138">
        <v>0.2</v>
      </c>
      <c r="F98" s="1153">
        <v>30</v>
      </c>
    </row>
    <row r="99" spans="1:6" s="1104" customFormat="1" ht="36">
      <c r="A99" s="1153">
        <v>39</v>
      </c>
      <c r="B99" s="3463" t="s">
        <v>1582</v>
      </c>
      <c r="C99" s="1153" t="s">
        <v>1583</v>
      </c>
      <c r="D99" s="1067" t="s">
        <v>1584</v>
      </c>
      <c r="E99" s="1138">
        <v>0.3</v>
      </c>
      <c r="F99" s="1153">
        <v>50</v>
      </c>
    </row>
    <row r="100" spans="1:6" s="1104" customFormat="1" ht="24">
      <c r="A100" s="1153">
        <v>40</v>
      </c>
      <c r="B100" s="3463"/>
      <c r="C100" s="1153" t="s">
        <v>1585</v>
      </c>
      <c r="D100" s="1067" t="s">
        <v>1586</v>
      </c>
      <c r="E100" s="1138">
        <v>0.2</v>
      </c>
      <c r="F100" s="1153">
        <v>30</v>
      </c>
    </row>
    <row r="101" spans="1:6" s="1104" customFormat="1" ht="36">
      <c r="A101" s="1153">
        <v>41</v>
      </c>
      <c r="B101" s="3463"/>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463" t="s">
        <v>1597</v>
      </c>
      <c r="C105" s="1153" t="s">
        <v>1598</v>
      </c>
      <c r="D105" s="1067" t="s">
        <v>1599</v>
      </c>
      <c r="E105" s="1138">
        <v>0.2</v>
      </c>
      <c r="F105" s="1153">
        <v>30</v>
      </c>
    </row>
    <row r="106" spans="1:6" s="1104" customFormat="1" ht="36">
      <c r="A106" s="1153">
        <v>46</v>
      </c>
      <c r="B106" s="3463"/>
      <c r="C106" s="1153" t="s">
        <v>1600</v>
      </c>
      <c r="D106" s="1067" t="s">
        <v>1601</v>
      </c>
      <c r="E106" s="1138">
        <v>0.2</v>
      </c>
      <c r="F106" s="1153">
        <v>30</v>
      </c>
    </row>
    <row r="107" spans="1:6" s="1104" customFormat="1" ht="36">
      <c r="A107" s="1153">
        <v>47</v>
      </c>
      <c r="B107" s="3463" t="s">
        <v>1602</v>
      </c>
      <c r="C107" s="1153" t="s">
        <v>1603</v>
      </c>
      <c r="D107" s="1067" t="s">
        <v>1604</v>
      </c>
      <c r="E107" s="1138">
        <v>0.3</v>
      </c>
      <c r="F107" s="1153">
        <v>50</v>
      </c>
    </row>
    <row r="108" spans="1:6" s="1104" customFormat="1" ht="36">
      <c r="A108" s="1153">
        <v>48</v>
      </c>
      <c r="B108" s="3463"/>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463" t="s">
        <v>1613</v>
      </c>
      <c r="C111" s="1153" t="s">
        <v>1614</v>
      </c>
      <c r="D111" s="1067" t="s">
        <v>1615</v>
      </c>
      <c r="E111" s="1138">
        <v>0.2</v>
      </c>
      <c r="F111" s="1153">
        <v>30</v>
      </c>
    </row>
    <row r="112" spans="1:6" s="1104" customFormat="1" ht="24">
      <c r="A112" s="1153">
        <v>52</v>
      </c>
      <c r="B112" s="3463"/>
      <c r="C112" s="1153" t="s">
        <v>1616</v>
      </c>
      <c r="D112" s="1067" t="s">
        <v>1617</v>
      </c>
      <c r="E112" s="1138">
        <v>0.2</v>
      </c>
      <c r="F112" s="1153">
        <v>30</v>
      </c>
    </row>
    <row r="113" spans="1:14" s="1104" customFormat="1" ht="24">
      <c r="A113" s="1153">
        <v>53</v>
      </c>
      <c r="B113" s="3463"/>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463" t="s">
        <v>1626</v>
      </c>
      <c r="C116" s="1153" t="s">
        <v>1627</v>
      </c>
      <c r="D116" s="1067" t="s">
        <v>1628</v>
      </c>
      <c r="E116" s="1138">
        <v>0.2</v>
      </c>
      <c r="F116" s="1153">
        <v>30</v>
      </c>
    </row>
    <row r="117" spans="1:14" ht="36">
      <c r="A117" s="1153">
        <v>57</v>
      </c>
      <c r="B117" s="3463"/>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462" t="s">
        <v>1635</v>
      </c>
      <c r="B121" s="3462"/>
      <c r="C121" s="3462"/>
      <c r="D121" s="3462"/>
      <c r="E121" s="3462"/>
      <c r="F121" s="3462"/>
      <c r="G121" s="3462"/>
      <c r="H121" s="3462"/>
      <c r="I121" s="3462"/>
      <c r="J121" s="346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75" t="s">
        <v>1041</v>
      </c>
      <c r="B1" s="3475"/>
      <c r="C1" s="3475"/>
      <c r="D1" s="3475"/>
      <c r="E1" s="3475"/>
      <c r="F1" s="3475"/>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476" t="s">
        <v>1054</v>
      </c>
      <c r="B2" s="3476"/>
      <c r="C2" s="3476"/>
      <c r="D2" s="3476"/>
      <c r="E2" s="3476"/>
      <c r="F2" s="3476"/>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477"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478"/>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2423</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2424</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79" t="s">
        <v>2081</v>
      </c>
      <c r="B1" s="3479"/>
    </row>
    <row r="2" spans="1:6" ht="14.25" thickBot="1">
      <c r="A2" s="1849"/>
      <c r="B2" s="1849"/>
    </row>
    <row r="3" spans="1:6" ht="14.25" thickBot="1">
      <c r="A3" s="1849"/>
      <c r="B3" s="1849"/>
      <c r="C3" s="1850" t="s">
        <v>2082</v>
      </c>
      <c r="D3" s="1850" t="s">
        <v>2083</v>
      </c>
      <c r="E3" s="1850" t="s">
        <v>2084</v>
      </c>
      <c r="F3" s="1850" t="s">
        <v>2085</v>
      </c>
    </row>
    <row r="4" spans="1:6" ht="14.25" thickBot="1">
      <c r="A4" s="1851" t="s">
        <v>2086</v>
      </c>
      <c r="B4" s="1852" t="s">
        <v>2087</v>
      </c>
      <c r="C4" s="1850"/>
      <c r="D4" s="1850"/>
      <c r="E4" s="1850"/>
      <c r="F4" s="1850"/>
    </row>
    <row r="5" spans="1:6" ht="14.25" thickBot="1">
      <c r="A5" s="1853" t="s">
        <v>2088</v>
      </c>
      <c r="B5" s="1854" t="s">
        <v>2089</v>
      </c>
      <c r="C5" s="1855">
        <v>8.8999999999999996E-2</v>
      </c>
      <c r="D5" s="1855">
        <v>7.3999999999999996E-2</v>
      </c>
      <c r="E5" s="1855">
        <v>7.4999999999999997E-2</v>
      </c>
      <c r="F5" s="1856">
        <v>0.1</v>
      </c>
    </row>
    <row r="6" spans="1:6" ht="14.25" thickBot="1">
      <c r="A6" s="1853" t="s">
        <v>1098</v>
      </c>
      <c r="B6" s="1857" t="s">
        <v>2090</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2091</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2092</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2093</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2094</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2095</v>
      </c>
      <c r="C72" s="1867"/>
      <c r="D72" s="1867"/>
      <c r="E72" s="1867"/>
      <c r="F72" s="1859">
        <v>0.05</v>
      </c>
    </row>
    <row r="73" spans="1:6" ht="14.25" thickBot="1">
      <c r="A73" s="1853" t="s">
        <v>926</v>
      </c>
      <c r="B73" s="1857" t="s">
        <v>2096</v>
      </c>
      <c r="C73" s="1867"/>
      <c r="D73" s="1867"/>
      <c r="E73" s="1867"/>
      <c r="F73" s="1859">
        <v>0.05</v>
      </c>
    </row>
    <row r="74" spans="1:6" ht="14.25" thickBot="1">
      <c r="A74" s="1853" t="s">
        <v>926</v>
      </c>
      <c r="B74" s="1857" t="s">
        <v>2097</v>
      </c>
      <c r="C74" s="1867"/>
      <c r="D74" s="1867"/>
      <c r="E74" s="1867"/>
      <c r="F74" s="1859">
        <v>0.05</v>
      </c>
    </row>
    <row r="75" spans="1:6" ht="14.25" thickBot="1">
      <c r="A75" s="1861" t="s">
        <v>926</v>
      </c>
      <c r="B75" s="1868" t="s">
        <v>2098</v>
      </c>
      <c r="C75" s="1864"/>
      <c r="D75" s="1864"/>
      <c r="E75" s="1864"/>
      <c r="F75" s="1869">
        <v>0.05</v>
      </c>
    </row>
    <row r="76" spans="1:6" ht="14.25" thickBot="1">
      <c r="A76" s="1853" t="s">
        <v>1409</v>
      </c>
      <c r="B76" s="1854" t="s">
        <v>2099</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2100</v>
      </c>
      <c r="C102" s="1867"/>
      <c r="D102" s="1867"/>
      <c r="E102" s="1867"/>
      <c r="F102" s="1859">
        <v>0.05</v>
      </c>
    </row>
    <row r="103" spans="1:6" ht="24.75" thickBot="1">
      <c r="A103" s="1853" t="s">
        <v>1409</v>
      </c>
      <c r="B103" s="1857" t="s">
        <v>2101</v>
      </c>
      <c r="C103" s="1867"/>
      <c r="D103" s="1867"/>
      <c r="E103" s="1867"/>
      <c r="F103" s="1859">
        <v>0.05</v>
      </c>
    </row>
    <row r="104" spans="1:6" ht="14.25" thickBot="1">
      <c r="A104" s="1853" t="s">
        <v>1409</v>
      </c>
      <c r="B104" s="1857" t="s">
        <v>2102</v>
      </c>
      <c r="C104" s="1867"/>
      <c r="D104" s="1867"/>
      <c r="E104" s="1867"/>
      <c r="F104" s="1859">
        <v>0.05</v>
      </c>
    </row>
    <row r="105" spans="1:6" ht="14.25" thickBot="1">
      <c r="A105" s="1853" t="s">
        <v>1409</v>
      </c>
      <c r="B105" s="1857" t="s">
        <v>2103</v>
      </c>
      <c r="C105" s="1867"/>
      <c r="D105" s="1867"/>
      <c r="E105" s="1867"/>
      <c r="F105" s="1859">
        <v>0.05</v>
      </c>
    </row>
    <row r="106" spans="1:6" ht="14.25" thickBot="1">
      <c r="A106" s="1853" t="s">
        <v>1409</v>
      </c>
      <c r="B106" s="1857" t="s">
        <v>2104</v>
      </c>
      <c r="C106" s="1867"/>
      <c r="D106" s="1867"/>
      <c r="E106" s="1867"/>
      <c r="F106" s="1859">
        <v>0.05</v>
      </c>
    </row>
    <row r="107" spans="1:6" ht="24.75" thickBot="1">
      <c r="A107" s="1853" t="s">
        <v>1409</v>
      </c>
      <c r="B107" s="1857" t="s">
        <v>2105</v>
      </c>
      <c r="C107" s="1867"/>
      <c r="D107" s="1867"/>
      <c r="E107" s="1867"/>
      <c r="F107" s="1859">
        <v>0.05</v>
      </c>
    </row>
    <row r="108" spans="1:6" ht="24.75" thickBot="1">
      <c r="A108" s="1853" t="s">
        <v>1409</v>
      </c>
      <c r="B108" s="1857" t="s">
        <v>2106</v>
      </c>
      <c r="C108" s="1867"/>
      <c r="D108" s="1867"/>
      <c r="E108" s="1867"/>
      <c r="F108" s="1859">
        <v>0.05</v>
      </c>
    </row>
    <row r="109" spans="1:6" ht="24.75" thickBot="1">
      <c r="A109" s="1861" t="s">
        <v>1409</v>
      </c>
      <c r="B109" s="1868" t="s">
        <v>2107</v>
      </c>
      <c r="C109" s="1864"/>
      <c r="D109" s="1864"/>
      <c r="E109" s="1864"/>
      <c r="F109" s="1869">
        <v>0.05</v>
      </c>
    </row>
    <row r="110" spans="1:6" ht="14.25" thickBot="1">
      <c r="A110" s="1853" t="s">
        <v>1411</v>
      </c>
      <c r="B110" s="1854" t="s">
        <v>2108</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2109</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2110</v>
      </c>
      <c r="C138" s="1858">
        <v>0.105</v>
      </c>
      <c r="D138" s="1858">
        <v>0.125</v>
      </c>
      <c r="E138" s="1858">
        <v>0.112</v>
      </c>
      <c r="F138" s="1866"/>
    </row>
    <row r="139" spans="1:6" ht="14.25" thickBot="1">
      <c r="A139" s="1853" t="s">
        <v>1411</v>
      </c>
      <c r="B139" s="1857" t="s">
        <v>2111</v>
      </c>
      <c r="C139" s="1858">
        <v>0.127</v>
      </c>
      <c r="D139" s="1858">
        <v>0.127</v>
      </c>
      <c r="E139" s="1858">
        <v>0.122</v>
      </c>
      <c r="F139" s="1859">
        <v>0.13</v>
      </c>
    </row>
    <row r="140" spans="1:6" ht="14.25" thickBot="1">
      <c r="A140" s="1853" t="s">
        <v>1411</v>
      </c>
      <c r="B140" s="1857" t="s">
        <v>2112</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2113</v>
      </c>
      <c r="C144" s="1871">
        <v>0.126</v>
      </c>
      <c r="D144" s="1871">
        <v>0.126</v>
      </c>
      <c r="E144" s="1871">
        <v>0.121</v>
      </c>
      <c r="F144" s="1866"/>
    </row>
    <row r="145" spans="1:6" ht="14.25" thickBot="1">
      <c r="A145" s="1861" t="s">
        <v>1411</v>
      </c>
      <c r="B145" s="1872" t="s">
        <v>2114</v>
      </c>
      <c r="C145" s="1873"/>
      <c r="D145" s="1873"/>
      <c r="E145" s="1873"/>
      <c r="F145" s="1874">
        <v>0.05</v>
      </c>
    </row>
    <row r="146" spans="1:6" ht="24.75" thickBot="1">
      <c r="A146" s="1875" t="s">
        <v>1411</v>
      </c>
      <c r="B146" s="1860" t="s">
        <v>2115</v>
      </c>
      <c r="C146" s="1867"/>
      <c r="D146" s="1867"/>
      <c r="E146" s="1867"/>
      <c r="F146" s="1876">
        <v>0.05</v>
      </c>
    </row>
    <row r="147" spans="1:6" ht="24.75" thickBot="1">
      <c r="A147" s="1853" t="s">
        <v>1411</v>
      </c>
      <c r="B147" s="1857" t="s">
        <v>2116</v>
      </c>
      <c r="C147" s="1867"/>
      <c r="D147" s="1867"/>
      <c r="E147" s="1867"/>
      <c r="F147" s="1859">
        <v>0.05</v>
      </c>
    </row>
    <row r="148" spans="1:6" ht="24.75" thickBot="1">
      <c r="A148" s="1853" t="s">
        <v>1411</v>
      </c>
      <c r="B148" s="1857" t="s">
        <v>2117</v>
      </c>
      <c r="C148" s="1867"/>
      <c r="D148" s="1867"/>
      <c r="E148" s="1867"/>
      <c r="F148" s="1859">
        <v>0.05</v>
      </c>
    </row>
    <row r="149" spans="1:6" ht="24.75" thickBot="1">
      <c r="A149" s="1853" t="s">
        <v>1411</v>
      </c>
      <c r="B149" s="1857" t="s">
        <v>2118</v>
      </c>
      <c r="C149" s="1867"/>
      <c r="D149" s="1867"/>
      <c r="E149" s="1867"/>
      <c r="F149" s="1859">
        <v>0.05</v>
      </c>
    </row>
    <row r="150" spans="1:6" ht="24.75" thickBot="1">
      <c r="A150" s="1853" t="s">
        <v>1411</v>
      </c>
      <c r="B150" s="1857" t="s">
        <v>2119</v>
      </c>
      <c r="C150" s="1867"/>
      <c r="D150" s="1867"/>
      <c r="E150" s="1867"/>
      <c r="F150" s="1859">
        <v>0.05</v>
      </c>
    </row>
    <row r="151" spans="1:6" ht="24.75" thickBot="1">
      <c r="A151" s="1853" t="s">
        <v>1411</v>
      </c>
      <c r="B151" s="1857" t="s">
        <v>2120</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2121</v>
      </c>
      <c r="C153" s="1867"/>
      <c r="D153" s="1867"/>
      <c r="E153" s="1867"/>
      <c r="F153" s="1859">
        <v>0.05</v>
      </c>
    </row>
    <row r="154" spans="1:6" ht="14.25" thickBot="1">
      <c r="A154" s="1853" t="s">
        <v>1411</v>
      </c>
      <c r="B154" s="1857" t="s">
        <v>2122</v>
      </c>
      <c r="C154" s="1867"/>
      <c r="D154" s="1867"/>
      <c r="E154" s="1867"/>
      <c r="F154" s="1859">
        <v>0.05</v>
      </c>
    </row>
    <row r="155" spans="1:6" ht="24.75" thickBot="1">
      <c r="A155" s="1853" t="s">
        <v>1411</v>
      </c>
      <c r="B155" s="1857" t="s">
        <v>2123</v>
      </c>
      <c r="C155" s="1867"/>
      <c r="D155" s="1867"/>
      <c r="E155" s="1867"/>
      <c r="F155" s="1859">
        <v>0.05</v>
      </c>
    </row>
    <row r="156" spans="1:6" ht="24.75" thickBot="1">
      <c r="A156" s="1853" t="s">
        <v>1411</v>
      </c>
      <c r="B156" s="1857" t="s">
        <v>2124</v>
      </c>
      <c r="C156" s="1867"/>
      <c r="D156" s="1867"/>
      <c r="E156" s="1867"/>
      <c r="F156" s="1859">
        <v>0.05</v>
      </c>
    </row>
    <row r="157" spans="1:6" ht="14.25" thickBot="1">
      <c r="A157" s="1861" t="s">
        <v>1411</v>
      </c>
      <c r="B157" s="1868" t="s">
        <v>2125</v>
      </c>
      <c r="C157" s="1864"/>
      <c r="D157" s="1864"/>
      <c r="E157" s="1864"/>
      <c r="F157" s="1869">
        <v>0.05</v>
      </c>
    </row>
    <row r="158" spans="1:6" ht="14.25" thickBot="1">
      <c r="A158" s="1853" t="s">
        <v>1413</v>
      </c>
      <c r="B158" s="1854" t="s">
        <v>2126</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2127</v>
      </c>
      <c r="C171" s="1858">
        <v>0.127</v>
      </c>
      <c r="D171" s="1858">
        <v>0.126</v>
      </c>
      <c r="E171" s="1858">
        <v>0.126</v>
      </c>
      <c r="F171" s="1859">
        <v>0.11799999999999999</v>
      </c>
    </row>
    <row r="172" spans="1:6" ht="14.25" thickBot="1">
      <c r="A172" s="1853" t="s">
        <v>1413</v>
      </c>
      <c r="B172" s="1857" t="s">
        <v>2128</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2129</v>
      </c>
      <c r="C174" s="1858">
        <v>0.13</v>
      </c>
      <c r="D174" s="1858">
        <v>0.13</v>
      </c>
      <c r="E174" s="1858">
        <v>0.13</v>
      </c>
      <c r="F174" s="1859">
        <v>0.13</v>
      </c>
    </row>
    <row r="175" spans="1:6" ht="14.25" thickBot="1">
      <c r="A175" s="1853" t="s">
        <v>1413</v>
      </c>
      <c r="B175" s="1857" t="s">
        <v>2130</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2131</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2132</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2133</v>
      </c>
      <c r="C185" s="1858">
        <v>0.127</v>
      </c>
      <c r="D185" s="1858">
        <v>0.127</v>
      </c>
      <c r="E185" s="1858">
        <v>0.128</v>
      </c>
      <c r="F185" s="1859">
        <v>0.13</v>
      </c>
    </row>
    <row r="186" spans="1:6" ht="24.75" thickBot="1">
      <c r="A186" s="1853" t="s">
        <v>1413</v>
      </c>
      <c r="B186" s="1857" t="s">
        <v>2134</v>
      </c>
      <c r="C186" s="1867"/>
      <c r="D186" s="1867"/>
      <c r="E186" s="1867"/>
      <c r="F186" s="1859">
        <v>0.05</v>
      </c>
    </row>
    <row r="187" spans="1:6" ht="14.25" thickBot="1">
      <c r="A187" s="1853" t="s">
        <v>1413</v>
      </c>
      <c r="B187" s="1857" t="s">
        <v>2135</v>
      </c>
      <c r="C187" s="1867"/>
      <c r="D187" s="1867"/>
      <c r="E187" s="1867"/>
      <c r="F187" s="1859">
        <v>0.05</v>
      </c>
    </row>
    <row r="188" spans="1:6" ht="14.25" thickBot="1">
      <c r="A188" s="1853" t="s">
        <v>1413</v>
      </c>
      <c r="B188" s="1857" t="s">
        <v>2136</v>
      </c>
      <c r="C188" s="1867"/>
      <c r="D188" s="1867"/>
      <c r="E188" s="1867"/>
      <c r="F188" s="1859">
        <v>0.05</v>
      </c>
    </row>
    <row r="189" spans="1:6" ht="24.75" thickBot="1">
      <c r="A189" s="1853" t="s">
        <v>1413</v>
      </c>
      <c r="B189" s="1857" t="s">
        <v>2137</v>
      </c>
      <c r="C189" s="1867"/>
      <c r="D189" s="1867"/>
      <c r="E189" s="1867"/>
      <c r="F189" s="1859">
        <v>0.05</v>
      </c>
    </row>
    <row r="190" spans="1:6" ht="24.75" thickBot="1">
      <c r="A190" s="1853" t="s">
        <v>1413</v>
      </c>
      <c r="B190" s="1857" t="s">
        <v>2138</v>
      </c>
      <c r="C190" s="1867"/>
      <c r="D190" s="1867"/>
      <c r="E190" s="1867"/>
      <c r="F190" s="1859">
        <v>0.05</v>
      </c>
    </row>
    <row r="191" spans="1:6" ht="24.75" thickBot="1">
      <c r="A191" s="1853" t="s">
        <v>1413</v>
      </c>
      <c r="B191" s="1857" t="s">
        <v>2139</v>
      </c>
      <c r="C191" s="1867"/>
      <c r="D191" s="1867"/>
      <c r="E191" s="1867"/>
      <c r="F191" s="1859">
        <v>0.05</v>
      </c>
    </row>
    <row r="192" spans="1:6" ht="24.75" thickBot="1">
      <c r="A192" s="1853" t="s">
        <v>1413</v>
      </c>
      <c r="B192" s="1857" t="s">
        <v>2140</v>
      </c>
      <c r="C192" s="1867"/>
      <c r="D192" s="1867"/>
      <c r="E192" s="1867"/>
      <c r="F192" s="1859">
        <v>0.05</v>
      </c>
    </row>
    <row r="193" spans="1:6" ht="24.75" thickBot="1">
      <c r="A193" s="1853" t="s">
        <v>1413</v>
      </c>
      <c r="B193" s="1857" t="s">
        <v>2141</v>
      </c>
      <c r="C193" s="1867"/>
      <c r="D193" s="1867"/>
      <c r="E193" s="1867"/>
      <c r="F193" s="1859">
        <v>0.05</v>
      </c>
    </row>
    <row r="194" spans="1:6" ht="24.75" thickBot="1">
      <c r="A194" s="1853" t="s">
        <v>1413</v>
      </c>
      <c r="B194" s="1857" t="s">
        <v>2142</v>
      </c>
      <c r="C194" s="1867"/>
      <c r="D194" s="1867"/>
      <c r="E194" s="1867"/>
      <c r="F194" s="1859">
        <v>0.05</v>
      </c>
    </row>
    <row r="195" spans="1:6" ht="14.25" thickBot="1">
      <c r="A195" s="1853" t="s">
        <v>1413</v>
      </c>
      <c r="B195" s="1857" t="s">
        <v>2143</v>
      </c>
      <c r="C195" s="1867"/>
      <c r="D195" s="1867"/>
      <c r="E195" s="1867"/>
      <c r="F195" s="1859">
        <v>0.05</v>
      </c>
    </row>
    <row r="196" spans="1:6" ht="24.75" thickBot="1">
      <c r="A196" s="1853" t="s">
        <v>1413</v>
      </c>
      <c r="B196" s="1857" t="s">
        <v>2144</v>
      </c>
      <c r="C196" s="1867"/>
      <c r="D196" s="1867"/>
      <c r="E196" s="1867"/>
      <c r="F196" s="1859">
        <v>0.05</v>
      </c>
    </row>
    <row r="197" spans="1:6" ht="24.75" thickBot="1">
      <c r="A197" s="1853" t="s">
        <v>1413</v>
      </c>
      <c r="B197" s="1857" t="s">
        <v>2145</v>
      </c>
      <c r="C197" s="1867"/>
      <c r="D197" s="1867"/>
      <c r="E197" s="1867"/>
      <c r="F197" s="1859">
        <v>0.05</v>
      </c>
    </row>
    <row r="198" spans="1:6" ht="24.75" thickBot="1">
      <c r="A198" s="1853" t="s">
        <v>1413</v>
      </c>
      <c r="B198" s="1857" t="s">
        <v>2146</v>
      </c>
      <c r="C198" s="1867"/>
      <c r="D198" s="1867"/>
      <c r="E198" s="1867"/>
      <c r="F198" s="1859">
        <v>0.05</v>
      </c>
    </row>
    <row r="199" spans="1:6" ht="24.75" thickBot="1">
      <c r="A199" s="1853" t="s">
        <v>1413</v>
      </c>
      <c r="B199" s="1857" t="s">
        <v>2147</v>
      </c>
      <c r="C199" s="1867"/>
      <c r="D199" s="1867"/>
      <c r="E199" s="1867"/>
      <c r="F199" s="1859">
        <v>0.05</v>
      </c>
    </row>
    <row r="200" spans="1:6" ht="24.75" thickBot="1">
      <c r="A200" s="1853" t="s">
        <v>1413</v>
      </c>
      <c r="B200" s="1857" t="s">
        <v>2148</v>
      </c>
      <c r="C200" s="1867"/>
      <c r="D200" s="1867"/>
      <c r="E200" s="1867"/>
      <c r="F200" s="1859">
        <v>0.05</v>
      </c>
    </row>
    <row r="201" spans="1:6" ht="24.75" thickBot="1">
      <c r="A201" s="1853" t="s">
        <v>1413</v>
      </c>
      <c r="B201" s="1857" t="s">
        <v>2149</v>
      </c>
      <c r="C201" s="1867"/>
      <c r="D201" s="1867"/>
      <c r="E201" s="1867"/>
      <c r="F201" s="1859">
        <v>0.05</v>
      </c>
    </row>
    <row r="202" spans="1:6" ht="24.75" thickBot="1">
      <c r="A202" s="1853" t="s">
        <v>1413</v>
      </c>
      <c r="B202" s="1857" t="s">
        <v>2150</v>
      </c>
      <c r="C202" s="1867"/>
      <c r="D202" s="1867"/>
      <c r="E202" s="1867"/>
      <c r="F202" s="1859">
        <v>0.05</v>
      </c>
    </row>
    <row r="203" spans="1:6" ht="24.75" thickBot="1">
      <c r="A203" s="1853" t="s">
        <v>1413</v>
      </c>
      <c r="B203" s="1857" t="s">
        <v>2151</v>
      </c>
      <c r="C203" s="1867"/>
      <c r="D203" s="1867"/>
      <c r="E203" s="1867"/>
      <c r="F203" s="1859">
        <v>0.05</v>
      </c>
    </row>
    <row r="204" spans="1:6" ht="14.25" thickBot="1">
      <c r="A204" s="1853" t="s">
        <v>1413</v>
      </c>
      <c r="B204" s="1857" t="s">
        <v>2152</v>
      </c>
      <c r="C204" s="1867"/>
      <c r="D204" s="1867"/>
      <c r="E204" s="1867"/>
      <c r="F204" s="1859">
        <v>0.05</v>
      </c>
    </row>
    <row r="205" spans="1:6" ht="14.25" thickBot="1">
      <c r="A205" s="1861" t="s">
        <v>1413</v>
      </c>
      <c r="B205" s="1868" t="s">
        <v>2153</v>
      </c>
      <c r="C205" s="1864"/>
      <c r="D205" s="1864"/>
      <c r="E205" s="1864"/>
      <c r="F205" s="1869">
        <v>0.05</v>
      </c>
    </row>
    <row r="206" spans="1:6" ht="14.25" thickBot="1">
      <c r="A206" s="1853" t="s">
        <v>1415</v>
      </c>
      <c r="B206" s="1854" t="s">
        <v>2154</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2155</v>
      </c>
      <c r="C210" s="1858">
        <v>0.15</v>
      </c>
      <c r="D210" s="1858">
        <v>0.15</v>
      </c>
      <c r="E210" s="1858">
        <v>0.15</v>
      </c>
      <c r="F210" s="1859">
        <v>0.13800000000000001</v>
      </c>
    </row>
    <row r="211" spans="1:6" ht="14.25" thickBot="1">
      <c r="A211" s="1853" t="s">
        <v>1415</v>
      </c>
      <c r="B211" s="1857" t="s">
        <v>2156</v>
      </c>
      <c r="C211" s="1858">
        <v>0.13700000000000001</v>
      </c>
      <c r="D211" s="1858">
        <v>0.13500000000000001</v>
      </c>
      <c r="E211" s="1858">
        <v>0.13600000000000001</v>
      </c>
      <c r="F211" s="1859">
        <v>0.1</v>
      </c>
    </row>
    <row r="212" spans="1:6" ht="14.25" thickBot="1">
      <c r="A212" s="1853" t="s">
        <v>1415</v>
      </c>
      <c r="B212" s="1857" t="s">
        <v>2157</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2158</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2159</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2160</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2161</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2162</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2163</v>
      </c>
      <c r="C231" s="1858">
        <v>0.128</v>
      </c>
      <c r="D231" s="1858">
        <v>0.125</v>
      </c>
      <c r="E231" s="1858">
        <v>0.13200000000000001</v>
      </c>
      <c r="F231" s="1866"/>
    </row>
    <row r="232" spans="1:6" ht="14.25" thickBot="1">
      <c r="A232" s="1853" t="s">
        <v>1415</v>
      </c>
      <c r="B232" s="1857" t="s">
        <v>2164</v>
      </c>
      <c r="C232" s="1858">
        <v>0.14499999999999999</v>
      </c>
      <c r="D232" s="1858">
        <v>0.14399999999999999</v>
      </c>
      <c r="E232" s="1858">
        <v>0.14599999999999999</v>
      </c>
      <c r="F232" s="1859">
        <v>0.13800000000000001</v>
      </c>
    </row>
    <row r="233" spans="1:6" ht="14.25" thickBot="1">
      <c r="A233" s="1853" t="s">
        <v>1415</v>
      </c>
      <c r="B233" s="1857" t="s">
        <v>2165</v>
      </c>
      <c r="C233" s="1858">
        <v>0.14499999999999999</v>
      </c>
      <c r="D233" s="1858">
        <v>0.14299999999999999</v>
      </c>
      <c r="E233" s="1858">
        <v>0.14199999999999999</v>
      </c>
      <c r="F233" s="1866"/>
    </row>
    <row r="234" spans="1:6" ht="14.25" thickBot="1">
      <c r="A234" s="1853" t="s">
        <v>1415</v>
      </c>
      <c r="B234" s="1857" t="s">
        <v>2166</v>
      </c>
      <c r="C234" s="1858">
        <v>0.14000000000000001</v>
      </c>
      <c r="D234" s="1858">
        <v>0.14000000000000001</v>
      </c>
      <c r="E234" s="1858">
        <v>0.14399999999999999</v>
      </c>
      <c r="F234" s="1866"/>
    </row>
    <row r="235" spans="1:6" ht="14.25" thickBot="1">
      <c r="A235" s="1853" t="s">
        <v>1415</v>
      </c>
      <c r="B235" s="1857" t="s">
        <v>2167</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2168</v>
      </c>
      <c r="C237" s="1867"/>
      <c r="D237" s="1867"/>
      <c r="E237" s="1867"/>
      <c r="F237" s="1859">
        <v>0.05</v>
      </c>
    </row>
    <row r="238" spans="1:6" ht="24.75" thickBot="1">
      <c r="A238" s="1853" t="s">
        <v>1415</v>
      </c>
      <c r="B238" s="1857" t="s">
        <v>2169</v>
      </c>
      <c r="C238" s="1867"/>
      <c r="D238" s="1867"/>
      <c r="E238" s="1867"/>
      <c r="F238" s="1859">
        <v>0.05</v>
      </c>
    </row>
    <row r="239" spans="1:6" ht="24.75" thickBot="1">
      <c r="A239" s="1853" t="s">
        <v>1415</v>
      </c>
      <c r="B239" s="1857" t="s">
        <v>2170</v>
      </c>
      <c r="C239" s="1867"/>
      <c r="D239" s="1867"/>
      <c r="E239" s="1867"/>
      <c r="F239" s="1859">
        <v>0.05</v>
      </c>
    </row>
    <row r="240" spans="1:6" ht="24.75" thickBot="1">
      <c r="A240" s="1853" t="s">
        <v>1415</v>
      </c>
      <c r="B240" s="1857" t="s">
        <v>2171</v>
      </c>
      <c r="C240" s="1867"/>
      <c r="D240" s="1867"/>
      <c r="E240" s="1867"/>
      <c r="F240" s="1859">
        <v>0.05</v>
      </c>
    </row>
    <row r="241" spans="1:6" ht="24.75" thickBot="1">
      <c r="A241" s="1853" t="s">
        <v>1415</v>
      </c>
      <c r="B241" s="1857" t="s">
        <v>2172</v>
      </c>
      <c r="C241" s="1867"/>
      <c r="D241" s="1867"/>
      <c r="E241" s="1867"/>
      <c r="F241" s="1859">
        <v>0.05</v>
      </c>
    </row>
    <row r="242" spans="1:6" ht="24.75" thickBot="1">
      <c r="A242" s="1853" t="s">
        <v>1415</v>
      </c>
      <c r="B242" s="1857" t="s">
        <v>2173</v>
      </c>
      <c r="C242" s="1867"/>
      <c r="D242" s="1867"/>
      <c r="E242" s="1867"/>
      <c r="F242" s="1859">
        <v>0.05</v>
      </c>
    </row>
    <row r="243" spans="1:6" ht="24.75" thickBot="1">
      <c r="A243" s="1853" t="s">
        <v>1415</v>
      </c>
      <c r="B243" s="1857" t="s">
        <v>2174</v>
      </c>
      <c r="C243" s="1867"/>
      <c r="D243" s="1867"/>
      <c r="E243" s="1867"/>
      <c r="F243" s="1859">
        <v>0.05</v>
      </c>
    </row>
    <row r="244" spans="1:6" ht="24.75" thickBot="1">
      <c r="A244" s="1861" t="s">
        <v>1415</v>
      </c>
      <c r="B244" s="1868" t="s">
        <v>2175</v>
      </c>
      <c r="C244" s="1864"/>
      <c r="D244" s="1864"/>
      <c r="E244" s="1864"/>
      <c r="F244" s="1869">
        <v>0.05</v>
      </c>
    </row>
    <row r="245" spans="1:6" ht="14.25" thickBot="1">
      <c r="A245" s="1853" t="s">
        <v>1417</v>
      </c>
      <c r="B245" s="1854" t="s">
        <v>2176</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2177</v>
      </c>
      <c r="C247" s="1858">
        <v>0.15</v>
      </c>
      <c r="D247" s="1858">
        <v>0.15</v>
      </c>
      <c r="E247" s="1858">
        <v>0.15</v>
      </c>
      <c r="F247" s="1859">
        <v>0.15</v>
      </c>
    </row>
    <row r="248" spans="1:6" ht="14.25" thickBot="1">
      <c r="A248" s="1853" t="s">
        <v>1417</v>
      </c>
      <c r="B248" s="1857" t="s">
        <v>2178</v>
      </c>
      <c r="C248" s="1858">
        <v>0.15</v>
      </c>
      <c r="D248" s="1858">
        <v>0.15</v>
      </c>
      <c r="E248" s="1858">
        <v>0.15</v>
      </c>
      <c r="F248" s="1859">
        <v>0.14000000000000001</v>
      </c>
    </row>
    <row r="249" spans="1:6" ht="14.25" thickBot="1">
      <c r="A249" s="1853" t="s">
        <v>1417</v>
      </c>
      <c r="B249" s="1857" t="s">
        <v>2179</v>
      </c>
      <c r="C249" s="1858">
        <v>0.15</v>
      </c>
      <c r="D249" s="1858">
        <v>0.14899999999999999</v>
      </c>
      <c r="E249" s="1858">
        <v>0.15</v>
      </c>
      <c r="F249" s="1859">
        <v>0.1</v>
      </c>
    </row>
    <row r="250" spans="1:6" ht="14.25" thickBot="1">
      <c r="A250" s="1853" t="s">
        <v>1417</v>
      </c>
      <c r="B250" s="1857" t="s">
        <v>2180</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2181</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2182</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2183</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2184</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2185</v>
      </c>
      <c r="C273" s="1858">
        <v>0.14199999999999999</v>
      </c>
      <c r="D273" s="1858">
        <v>0.14299999999999999</v>
      </c>
      <c r="E273" s="1858">
        <v>0.15</v>
      </c>
      <c r="F273" s="1859">
        <v>0.1</v>
      </c>
    </row>
    <row r="274" spans="1:6" ht="14.25" thickBot="1">
      <c r="A274" s="1853" t="s">
        <v>1417</v>
      </c>
      <c r="B274" s="1857" t="s">
        <v>2186</v>
      </c>
      <c r="C274" s="1858">
        <v>0.14799999999999999</v>
      </c>
      <c r="D274" s="1858">
        <v>0.14799999999999999</v>
      </c>
      <c r="E274" s="1858">
        <v>0.15</v>
      </c>
      <c r="F274" s="1859">
        <v>6.7000000000000004E-2</v>
      </c>
    </row>
    <row r="275" spans="1:6" ht="14.25" thickBot="1">
      <c r="A275" s="1853" t="s">
        <v>1417</v>
      </c>
      <c r="B275" s="1857" t="s">
        <v>2187</v>
      </c>
      <c r="C275" s="1858">
        <v>0.15</v>
      </c>
      <c r="D275" s="1858">
        <v>0.15</v>
      </c>
      <c r="E275" s="1858">
        <v>0.15</v>
      </c>
      <c r="F275" s="1859">
        <v>0.15</v>
      </c>
    </row>
    <row r="276" spans="1:6" ht="14.25" thickBot="1">
      <c r="A276" s="1853" t="s">
        <v>1417</v>
      </c>
      <c r="B276" s="1857" t="s">
        <v>2188</v>
      </c>
      <c r="C276" s="1858">
        <v>0.14499999999999999</v>
      </c>
      <c r="D276" s="1858">
        <v>0.14299999999999999</v>
      </c>
      <c r="E276" s="1858">
        <v>0.15</v>
      </c>
      <c r="F276" s="1859">
        <v>5.8999999999999997E-2</v>
      </c>
    </row>
    <row r="277" spans="1:6" ht="14.25" thickBot="1">
      <c r="A277" s="1853" t="s">
        <v>1417</v>
      </c>
      <c r="B277" s="1857" t="s">
        <v>2189</v>
      </c>
      <c r="C277" s="1858">
        <v>0.15</v>
      </c>
      <c r="D277" s="1858">
        <v>0.15</v>
      </c>
      <c r="E277" s="1858">
        <v>0.15</v>
      </c>
      <c r="F277" s="1859">
        <v>0.121</v>
      </c>
    </row>
    <row r="278" spans="1:6" ht="14.25" thickBot="1">
      <c r="A278" s="1853" t="s">
        <v>1417</v>
      </c>
      <c r="B278" s="1857" t="s">
        <v>2190</v>
      </c>
      <c r="C278" s="1858">
        <v>0.15</v>
      </c>
      <c r="D278" s="1858">
        <v>0.15</v>
      </c>
      <c r="E278" s="1858">
        <v>0.15</v>
      </c>
      <c r="F278" s="1859">
        <v>0.13800000000000001</v>
      </c>
    </row>
    <row r="279" spans="1:6" ht="24.75" thickBot="1">
      <c r="A279" s="1853" t="s">
        <v>1417</v>
      </c>
      <c r="B279" s="1857" t="s">
        <v>2191</v>
      </c>
      <c r="C279" s="1867"/>
      <c r="D279" s="1867"/>
      <c r="E279" s="1867"/>
      <c r="F279" s="1859">
        <v>0.05</v>
      </c>
    </row>
    <row r="280" spans="1:6" ht="24.75" thickBot="1">
      <c r="A280" s="1853" t="s">
        <v>1417</v>
      </c>
      <c r="B280" s="1857" t="s">
        <v>2192</v>
      </c>
      <c r="C280" s="1867"/>
      <c r="D280" s="1867"/>
      <c r="E280" s="1867"/>
      <c r="F280" s="1859">
        <v>0.05</v>
      </c>
    </row>
    <row r="281" spans="1:6" ht="24.75" thickBot="1">
      <c r="A281" s="1853" t="s">
        <v>1417</v>
      </c>
      <c r="B281" s="1857" t="s">
        <v>2193</v>
      </c>
      <c r="C281" s="1867"/>
      <c r="D281" s="1867"/>
      <c r="E281" s="1867"/>
      <c r="F281" s="1859">
        <v>0.05</v>
      </c>
    </row>
    <row r="282" spans="1:6" ht="24.75" thickBot="1">
      <c r="A282" s="1853" t="s">
        <v>1417</v>
      </c>
      <c r="B282" s="1857" t="s">
        <v>2194</v>
      </c>
      <c r="C282" s="1867"/>
      <c r="D282" s="1867"/>
      <c r="E282" s="1867"/>
      <c r="F282" s="1859">
        <v>0.05</v>
      </c>
    </row>
    <row r="283" spans="1:6" ht="24.75" thickBot="1">
      <c r="A283" s="1853" t="s">
        <v>1417</v>
      </c>
      <c r="B283" s="1857" t="s">
        <v>2195</v>
      </c>
      <c r="C283" s="1867"/>
      <c r="D283" s="1867"/>
      <c r="E283" s="1867"/>
      <c r="F283" s="1859">
        <v>0.05</v>
      </c>
    </row>
    <row r="284" spans="1:6" ht="24.75" thickBot="1">
      <c r="A284" s="1853" t="s">
        <v>1417</v>
      </c>
      <c r="B284" s="1857" t="s">
        <v>2196</v>
      </c>
      <c r="C284" s="1867"/>
      <c r="D284" s="1867"/>
      <c r="E284" s="1867"/>
      <c r="F284" s="1859">
        <v>0.05</v>
      </c>
    </row>
    <row r="285" spans="1:6" ht="24.75" thickBot="1">
      <c r="A285" s="1853" t="s">
        <v>1417</v>
      </c>
      <c r="B285" s="1857" t="s">
        <v>2197</v>
      </c>
      <c r="C285" s="1867"/>
      <c r="D285" s="1867"/>
      <c r="E285" s="1867"/>
      <c r="F285" s="1859">
        <v>0.05</v>
      </c>
    </row>
    <row r="286" spans="1:6" ht="24.75" thickBot="1">
      <c r="A286" s="1853" t="s">
        <v>1417</v>
      </c>
      <c r="B286" s="1857" t="s">
        <v>2198</v>
      </c>
      <c r="C286" s="1867"/>
      <c r="D286" s="1867"/>
      <c r="E286" s="1867"/>
      <c r="F286" s="1859">
        <v>0.05</v>
      </c>
    </row>
    <row r="287" spans="1:6" ht="24.75" thickBot="1">
      <c r="A287" s="1853" t="s">
        <v>1417</v>
      </c>
      <c r="B287" s="1857" t="s">
        <v>2199</v>
      </c>
      <c r="C287" s="1867"/>
      <c r="D287" s="1867"/>
      <c r="E287" s="1867"/>
      <c r="F287" s="1859">
        <v>0.05</v>
      </c>
    </row>
    <row r="288" spans="1:6" ht="24.75" thickBot="1">
      <c r="A288" s="1853" t="s">
        <v>1417</v>
      </c>
      <c r="B288" s="1857" t="s">
        <v>2200</v>
      </c>
      <c r="C288" s="1867"/>
      <c r="D288" s="1867"/>
      <c r="E288" s="1867"/>
      <c r="F288" s="1859">
        <v>0.05</v>
      </c>
    </row>
    <row r="289" spans="1:6" ht="24.75" thickBot="1">
      <c r="A289" s="1861" t="s">
        <v>1417</v>
      </c>
      <c r="B289" s="1868" t="s">
        <v>2201</v>
      </c>
      <c r="C289" s="1864"/>
      <c r="D289" s="1864"/>
      <c r="E289" s="1864"/>
      <c r="F289" s="1869">
        <v>0.05</v>
      </c>
    </row>
    <row r="290" spans="1:6" ht="14.25" thickBot="1">
      <c r="A290" s="1853" t="s">
        <v>1421</v>
      </c>
      <c r="B290" s="1854" t="s">
        <v>2202</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2203</v>
      </c>
      <c r="C292" s="1858">
        <v>0.15</v>
      </c>
      <c r="D292" s="1858">
        <v>0.15</v>
      </c>
      <c r="E292" s="1858">
        <v>0.15</v>
      </c>
      <c r="F292" s="1859">
        <v>0.14699999999999999</v>
      </c>
    </row>
    <row r="293" spans="1:6" ht="14.25" thickBot="1">
      <c r="A293" s="1853" t="s">
        <v>1421</v>
      </c>
      <c r="B293" s="1857" t="s">
        <v>2204</v>
      </c>
      <c r="C293" s="1867"/>
      <c r="D293" s="1867"/>
      <c r="E293" s="1867"/>
      <c r="F293" s="1859">
        <v>0.1</v>
      </c>
    </row>
    <row r="294" spans="1:6" ht="14.25" thickBot="1">
      <c r="A294" s="1853" t="s">
        <v>1421</v>
      </c>
      <c r="B294" s="1857" t="s">
        <v>2205</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2206</v>
      </c>
      <c r="C296" s="1858">
        <v>0.15</v>
      </c>
      <c r="D296" s="1858">
        <v>0.15</v>
      </c>
      <c r="E296" s="1858">
        <v>0.15</v>
      </c>
      <c r="F296" s="1859">
        <v>0.15</v>
      </c>
    </row>
    <row r="297" spans="1:6" ht="14.25" thickBot="1">
      <c r="A297" s="1853" t="s">
        <v>1421</v>
      </c>
      <c r="B297" s="1857" t="s">
        <v>2207</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2208</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2209</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2210</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2211</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2212</v>
      </c>
      <c r="C310" s="1858">
        <v>0.15</v>
      </c>
      <c r="D310" s="1858">
        <v>0.15</v>
      </c>
      <c r="E310" s="1858">
        <v>0.15</v>
      </c>
      <c r="F310" s="1859">
        <v>0.13700000000000001</v>
      </c>
    </row>
    <row r="311" spans="1:6" ht="14.25" thickBot="1">
      <c r="A311" s="1853" t="s">
        <v>1421</v>
      </c>
      <c r="B311" s="1857" t="s">
        <v>2213</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2214</v>
      </c>
      <c r="C313" s="1858">
        <v>0.15</v>
      </c>
      <c r="D313" s="1858">
        <v>0.15</v>
      </c>
      <c r="E313" s="1858">
        <v>0.15</v>
      </c>
      <c r="F313" s="1859">
        <v>0.15</v>
      </c>
    </row>
    <row r="314" spans="1:6" ht="24.75" thickBot="1">
      <c r="A314" s="1853" t="s">
        <v>1421</v>
      </c>
      <c r="B314" s="1857" t="s">
        <v>2215</v>
      </c>
      <c r="C314" s="1867"/>
      <c r="D314" s="1867"/>
      <c r="E314" s="1867"/>
      <c r="F314" s="1859">
        <v>0.05</v>
      </c>
    </row>
    <row r="315" spans="1:6" ht="24.75" thickBot="1">
      <c r="A315" s="1853" t="s">
        <v>1421</v>
      </c>
      <c r="B315" s="1857" t="s">
        <v>2216</v>
      </c>
      <c r="C315" s="1867"/>
      <c r="D315" s="1867"/>
      <c r="E315" s="1867"/>
      <c r="F315" s="1859">
        <v>0.05</v>
      </c>
    </row>
    <row r="316" spans="1:6" ht="24.75" thickBot="1">
      <c r="A316" s="1861" t="s">
        <v>1421</v>
      </c>
      <c r="B316" s="1868" t="s">
        <v>2217</v>
      </c>
      <c r="C316" s="1864"/>
      <c r="D316" s="1864"/>
      <c r="E316" s="1864"/>
      <c r="F316" s="1869">
        <v>0.05</v>
      </c>
    </row>
    <row r="317" spans="1:6" ht="14.25" thickBot="1">
      <c r="A317" s="1853" t="s">
        <v>2218</v>
      </c>
      <c r="B317" s="1854" t="s">
        <v>2219</v>
      </c>
      <c r="C317" s="1855">
        <v>0.15</v>
      </c>
      <c r="D317" s="1855">
        <v>0.15</v>
      </c>
      <c r="E317" s="1855">
        <v>0.15</v>
      </c>
      <c r="F317" s="1856">
        <v>0.15</v>
      </c>
    </row>
    <row r="318" spans="1:6" ht="14.25" thickBot="1">
      <c r="A318" s="1853" t="s">
        <v>2218</v>
      </c>
      <c r="B318" s="1857" t="s">
        <v>2220</v>
      </c>
      <c r="C318" s="1858">
        <v>0.107</v>
      </c>
      <c r="D318" s="1858">
        <v>0.11</v>
      </c>
      <c r="E318" s="1858">
        <v>0.112</v>
      </c>
      <c r="F318" s="1866"/>
    </row>
    <row r="319" spans="1:6" ht="14.25" thickBot="1">
      <c r="A319" s="1853" t="s">
        <v>2218</v>
      </c>
      <c r="B319" s="1857" t="s">
        <v>2221</v>
      </c>
      <c r="C319" s="1858">
        <v>0.15</v>
      </c>
      <c r="D319" s="1858">
        <v>0.15</v>
      </c>
      <c r="E319" s="1858">
        <v>0.15</v>
      </c>
      <c r="F319" s="1859">
        <v>0.15</v>
      </c>
    </row>
    <row r="320" spans="1:6" ht="14.25" thickBot="1">
      <c r="A320" s="1853" t="s">
        <v>2218</v>
      </c>
      <c r="B320" s="1857" t="s">
        <v>1109</v>
      </c>
      <c r="C320" s="1858">
        <v>0.15</v>
      </c>
      <c r="D320" s="1858">
        <v>0.15</v>
      </c>
      <c r="E320" s="1858">
        <v>0.15</v>
      </c>
      <c r="F320" s="1866"/>
    </row>
    <row r="321" spans="1:6" ht="14.25" thickBot="1">
      <c r="A321" s="1853" t="s">
        <v>2218</v>
      </c>
      <c r="B321" s="1857" t="s">
        <v>2222</v>
      </c>
      <c r="C321" s="1858">
        <v>0.15</v>
      </c>
      <c r="D321" s="1858">
        <v>0.15</v>
      </c>
      <c r="E321" s="1858">
        <v>0.15</v>
      </c>
      <c r="F321" s="1866"/>
    </row>
    <row r="322" spans="1:6" ht="14.25" thickBot="1">
      <c r="A322" s="1853" t="s">
        <v>2218</v>
      </c>
      <c r="B322" s="1857" t="s">
        <v>2223</v>
      </c>
      <c r="C322" s="1858">
        <v>0.15</v>
      </c>
      <c r="D322" s="1858">
        <v>0.15</v>
      </c>
      <c r="E322" s="1858">
        <v>0.15</v>
      </c>
      <c r="F322" s="1859">
        <v>0.15</v>
      </c>
    </row>
    <row r="323" spans="1:6" ht="14.25" thickBot="1">
      <c r="A323" s="1853" t="s">
        <v>2218</v>
      </c>
      <c r="B323" s="1857" t="s">
        <v>2224</v>
      </c>
      <c r="C323" s="1858">
        <v>0.15</v>
      </c>
      <c r="D323" s="1858">
        <v>0.15</v>
      </c>
      <c r="E323" s="1858">
        <v>0.15</v>
      </c>
      <c r="F323" s="1866"/>
    </row>
    <row r="324" spans="1:6" ht="14.25" thickBot="1">
      <c r="A324" s="1853" t="s">
        <v>2218</v>
      </c>
      <c r="B324" s="1857" t="s">
        <v>2225</v>
      </c>
      <c r="C324" s="1858">
        <v>0.15</v>
      </c>
      <c r="D324" s="1858">
        <v>0.15</v>
      </c>
      <c r="E324" s="1858">
        <v>0.15</v>
      </c>
      <c r="F324" s="1866"/>
    </row>
    <row r="325" spans="1:6" ht="14.25" thickBot="1">
      <c r="A325" s="1853" t="s">
        <v>2218</v>
      </c>
      <c r="B325" s="1857" t="s">
        <v>2226</v>
      </c>
      <c r="C325" s="1858">
        <v>0.15</v>
      </c>
      <c r="D325" s="1858">
        <v>0.15</v>
      </c>
      <c r="E325" s="1858">
        <v>0.15</v>
      </c>
      <c r="F325" s="1859">
        <v>0.14699999999999999</v>
      </c>
    </row>
    <row r="326" spans="1:6" ht="14.25" thickBot="1">
      <c r="A326" s="1853" t="s">
        <v>2218</v>
      </c>
      <c r="B326" s="1857" t="s">
        <v>1178</v>
      </c>
      <c r="C326" s="1858">
        <v>0.15</v>
      </c>
      <c r="D326" s="1858">
        <v>0.15</v>
      </c>
      <c r="E326" s="1858">
        <v>0.15</v>
      </c>
      <c r="F326" s="1866"/>
    </row>
    <row r="327" spans="1:6" ht="14.25" thickBot="1">
      <c r="A327" s="1853" t="s">
        <v>2218</v>
      </c>
      <c r="B327" s="1857" t="s">
        <v>2227</v>
      </c>
      <c r="C327" s="1858">
        <v>0.15</v>
      </c>
      <c r="D327" s="1858">
        <v>0.15</v>
      </c>
      <c r="E327" s="1858">
        <v>0.15</v>
      </c>
      <c r="F327" s="1859">
        <v>0.15</v>
      </c>
    </row>
    <row r="328" spans="1:6" ht="14.25" thickBot="1">
      <c r="A328" s="1853" t="s">
        <v>2218</v>
      </c>
      <c r="B328" s="1857" t="s">
        <v>1198</v>
      </c>
      <c r="C328" s="1858">
        <v>0.15</v>
      </c>
      <c r="D328" s="1858">
        <v>0.15</v>
      </c>
      <c r="E328" s="1858">
        <v>0.15</v>
      </c>
      <c r="F328" s="1859">
        <v>0.14099999999999999</v>
      </c>
    </row>
    <row r="329" spans="1:6" ht="14.25" thickBot="1">
      <c r="A329" s="1853" t="s">
        <v>2218</v>
      </c>
      <c r="B329" s="1857" t="s">
        <v>1208</v>
      </c>
      <c r="C329" s="1858">
        <v>0.15</v>
      </c>
      <c r="D329" s="1858">
        <v>0.15</v>
      </c>
      <c r="E329" s="1858">
        <v>0.15</v>
      </c>
      <c r="F329" s="1859">
        <v>0.15</v>
      </c>
    </row>
    <row r="330" spans="1:6" ht="14.25" thickBot="1">
      <c r="A330" s="1853" t="s">
        <v>2218</v>
      </c>
      <c r="B330" s="1857" t="s">
        <v>1218</v>
      </c>
      <c r="C330" s="1858">
        <v>0.15</v>
      </c>
      <c r="D330" s="1858">
        <v>0.15</v>
      </c>
      <c r="E330" s="1858">
        <v>0.15</v>
      </c>
      <c r="F330" s="1866"/>
    </row>
    <row r="331" spans="1:6" ht="14.25" thickBot="1">
      <c r="A331" s="1853" t="s">
        <v>2218</v>
      </c>
      <c r="B331" s="1857" t="s">
        <v>2228</v>
      </c>
      <c r="C331" s="1858">
        <v>0.15</v>
      </c>
      <c r="D331" s="1858">
        <v>0.15</v>
      </c>
      <c r="E331" s="1858">
        <v>0.15</v>
      </c>
      <c r="F331" s="1859">
        <v>0.15</v>
      </c>
    </row>
    <row r="332" spans="1:6" ht="14.25" thickBot="1">
      <c r="A332" s="1853" t="s">
        <v>2218</v>
      </c>
      <c r="B332" s="1857" t="s">
        <v>1238</v>
      </c>
      <c r="C332" s="1858">
        <v>0.15</v>
      </c>
      <c r="D332" s="1858">
        <v>0.15</v>
      </c>
      <c r="E332" s="1858">
        <v>0.15</v>
      </c>
      <c r="F332" s="1859">
        <v>0.15</v>
      </c>
    </row>
    <row r="333" spans="1:6" ht="14.25" thickBot="1">
      <c r="A333" s="1853" t="s">
        <v>2218</v>
      </c>
      <c r="B333" s="1857" t="s">
        <v>2229</v>
      </c>
      <c r="C333" s="1858">
        <v>0.15</v>
      </c>
      <c r="D333" s="1858">
        <v>0.15</v>
      </c>
      <c r="E333" s="1858">
        <v>0.15</v>
      </c>
      <c r="F333" s="1859">
        <v>0.14099999999999999</v>
      </c>
    </row>
    <row r="334" spans="1:6" ht="14.25" thickBot="1">
      <c r="A334" s="1853" t="s">
        <v>2218</v>
      </c>
      <c r="B334" s="1857" t="s">
        <v>1258</v>
      </c>
      <c r="C334" s="1858">
        <v>0.15</v>
      </c>
      <c r="D334" s="1858">
        <v>0.15</v>
      </c>
      <c r="E334" s="1858">
        <v>0.15</v>
      </c>
      <c r="F334" s="1859">
        <v>0.15</v>
      </c>
    </row>
    <row r="335" spans="1:6" ht="14.25" thickBot="1">
      <c r="A335" s="1853" t="s">
        <v>2218</v>
      </c>
      <c r="B335" s="1857" t="s">
        <v>1268</v>
      </c>
      <c r="C335" s="1858">
        <v>0.15</v>
      </c>
      <c r="D335" s="1858">
        <v>0.15</v>
      </c>
      <c r="E335" s="1858">
        <v>0.15</v>
      </c>
      <c r="F335" s="1866"/>
    </row>
    <row r="336" spans="1:6" ht="14.25" thickBot="1">
      <c r="A336" s="1853" t="s">
        <v>2218</v>
      </c>
      <c r="B336" s="1857" t="s">
        <v>2230</v>
      </c>
      <c r="C336" s="1858">
        <v>0.15</v>
      </c>
      <c r="D336" s="1858">
        <v>0.15</v>
      </c>
      <c r="E336" s="1858">
        <v>0.15</v>
      </c>
      <c r="F336" s="1859">
        <v>0.11799999999999999</v>
      </c>
    </row>
    <row r="337" spans="1:6" ht="14.25" thickBot="1">
      <c r="A337" s="1861" t="s">
        <v>2218</v>
      </c>
      <c r="B337" s="1868" t="s">
        <v>1286</v>
      </c>
      <c r="C337" s="1864"/>
      <c r="D337" s="1864"/>
      <c r="E337" s="1864"/>
      <c r="F337" s="1869">
        <v>0.14299999999999999</v>
      </c>
    </row>
    <row r="338" spans="1:6" ht="14.25" thickBot="1">
      <c r="A338" s="1853" t="s">
        <v>2231</v>
      </c>
      <c r="B338" s="1854" t="s">
        <v>2232</v>
      </c>
      <c r="C338" s="1855">
        <v>0.15</v>
      </c>
      <c r="D338" s="1855">
        <v>0.15</v>
      </c>
      <c r="E338" s="1855">
        <v>0.15</v>
      </c>
      <c r="F338" s="1877"/>
    </row>
    <row r="339" spans="1:6" ht="14.25" thickBot="1">
      <c r="A339" s="1853" t="s">
        <v>2231</v>
      </c>
      <c r="B339" s="1857" t="s">
        <v>2233</v>
      </c>
      <c r="C339" s="1858">
        <v>0.15</v>
      </c>
      <c r="D339" s="1858">
        <v>0.15</v>
      </c>
      <c r="E339" s="1858">
        <v>0.15</v>
      </c>
      <c r="F339" s="1866"/>
    </row>
    <row r="340" spans="1:6" ht="14.25" thickBot="1">
      <c r="A340" s="1853" t="s">
        <v>2231</v>
      </c>
      <c r="B340" s="1857" t="s">
        <v>2234</v>
      </c>
      <c r="C340" s="1858">
        <v>0.15</v>
      </c>
      <c r="D340" s="1858">
        <v>0.15</v>
      </c>
      <c r="E340" s="1858">
        <v>0.15</v>
      </c>
      <c r="F340" s="1866"/>
    </row>
    <row r="341" spans="1:6" ht="14.25" thickBot="1">
      <c r="A341" s="1853" t="s">
        <v>2235</v>
      </c>
      <c r="B341" s="1857" t="s">
        <v>2236</v>
      </c>
      <c r="C341" s="1858">
        <v>0.15</v>
      </c>
      <c r="D341" s="1858">
        <v>0.15</v>
      </c>
      <c r="E341" s="1858">
        <v>0.15</v>
      </c>
      <c r="F341" s="1859">
        <v>0.15</v>
      </c>
    </row>
    <row r="342" spans="1:6" ht="14.25" thickBot="1">
      <c r="A342" s="1853" t="s">
        <v>2231</v>
      </c>
      <c r="B342" s="1857" t="s">
        <v>2237</v>
      </c>
      <c r="C342" s="1858">
        <v>0.15</v>
      </c>
      <c r="D342" s="1858">
        <v>0.15</v>
      </c>
      <c r="E342" s="1858">
        <v>0.15</v>
      </c>
      <c r="F342" s="1859">
        <v>0.15</v>
      </c>
    </row>
    <row r="343" spans="1:6" ht="14.25" thickBot="1">
      <c r="A343" s="1853" t="s">
        <v>2231</v>
      </c>
      <c r="B343" s="1857" t="s">
        <v>2238</v>
      </c>
      <c r="C343" s="1858">
        <v>0.15</v>
      </c>
      <c r="D343" s="1858">
        <v>0.15</v>
      </c>
      <c r="E343" s="1858">
        <v>0.15</v>
      </c>
      <c r="F343" s="1859">
        <v>0.15</v>
      </c>
    </row>
    <row r="344" spans="1:6" ht="14.2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2955</v>
      </c>
      <c r="B1" s="3134"/>
      <c r="C1" s="3134"/>
      <c r="D1" s="3134"/>
      <c r="E1" s="3134"/>
      <c r="F1" s="3134"/>
    </row>
    <row r="2" spans="1:6" ht="14.25">
      <c r="A2" s="3135" t="s">
        <v>2949</v>
      </c>
      <c r="B2" s="3136" t="e">
        <f ca="1">SUMIF(B7:B14,"&lt;&gt;#ref!",B7:B14)</f>
        <v>#DIV/0!</v>
      </c>
      <c r="C2" s="3135" t="s">
        <v>2950</v>
      </c>
      <c r="D2" s="3134"/>
      <c r="E2" s="3134"/>
      <c r="F2" s="3134"/>
    </row>
    <row r="3" spans="1:6" ht="14.25">
      <c r="A3" s="3135" t="s">
        <v>2952</v>
      </c>
      <c r="B3" s="3136" t="e">
        <f ca="1">ROUND(B2*10000/E3,0)</f>
        <v>#DIV/0!</v>
      </c>
      <c r="C3" s="3135" t="s">
        <v>2080</v>
      </c>
      <c r="D3" s="3135" t="s">
        <v>2951</v>
      </c>
      <c r="E3" s="3136" t="e">
        <f ca="1">SUM(E7:E14)</f>
        <v>#REF!</v>
      </c>
      <c r="F3" s="3134"/>
    </row>
    <row r="4" spans="1:6" ht="14.25">
      <c r="A4" s="3135" t="s">
        <v>2959</v>
      </c>
      <c r="B4" s="3136" t="e">
        <f ca="1">ROUND(B2*10000/E4,0)</f>
        <v>#DIV/0!</v>
      </c>
      <c r="C4" s="3135" t="s">
        <v>2080</v>
      </c>
      <c r="D4" s="3135" t="s">
        <v>2960</v>
      </c>
      <c r="E4" s="3136" t="e">
        <f ca="1">SUM(F7:F14)</f>
        <v>#REF!</v>
      </c>
      <c r="F4" s="3134"/>
    </row>
    <row r="5" spans="1:6" ht="14.25">
      <c r="A5" s="3137"/>
      <c r="B5" s="1879"/>
      <c r="C5" s="1879"/>
      <c r="D5" s="1879"/>
      <c r="E5" s="1879"/>
      <c r="F5" s="3134"/>
    </row>
    <row r="6" spans="1:6" ht="28.5">
      <c r="A6" s="3138" t="s">
        <v>2956</v>
      </c>
      <c r="B6" s="3135" t="s">
        <v>2953</v>
      </c>
      <c r="C6" s="3136"/>
      <c r="D6" s="1879"/>
      <c r="E6" s="3135" t="s">
        <v>2954</v>
      </c>
      <c r="F6" s="3135" t="s">
        <v>2958</v>
      </c>
    </row>
    <row r="7" spans="1:6" ht="14.25">
      <c r="A7" s="259" t="s">
        <v>2957</v>
      </c>
      <c r="B7" s="3139" t="e">
        <f ca="1">SUMIF(INDIRECT("'"&amp;A7&amp;"'"&amp;"!A:A"),"总价",INDIRECT("'"&amp;A7&amp;"'"&amp;"!B:B"))</f>
        <v>#DIV/0!</v>
      </c>
      <c r="C7" s="3135" t="s">
        <v>2950</v>
      </c>
      <c r="D7" s="1879"/>
      <c r="E7" s="3140">
        <f ca="1">SUMIF(INDIRECT("'"&amp;A7&amp;"'"&amp;"!C:C"),"建筑面积",INDIRECT("'"&amp;A7&amp;"'"&amp;"!D:D"))</f>
        <v>0</v>
      </c>
      <c r="F7" s="3140">
        <f ca="1">SUMIF(INDIRECT("'"&amp;A7&amp;"'"&amp;"!E:E"),"土地面积",INDIRECT("'"&amp;A7&amp;"'"&amp;"!F:F"))</f>
        <v>0</v>
      </c>
    </row>
    <row r="8" spans="1:6" ht="14.25">
      <c r="A8" s="259"/>
      <c r="B8" s="3139" t="e">
        <f t="shared" ref="B8:B14" ca="1" si="0">SUMIF(INDIRECT("'"&amp;A8&amp;"'"&amp;"!A:A"),"总价",INDIRECT("'"&amp;A8&amp;"'"&amp;"!B:B"))</f>
        <v>#REF!</v>
      </c>
      <c r="C8" s="3135" t="s">
        <v>2950</v>
      </c>
      <c r="D8" s="1879"/>
      <c r="E8" s="3140" t="e">
        <f t="shared" ref="E8:E14" ca="1" si="1">SUMIF(INDIRECT("'"&amp;A8&amp;"'"&amp;"!C:C"),"建筑面积",INDIRECT("'"&amp;A8&amp;"'"&amp;"!D:D"))</f>
        <v>#REF!</v>
      </c>
      <c r="F8" s="3140" t="e">
        <f t="shared" ref="F8:F14" ca="1" si="2">SUMIF(INDIRECT("'"&amp;A8&amp;"'"&amp;"!E:E"),"土地面积",INDIRECT("'"&amp;A8&amp;"'"&amp;"!F:F"))</f>
        <v>#REF!</v>
      </c>
    </row>
    <row r="9" spans="1:6" ht="14.25">
      <c r="A9" s="259"/>
      <c r="B9" s="3139" t="e">
        <f t="shared" ca="1" si="0"/>
        <v>#REF!</v>
      </c>
      <c r="C9" s="3135" t="s">
        <v>2950</v>
      </c>
      <c r="D9" s="1879"/>
      <c r="E9" s="3140" t="e">
        <f t="shared" ca="1" si="1"/>
        <v>#REF!</v>
      </c>
      <c r="F9" s="3140" t="e">
        <f t="shared" ca="1" si="2"/>
        <v>#REF!</v>
      </c>
    </row>
    <row r="10" spans="1:6" ht="14.25">
      <c r="A10" s="259"/>
      <c r="B10" s="3139" t="e">
        <f t="shared" ca="1" si="0"/>
        <v>#REF!</v>
      </c>
      <c r="C10" s="3135" t="s">
        <v>2950</v>
      </c>
      <c r="D10" s="1879"/>
      <c r="E10" s="3140" t="e">
        <f t="shared" ca="1" si="1"/>
        <v>#REF!</v>
      </c>
      <c r="F10" s="3140" t="e">
        <f t="shared" ca="1" si="2"/>
        <v>#REF!</v>
      </c>
    </row>
    <row r="11" spans="1:6" ht="14.25">
      <c r="A11" s="259"/>
      <c r="B11" s="3139" t="e">
        <f t="shared" ca="1" si="0"/>
        <v>#REF!</v>
      </c>
      <c r="C11" s="3135" t="s">
        <v>2950</v>
      </c>
      <c r="D11" s="1879"/>
      <c r="E11" s="3140" t="e">
        <f t="shared" ca="1" si="1"/>
        <v>#REF!</v>
      </c>
      <c r="F11" s="3140" t="e">
        <f t="shared" ca="1" si="2"/>
        <v>#REF!</v>
      </c>
    </row>
    <row r="12" spans="1:6" ht="14.25">
      <c r="A12" s="259"/>
      <c r="B12" s="3139" t="e">
        <f t="shared" ca="1" si="0"/>
        <v>#REF!</v>
      </c>
      <c r="C12" s="3135" t="s">
        <v>2950</v>
      </c>
      <c r="D12" s="1879"/>
      <c r="E12" s="3140" t="e">
        <f t="shared" ca="1" si="1"/>
        <v>#REF!</v>
      </c>
      <c r="F12" s="3140" t="e">
        <f t="shared" ca="1" si="2"/>
        <v>#REF!</v>
      </c>
    </row>
    <row r="13" spans="1:6" ht="14.25">
      <c r="A13" s="259"/>
      <c r="B13" s="3139" t="e">
        <f t="shared" ca="1" si="0"/>
        <v>#REF!</v>
      </c>
      <c r="C13" s="3135" t="s">
        <v>2950</v>
      </c>
      <c r="D13" s="1879"/>
      <c r="E13" s="3140" t="e">
        <f t="shared" ca="1" si="1"/>
        <v>#REF!</v>
      </c>
      <c r="F13" s="3140" t="e">
        <f t="shared" ca="1" si="2"/>
        <v>#REF!</v>
      </c>
    </row>
    <row r="14" spans="1:6" ht="14.25">
      <c r="A14" s="3133"/>
      <c r="B14" s="3139" t="e">
        <f t="shared" ca="1" si="0"/>
        <v>#REF!</v>
      </c>
      <c r="C14" s="3135" t="s">
        <v>2950</v>
      </c>
      <c r="D14" s="1879"/>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629</v>
      </c>
      <c r="B1" s="737"/>
      <c r="C1" s="772"/>
      <c r="D1" s="2048"/>
      <c r="E1" s="2409" t="s">
        <v>2375</v>
      </c>
      <c r="F1" s="2410">
        <f ca="1">J54</f>
        <v>0</v>
      </c>
      <c r="G1" s="773">
        <f>MATCH(C1,'数据-取费表'!A6:A16,0)+5</f>
        <v>12</v>
      </c>
      <c r="H1" s="1349"/>
      <c r="I1" s="2049"/>
      <c r="J1" s="2049"/>
      <c r="K1" s="2050"/>
      <c r="L1" s="2049"/>
      <c r="M1" s="2049"/>
      <c r="N1" s="2051"/>
      <c r="O1" s="2051"/>
      <c r="P1" s="2051"/>
      <c r="Q1" s="2051"/>
      <c r="R1" s="2051"/>
      <c r="S1" s="2051"/>
      <c r="T1" s="2051"/>
      <c r="U1" s="2051"/>
      <c r="V1" s="2051"/>
      <c r="W1" s="2051"/>
      <c r="X1" s="2051"/>
      <c r="Y1" s="2051"/>
    </row>
    <row r="2" spans="1:25" ht="18" customHeight="1">
      <c r="A2" s="1643" t="s">
        <v>630</v>
      </c>
      <c r="B2" s="774">
        <f ca="1">IF(ISERROR(C45+J31),0,C45+J31)</f>
        <v>0</v>
      </c>
      <c r="C2" s="1350"/>
      <c r="D2" s="2053"/>
      <c r="E2" s="2054"/>
      <c r="F2" s="2054"/>
      <c r="G2" s="1589"/>
      <c r="H2" s="1362"/>
      <c r="I2" s="2055"/>
      <c r="J2" s="2055"/>
      <c r="K2" s="2056"/>
      <c r="L2" s="2055"/>
      <c r="M2" s="2055"/>
    </row>
    <row r="3" spans="1:25" ht="18" customHeight="1">
      <c r="A3" s="1644" t="s">
        <v>1688</v>
      </c>
      <c r="B3" s="1390">
        <f ca="1">ROUND(B2*10000/'数据-汇总表'!E3,0)</f>
        <v>0</v>
      </c>
      <c r="C3" s="1350"/>
      <c r="D3" s="2053"/>
      <c r="E3" s="2054"/>
      <c r="F3" s="2054"/>
      <c r="G3" s="1589"/>
      <c r="H3" s="775" t="s">
        <v>696</v>
      </c>
      <c r="I3" s="2055"/>
      <c r="J3" s="2055"/>
      <c r="K3" s="2056"/>
      <c r="L3" s="2055"/>
      <c r="M3" s="2055"/>
    </row>
    <row r="4" spans="1:25" ht="18" customHeight="1">
      <c r="A4" s="1645" t="s">
        <v>697</v>
      </c>
      <c r="B4" s="1351">
        <f ca="1">ROUND(B2*10000/'数据-汇总表'!D3,0)</f>
        <v>0</v>
      </c>
      <c r="C4" s="427"/>
      <c r="D4" s="2053"/>
      <c r="E4" s="2054"/>
      <c r="F4" s="2054"/>
      <c r="G4" s="1589"/>
      <c r="H4" s="775"/>
      <c r="I4" s="2055"/>
      <c r="J4" s="2055"/>
      <c r="K4" s="2056"/>
      <c r="L4" s="2055"/>
      <c r="M4" s="2055"/>
    </row>
    <row r="5" spans="1:25" ht="18" customHeight="1" thickBot="1">
      <c r="A5" s="1646"/>
      <c r="B5" s="429">
        <f ca="1">ROUND(B2/('数据-汇总表'!D3/666.67),0)</f>
        <v>0</v>
      </c>
      <c r="C5" s="430" t="s">
        <v>698</v>
      </c>
      <c r="D5" s="2053"/>
      <c r="E5" s="2054"/>
      <c r="F5" s="2054"/>
      <c r="G5" s="1589"/>
      <c r="H5" s="775"/>
      <c r="I5" s="2055"/>
      <c r="J5" s="2055"/>
      <c r="K5" s="2056"/>
      <c r="L5" s="2055"/>
      <c r="M5" s="2055"/>
    </row>
    <row r="6" spans="1:25" ht="18" customHeight="1">
      <c r="A6" s="1827" t="s">
        <v>699</v>
      </c>
      <c r="B6" s="1819" t="s">
        <v>700</v>
      </c>
      <c r="C6" s="1819" t="s">
        <v>633</v>
      </c>
      <c r="D6" s="1819" t="s">
        <v>634</v>
      </c>
      <c r="E6" s="778" t="s">
        <v>635</v>
      </c>
      <c r="F6" s="779"/>
      <c r="G6" s="1591"/>
      <c r="H6" s="1827" t="s">
        <v>631</v>
      </c>
      <c r="I6" s="1819" t="s">
        <v>632</v>
      </c>
      <c r="J6" s="1819" t="s">
        <v>633</v>
      </c>
      <c r="K6" s="1819" t="s">
        <v>634</v>
      </c>
      <c r="L6" s="778" t="s">
        <v>635</v>
      </c>
      <c r="M6" s="779"/>
    </row>
    <row r="7" spans="1:25" ht="18" customHeight="1">
      <c r="A7" s="780">
        <v>1</v>
      </c>
      <c r="B7" s="781" t="s">
        <v>2460</v>
      </c>
      <c r="C7" s="53">
        <f ca="1">C8+C12+C14</f>
        <v>0</v>
      </c>
      <c r="D7" s="2518" t="s">
        <v>2463</v>
      </c>
      <c r="E7" s="2512"/>
      <c r="F7" s="2513"/>
      <c r="G7" s="1591"/>
      <c r="H7" s="780">
        <v>1</v>
      </c>
      <c r="I7" s="781" t="s">
        <v>2460</v>
      </c>
      <c r="J7" s="53">
        <f ca="1">J8+J12+J14</f>
        <v>0</v>
      </c>
      <c r="K7" s="2518" t="s">
        <v>2463</v>
      </c>
      <c r="L7" s="2512"/>
      <c r="M7" s="2513"/>
    </row>
    <row r="8" spans="1:25" ht="18" customHeight="1">
      <c r="A8" s="1829" t="s">
        <v>1826</v>
      </c>
      <c r="B8" s="3481" t="s">
        <v>2465</v>
      </c>
      <c r="C8" s="1824">
        <f ca="1">ROUND(F8*F10*F9*(1-F11)/10000,0)</f>
        <v>0</v>
      </c>
      <c r="D8" s="1821" t="s">
        <v>2537</v>
      </c>
      <c r="E8" s="61" t="s">
        <v>638</v>
      </c>
      <c r="F8" s="784">
        <f ca="1">INDIRECT("'数据-取费表'!u"&amp;$G$1)</f>
        <v>0</v>
      </c>
      <c r="G8" s="1591"/>
      <c r="H8" s="2526" t="s">
        <v>1826</v>
      </c>
      <c r="I8" s="3481" t="s">
        <v>2465</v>
      </c>
      <c r="J8" s="782">
        <f ca="1">ROUND(M8*M10*M9*(1-M11)/10000,0)</f>
        <v>0</v>
      </c>
      <c r="K8" s="340" t="s">
        <v>2537</v>
      </c>
      <c r="L8" s="783" t="s">
        <v>1740</v>
      </c>
      <c r="M8" s="784">
        <f ca="1">INDIRECT("'数据-取费表'!z"&amp;$G$1)</f>
        <v>0</v>
      </c>
    </row>
    <row r="9" spans="1:25" ht="18" customHeight="1">
      <c r="A9" s="2522"/>
      <c r="B9" s="3482"/>
      <c r="C9" s="1825"/>
      <c r="D9" s="1822"/>
      <c r="E9" s="61" t="s">
        <v>639</v>
      </c>
      <c r="F9" s="784">
        <f ca="1">IF(INDIRECT("'数据-取费表'!ah"&amp;$G$1)="",INDIRECT("'数据-取费表'!k"&amp;$G$1),INDIRECT("'数据-取费表'!ah"&amp;$G$1))</f>
        <v>0</v>
      </c>
      <c r="G9" s="1591"/>
      <c r="H9" s="2511"/>
      <c r="I9" s="3482"/>
      <c r="J9" s="787"/>
      <c r="K9" s="788"/>
      <c r="L9" s="783" t="s">
        <v>1741</v>
      </c>
      <c r="M9" s="784">
        <f ca="1">F9</f>
        <v>0</v>
      </c>
    </row>
    <row r="10" spans="1:25" ht="18" customHeight="1">
      <c r="A10" s="2515"/>
      <c r="B10" s="3483"/>
      <c r="C10" s="1825"/>
      <c r="D10" s="1822"/>
      <c r="E10" s="61" t="s">
        <v>640</v>
      </c>
      <c r="F10" s="784">
        <f ca="1">INDIRECT("'数据-取费表'!ai"&amp;$G$1)</f>
        <v>0</v>
      </c>
      <c r="G10" s="1591"/>
      <c r="H10" s="2511"/>
      <c r="I10" s="3483"/>
      <c r="J10" s="787"/>
      <c r="K10" s="788"/>
      <c r="L10" s="783" t="s">
        <v>1742</v>
      </c>
      <c r="M10" s="784">
        <f ca="1">INDIRECT("'数据-取费表'!ai"&amp;$G$1)</f>
        <v>0</v>
      </c>
    </row>
    <row r="11" spans="1:25" ht="18" customHeight="1">
      <c r="A11" s="785"/>
      <c r="B11" s="3484"/>
      <c r="C11" s="1825"/>
      <c r="D11" s="1822"/>
      <c r="E11" s="61" t="s">
        <v>641</v>
      </c>
      <c r="F11" s="793">
        <f ca="1">INDIRECT("'数据-取费表'!w"&amp;$G$1)</f>
        <v>0</v>
      </c>
      <c r="G11" s="1591"/>
      <c r="H11" s="2527"/>
      <c r="I11" s="3483"/>
      <c r="J11" s="787"/>
      <c r="K11" s="788"/>
      <c r="L11" s="794" t="s">
        <v>1743</v>
      </c>
      <c r="M11" s="795">
        <f ca="1">INDIRECT("'数据-取费表'!ab"&amp;$G$1)</f>
        <v>0</v>
      </c>
    </row>
    <row r="12" spans="1:25" ht="18" customHeight="1">
      <c r="A12" s="1829" t="s">
        <v>1827</v>
      </c>
      <c r="B12" s="2516" t="s">
        <v>2461</v>
      </c>
      <c r="C12" s="798">
        <f ca="1">ROUND(IF(F12="押一",F8*F10*F9/12*F13,IF(F12="押二",F8*F10*F9/12*2*F13,IF(F12="押三",F8*F10*F9/12*3*F13,C13*F13)))/10000,0)</f>
        <v>0</v>
      </c>
      <c r="D12" s="2523" t="s">
        <v>2468</v>
      </c>
      <c r="E12" s="2520" t="s">
        <v>2466</v>
      </c>
      <c r="F12" s="2643"/>
      <c r="G12" s="1591"/>
      <c r="H12" s="2583" t="s">
        <v>1827</v>
      </c>
      <c r="I12" s="2588" t="s">
        <v>2461</v>
      </c>
      <c r="J12" s="782">
        <f ca="1">ROUND(IF(M12="押一",M8*M10*M9/12*M13,IF(M12="押二",M8*M10*M9/12*2*M13,IF(M12="押三",M8*M10*M9/12*3*M13,J13*M13)))/10000,0)</f>
        <v>0</v>
      </c>
      <c r="K12" s="2523" t="s">
        <v>2468</v>
      </c>
      <c r="L12" s="2520" t="s">
        <v>2466</v>
      </c>
      <c r="M12" s="2643"/>
    </row>
    <row r="13" spans="1:25" ht="18" customHeight="1">
      <c r="A13" s="789"/>
      <c r="B13" s="2517" t="s">
        <v>2576</v>
      </c>
      <c r="C13" s="2521"/>
      <c r="D13" s="788"/>
      <c r="E13" s="2520" t="s">
        <v>2458</v>
      </c>
      <c r="F13" s="795">
        <f ca="1">'数据-取费表'!B39</f>
        <v>1.4999999999999999E-2</v>
      </c>
      <c r="G13" s="1591"/>
      <c r="H13" s="2584"/>
      <c r="I13" s="2517" t="s">
        <v>2576</v>
      </c>
      <c r="J13" s="2521"/>
      <c r="K13" s="2585"/>
      <c r="L13" s="2520" t="s">
        <v>2458</v>
      </c>
      <c r="M13" s="2514">
        <f ca="1">'数据-取费表'!B39</f>
        <v>1.4999999999999999E-2</v>
      </c>
    </row>
    <row r="14" spans="1:25" ht="18" customHeight="1" thickBot="1">
      <c r="A14" s="2559" t="s">
        <v>2470</v>
      </c>
      <c r="B14" s="2560" t="s">
        <v>2462</v>
      </c>
      <c r="C14" s="2561"/>
      <c r="D14" s="2562"/>
      <c r="E14" s="2563"/>
      <c r="F14" s="2564"/>
      <c r="G14" s="1591"/>
      <c r="H14" s="2573" t="s">
        <v>2470</v>
      </c>
      <c r="I14" s="2586" t="s">
        <v>2462</v>
      </c>
      <c r="J14" s="2587"/>
      <c r="K14" s="2562"/>
      <c r="L14" s="2563"/>
      <c r="M14" s="2576"/>
    </row>
    <row r="15" spans="1:25" ht="18" customHeight="1" thickTop="1">
      <c r="A15" s="1828" t="s">
        <v>1876</v>
      </c>
      <c r="B15" s="1826" t="s">
        <v>642</v>
      </c>
      <c r="C15" s="791">
        <f ca="1">ROUND(C31*F15,0)</f>
        <v>0</v>
      </c>
      <c r="D15" s="1833" t="s">
        <v>643</v>
      </c>
      <c r="E15" s="794" t="s">
        <v>644</v>
      </c>
      <c r="F15" s="799">
        <f ca="1">INDIRECT("'数据-取费表'!y"&amp;$G$1)</f>
        <v>0</v>
      </c>
      <c r="G15" s="1591"/>
      <c r="H15" s="1828" t="s">
        <v>1828</v>
      </c>
      <c r="I15" s="1826" t="s">
        <v>645</v>
      </c>
      <c r="J15" s="1818">
        <f ca="1">ROUND(J16*J17,0)</f>
        <v>0</v>
      </c>
      <c r="K15" s="1820" t="s">
        <v>643</v>
      </c>
      <c r="L15" s="800"/>
      <c r="M15" s="801"/>
    </row>
    <row r="16" spans="1:25" ht="18" customHeight="1">
      <c r="A16" s="802" t="s">
        <v>1877</v>
      </c>
      <c r="B16" s="783" t="s">
        <v>646</v>
      </c>
      <c r="C16" s="803">
        <f ca="1">INDIRECT("'数据-取费表'!m"&amp;$G$1)+INDIRECT("'数据-取费表'!t"&amp;$G$1)</f>
        <v>0</v>
      </c>
      <c r="D16" s="1977" t="s">
        <v>647</v>
      </c>
      <c r="E16" s="1978"/>
      <c r="F16" s="804"/>
      <c r="G16" s="1591"/>
      <c r="H16" s="802" t="s">
        <v>2071</v>
      </c>
      <c r="I16" s="2229" t="s">
        <v>2830</v>
      </c>
      <c r="J16" s="53">
        <f ca="1">C31</f>
        <v>0</v>
      </c>
      <c r="K16" s="26"/>
      <c r="L16" s="800"/>
      <c r="M16" s="801"/>
    </row>
    <row r="17" spans="1:25" s="2062" customFormat="1" ht="18" customHeight="1">
      <c r="A17" s="802" t="s">
        <v>1851</v>
      </c>
      <c r="B17" s="783" t="s">
        <v>648</v>
      </c>
      <c r="C17" s="53">
        <f ca="1">ROUND(C16*F17,0)</f>
        <v>0</v>
      </c>
      <c r="D17" s="805" t="s">
        <v>649</v>
      </c>
      <c r="E17" s="805" t="s">
        <v>650</v>
      </c>
      <c r="F17" s="806">
        <f>'数据-取费表'!B33</f>
        <v>0.05</v>
      </c>
      <c r="G17" s="1592"/>
      <c r="H17" s="802" t="s">
        <v>2072</v>
      </c>
      <c r="I17" s="783" t="s">
        <v>644</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1"/>
      <c r="H18" s="796" t="s">
        <v>1829</v>
      </c>
      <c r="I18" s="797" t="s">
        <v>652</v>
      </c>
      <c r="J18" s="798">
        <f ca="1">ROUND(J19+J24+J25+J26,0)</f>
        <v>0</v>
      </c>
      <c r="K18" s="26" t="s">
        <v>653</v>
      </c>
      <c r="L18" s="1980"/>
      <c r="M18" s="56"/>
    </row>
    <row r="19" spans="1:25" s="2062" customFormat="1" ht="18" customHeight="1">
      <c r="A19" s="802" t="s">
        <v>1853</v>
      </c>
      <c r="B19" s="783" t="s">
        <v>654</v>
      </c>
      <c r="C19" s="53">
        <f ca="1">ROUND(F19*(INDIRECT("'数据-取费表'!k"&amp;$G$1)+INDIRECT("'数据-取费表'!S"&amp;$G$1))/10000,0)</f>
        <v>0</v>
      </c>
      <c r="D19" s="783" t="s">
        <v>655</v>
      </c>
      <c r="E19" s="783" t="s">
        <v>656</v>
      </c>
      <c r="F19" s="56">
        <f>'数据-取费表'!B35</f>
        <v>200</v>
      </c>
      <c r="G19" s="1592"/>
      <c r="H19" s="802" t="s">
        <v>2071</v>
      </c>
      <c r="I19" s="783" t="s">
        <v>657</v>
      </c>
      <c r="J19" s="53">
        <f ca="1">ROUND(IF(项目基本情况!B11="自然人",J7*M19,J20+J21+J22),0)</f>
        <v>0</v>
      </c>
      <c r="K19" s="1977" t="s">
        <v>658</v>
      </c>
      <c r="L19" s="1975" t="s">
        <v>659</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1854</v>
      </c>
      <c r="B20" s="783" t="s">
        <v>660</v>
      </c>
      <c r="C20" s="53">
        <f ca="1">ROUND(C16*F20,0)</f>
        <v>0</v>
      </c>
      <c r="D20" s="783" t="s">
        <v>649</v>
      </c>
      <c r="E20" s="783" t="s">
        <v>650</v>
      </c>
      <c r="F20" s="808">
        <f>'数据-取费表'!B36</f>
        <v>1.4999999999999999E-2</v>
      </c>
      <c r="G20" s="1592"/>
      <c r="H20" s="802" t="s">
        <v>1833</v>
      </c>
      <c r="I20" s="783" t="s">
        <v>661</v>
      </c>
      <c r="J20" s="53">
        <f ca="1">ROUND(J7*M20/1.05,1)</f>
        <v>0</v>
      </c>
      <c r="K20" s="1975" t="s">
        <v>662</v>
      </c>
      <c r="L20" s="783" t="s">
        <v>650</v>
      </c>
      <c r="M20" s="808">
        <f>'数据-取费表'!B41</f>
        <v>6.2719999999999998E-2</v>
      </c>
      <c r="N20" s="2061"/>
      <c r="O20" s="2061"/>
      <c r="P20" s="2061"/>
      <c r="Q20" s="2061"/>
      <c r="R20" s="2061"/>
      <c r="S20" s="2061"/>
      <c r="T20" s="2061"/>
      <c r="U20" s="2061"/>
      <c r="V20" s="2061"/>
      <c r="W20" s="2061"/>
      <c r="X20" s="2061"/>
      <c r="Y20" s="2061"/>
    </row>
    <row r="21" spans="1:25" ht="18" customHeight="1">
      <c r="A21" s="802" t="s">
        <v>1878</v>
      </c>
      <c r="B21" s="783" t="s">
        <v>663</v>
      </c>
      <c r="C21" s="53">
        <f ca="1">SUM(C16:C20)</f>
        <v>0</v>
      </c>
      <c r="D21" s="260" t="s">
        <v>664</v>
      </c>
      <c r="E21" s="1980"/>
      <c r="F21" s="56"/>
      <c r="G21" s="1591"/>
      <c r="H21" s="1829" t="s">
        <v>1851</v>
      </c>
      <c r="I21" s="783" t="s">
        <v>665</v>
      </c>
      <c r="J21" s="53">
        <f ca="1">IF(K21="按租金收入计税",ROUND(J7*M21,1),ROUND(C31*F35*0.7,1))</f>
        <v>0</v>
      </c>
      <c r="K21" s="810" t="s">
        <v>666</v>
      </c>
      <c r="L21" s="783" t="s">
        <v>650</v>
      </c>
      <c r="M21" s="808">
        <f>IF(K21="按租金收入计税",'数据-取费表'!B51,'数据-取费表'!B50)</f>
        <v>1.2E-2</v>
      </c>
    </row>
    <row r="22" spans="1:25" s="2062" customFormat="1" ht="18" customHeight="1">
      <c r="A22" s="802" t="s">
        <v>1879</v>
      </c>
      <c r="B22" s="783" t="s">
        <v>667</v>
      </c>
      <c r="C22" s="53">
        <f ca="1">ROUND(C21*F22,0)</f>
        <v>0</v>
      </c>
      <c r="D22" s="811" t="s">
        <v>668</v>
      </c>
      <c r="E22" s="783" t="s">
        <v>650</v>
      </c>
      <c r="F22" s="808">
        <f>'数据-取费表'!B37</f>
        <v>0.02</v>
      </c>
      <c r="G22" s="1592"/>
      <c r="H22" s="1831" t="s">
        <v>1852</v>
      </c>
      <c r="I22" s="1821" t="s">
        <v>669</v>
      </c>
      <c r="J22" s="54">
        <f ca="1">ROUND(M22*M23/10000,0)</f>
        <v>0</v>
      </c>
      <c r="K22" s="813" t="s">
        <v>670</v>
      </c>
      <c r="L22" s="783" t="s">
        <v>671</v>
      </c>
      <c r="M22" s="639">
        <f>'数据-取费表'!B52</f>
        <v>10</v>
      </c>
      <c r="N22" s="2061"/>
      <c r="O22" s="2061"/>
      <c r="P22" s="2061"/>
      <c r="Q22" s="2061"/>
      <c r="R22" s="2061"/>
      <c r="S22" s="2061"/>
      <c r="T22" s="2061"/>
      <c r="U22" s="2061"/>
      <c r="V22" s="2061"/>
      <c r="W22" s="2061"/>
      <c r="X22" s="2061"/>
      <c r="Y22" s="2061"/>
    </row>
    <row r="23" spans="1:25" s="2062" customFormat="1" ht="18" customHeight="1">
      <c r="A23" s="802" t="s">
        <v>1880</v>
      </c>
      <c r="B23" s="783" t="s">
        <v>672</v>
      </c>
      <c r="C23" s="53" t="s">
        <v>1</v>
      </c>
      <c r="D23" s="811" t="s">
        <v>673</v>
      </c>
      <c r="E23" s="783" t="s">
        <v>674</v>
      </c>
      <c r="F23" s="808">
        <f>'数据-取费表'!B38</f>
        <v>0.02</v>
      </c>
      <c r="G23" s="1592"/>
      <c r="H23" s="1832"/>
      <c r="I23" s="1823"/>
      <c r="J23" s="69"/>
      <c r="K23" s="815"/>
      <c r="L23" s="783" t="s">
        <v>675</v>
      </c>
      <c r="M23" s="784">
        <f ca="1">INDIRECT("'数据-取费表'!r"&amp;$G$1)</f>
        <v>0</v>
      </c>
      <c r="N23" s="2061"/>
      <c r="O23" s="2061"/>
      <c r="P23" s="2061"/>
      <c r="Q23" s="2061"/>
      <c r="R23" s="2061"/>
      <c r="S23" s="2061"/>
      <c r="T23" s="2061"/>
      <c r="U23" s="2061"/>
      <c r="V23" s="2061"/>
      <c r="W23" s="2061"/>
      <c r="X23" s="2061"/>
      <c r="Y23" s="2061"/>
    </row>
    <row r="24" spans="1:25" ht="18" customHeight="1">
      <c r="A24" s="802" t="s">
        <v>1881</v>
      </c>
      <c r="B24" s="783" t="s">
        <v>676</v>
      </c>
      <c r="C24" s="53"/>
      <c r="D24" s="2594" t="str">
        <f>IF(F25&lt;=1,"单利计息。","复利计息。")&amp;"建造成本、管理费用、销售费用产生的利息。"</f>
        <v>复利计息。建造成本、管理费用、销售费用产生的利息。</v>
      </c>
      <c r="E24" s="1980"/>
      <c r="F24" s="56"/>
      <c r="G24" s="1591"/>
      <c r="H24" s="1830" t="s">
        <v>2072</v>
      </c>
      <c r="I24" s="783" t="s">
        <v>677</v>
      </c>
      <c r="J24" s="53">
        <f ca="1">ROUND(J16*M24,0)</f>
        <v>0</v>
      </c>
      <c r="K24" s="1975" t="s">
        <v>678</v>
      </c>
      <c r="L24" s="783" t="s">
        <v>650</v>
      </c>
      <c r="M24" s="816">
        <f ca="1">INDIRECT("'数据-取费表'!Ak"&amp;$G$1)</f>
        <v>0</v>
      </c>
    </row>
    <row r="25" spans="1:25" s="2062" customFormat="1" ht="18" customHeight="1">
      <c r="A25" s="802" t="s">
        <v>1877</v>
      </c>
      <c r="B25" s="783" t="s">
        <v>2438</v>
      </c>
      <c r="C25" s="53">
        <f ca="1">ROUND(IF('数据-取费表'!B22&lt;=1,(C21+C22)*F26*F25/2,(C21+C22)*(POWER((1+F26),F25/2)-1)),0)</f>
        <v>0</v>
      </c>
      <c r="D25" s="2593" t="str">
        <f>IF(F25&lt;=1,"(建造成本+管理费用)×利率×(建设周期÷2)","(建造成本+管理费用)×((1+利率)^(建设周期÷2)-1)")</f>
        <v>(建造成本+管理费用)×((1+利率)^(建设周期÷2)-1)</v>
      </c>
      <c r="E25" s="783" t="s">
        <v>679</v>
      </c>
      <c r="F25" s="639">
        <f>'数据-取费表'!B20</f>
        <v>2</v>
      </c>
      <c r="G25" s="1592"/>
      <c r="H25" s="802" t="s">
        <v>1880</v>
      </c>
      <c r="I25" s="783" t="s">
        <v>680</v>
      </c>
      <c r="J25" s="53">
        <f ca="1">ROUND(J15*M25,0)</f>
        <v>0</v>
      </c>
      <c r="K25" s="1975" t="s">
        <v>681</v>
      </c>
      <c r="L25" s="783" t="s">
        <v>650</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1851</v>
      </c>
      <c r="B26" s="783" t="s">
        <v>682</v>
      </c>
      <c r="C26" s="53">
        <f ca="1">ROUND(IF('数据-取费表'!B22&lt;=1,F23*F26*F25/2,F23*(POWER((1+F26),F25/2)-1)),4)</f>
        <v>1E-3</v>
      </c>
      <c r="D26" s="2593" t="str">
        <f>IF(F25&lt;=1,"销售费用×利率×(建设周期÷2)","销售费用×((1+利率)^(建设周期÷2)-1)")</f>
        <v>销售费用×((1+利率)^(建设周期÷2)-1)</v>
      </c>
      <c r="E26" s="783" t="s">
        <v>683</v>
      </c>
      <c r="F26" s="818">
        <f ca="1">'数据-取费表'!B40</f>
        <v>4.7500000000000001E-2</v>
      </c>
      <c r="G26" s="1592"/>
      <c r="H26" s="802" t="s">
        <v>1881</v>
      </c>
      <c r="I26" s="783" t="s">
        <v>667</v>
      </c>
      <c r="J26" s="53">
        <f ca="1">ROUND(J7*M26,0)</f>
        <v>0</v>
      </c>
      <c r="K26" s="1975" t="s">
        <v>684</v>
      </c>
      <c r="L26" s="783" t="s">
        <v>650</v>
      </c>
      <c r="M26" s="793">
        <f ca="1">INDIRECT("'数据-取费表'!Am"&amp;$G$1)</f>
        <v>0</v>
      </c>
      <c r="N26" s="2061"/>
      <c r="O26" s="2061"/>
      <c r="P26" s="2061"/>
      <c r="Q26" s="2061"/>
      <c r="R26" s="2061"/>
      <c r="S26" s="2061"/>
      <c r="T26" s="2061"/>
      <c r="U26" s="2061"/>
      <c r="V26" s="2061"/>
      <c r="W26" s="2061"/>
      <c r="X26" s="2061"/>
      <c r="Y26" s="2061"/>
    </row>
    <row r="27" spans="1:25" ht="18" customHeight="1">
      <c r="A27" s="802" t="s">
        <v>1883</v>
      </c>
      <c r="B27" s="783" t="s">
        <v>685</v>
      </c>
      <c r="C27" s="53"/>
      <c r="D27" s="260" t="s">
        <v>686</v>
      </c>
      <c r="E27" s="1980"/>
      <c r="F27" s="56"/>
      <c r="G27" s="1591"/>
      <c r="H27" s="796" t="s">
        <v>1830</v>
      </c>
      <c r="I27" s="3035" t="s">
        <v>2827</v>
      </c>
      <c r="J27" s="798">
        <f ca="1">J7-J18</f>
        <v>0</v>
      </c>
      <c r="K27" s="1977" t="s">
        <v>701</v>
      </c>
      <c r="L27" s="1979"/>
      <c r="M27" s="819"/>
    </row>
    <row r="28" spans="1:25" ht="18" customHeight="1">
      <c r="A28" s="802" t="s">
        <v>1877</v>
      </c>
      <c r="B28" s="783" t="s">
        <v>2439</v>
      </c>
      <c r="C28" s="53">
        <f ca="1">ROUND((C21+C22)*F28,0)</f>
        <v>0</v>
      </c>
      <c r="D28" s="811" t="s">
        <v>702</v>
      </c>
      <c r="E28" s="794" t="s">
        <v>703</v>
      </c>
      <c r="F28" s="793">
        <f ca="1">INDIRECT("'数据-取费表'!q"&amp;$G$1)</f>
        <v>0</v>
      </c>
      <c r="G28" s="1591"/>
      <c r="H28" s="780" t="s">
        <v>1839</v>
      </c>
      <c r="I28" s="781" t="s">
        <v>704</v>
      </c>
      <c r="J28" s="782">
        <f ca="1">IF(J7&lt;&gt;0,ROUND(J27*(1-((1+M30)/(1+M28))^M29)/(M28-M30),0),0)</f>
        <v>0</v>
      </c>
      <c r="K28" s="813" t="s">
        <v>705</v>
      </c>
      <c r="L28" s="783" t="s">
        <v>706</v>
      </c>
      <c r="M28" s="793">
        <f ca="1">INDIRECT("'数据-取费表'!I"&amp;$G$1)</f>
        <v>0</v>
      </c>
    </row>
    <row r="29" spans="1:25" ht="18" customHeight="1">
      <c r="A29" s="802" t="s">
        <v>1851</v>
      </c>
      <c r="B29" s="783" t="s">
        <v>687</v>
      </c>
      <c r="C29" s="53">
        <f ca="1">ROUND(F23*F28,4)</f>
        <v>0</v>
      </c>
      <c r="D29" s="811" t="s">
        <v>707</v>
      </c>
      <c r="E29" s="805"/>
      <c r="F29" s="806"/>
      <c r="G29" s="1591"/>
      <c r="H29" s="785"/>
      <c r="I29" s="786"/>
      <c r="J29" s="787"/>
      <c r="K29" s="820" t="s">
        <v>708</v>
      </c>
      <c r="L29" s="783" t="s">
        <v>709</v>
      </c>
      <c r="M29" s="821">
        <f ca="1">INDIRECT("'数据-取费表'!ag"&amp;$G$1)</f>
        <v>0</v>
      </c>
    </row>
    <row r="30" spans="1:25" s="2062" customFormat="1" ht="18" customHeight="1">
      <c r="A30" s="802" t="s">
        <v>1884</v>
      </c>
      <c r="B30" s="783" t="s">
        <v>688</v>
      </c>
      <c r="C30" s="53">
        <f>ROUND(F30/(1+'数据-取费表'!C42),4)</f>
        <v>5.9400000000000001E-2</v>
      </c>
      <c r="D30" s="811" t="s">
        <v>710</v>
      </c>
      <c r="E30" s="783" t="s">
        <v>650</v>
      </c>
      <c r="F30" s="808">
        <f>'数据-取费表'!B41</f>
        <v>6.2719999999999998E-2</v>
      </c>
      <c r="G30" s="1592"/>
      <c r="H30" s="789"/>
      <c r="I30" s="790"/>
      <c r="J30" s="791"/>
      <c r="K30" s="815"/>
      <c r="L30" s="783" t="s">
        <v>711</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1885</v>
      </c>
      <c r="B31" s="2563" t="s">
        <v>2828</v>
      </c>
      <c r="C31" s="2566">
        <f ca="1">ROUND((C21+C22+C25+C28)/(1-F23-C26-C29-C30),0)</f>
        <v>0</v>
      </c>
      <c r="D31" s="2567"/>
      <c r="E31" s="2568"/>
      <c r="F31" s="2569"/>
      <c r="G31" s="1592"/>
      <c r="H31" s="822" t="s">
        <v>1874</v>
      </c>
      <c r="I31" s="3036" t="s">
        <v>2829</v>
      </c>
      <c r="J31" s="824">
        <f ca="1">ROUND(J28/(1+F45)^F46,0)</f>
        <v>0</v>
      </c>
      <c r="K31" s="825" t="s">
        <v>689</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690</v>
      </c>
      <c r="C32" s="791">
        <f ca="1">ROUND(C33+C38+C39+C40,0)</f>
        <v>0</v>
      </c>
      <c r="D32" s="1820" t="s">
        <v>653</v>
      </c>
      <c r="E32" s="2509"/>
      <c r="F32" s="2513"/>
      <c r="G32" s="2060"/>
      <c r="H32" s="2063"/>
      <c r="I32" s="2064"/>
      <c r="J32" s="2065"/>
      <c r="K32" s="2066"/>
      <c r="L32" s="2067"/>
      <c r="M32" s="2068"/>
    </row>
    <row r="33" spans="1:18" ht="18" customHeight="1">
      <c r="A33" s="802" t="s">
        <v>1878</v>
      </c>
      <c r="B33" s="783" t="s">
        <v>657</v>
      </c>
      <c r="C33" s="53">
        <f ca="1">ROUND(IF(项目基本情况!B11="自然人",C7*F33,C34+C35+C36),1)</f>
        <v>0</v>
      </c>
      <c r="D33" s="1977" t="s">
        <v>658</v>
      </c>
      <c r="E33" s="1975" t="s">
        <v>691</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1877</v>
      </c>
      <c r="B34" s="783" t="s">
        <v>661</v>
      </c>
      <c r="C34" s="53">
        <f ca="1">ROUND(C7*F34/1.05,1)</f>
        <v>0</v>
      </c>
      <c r="D34" s="1975" t="s">
        <v>662</v>
      </c>
      <c r="E34" s="783" t="s">
        <v>650</v>
      </c>
      <c r="F34" s="808">
        <f>'数据-取费表'!B41</f>
        <v>6.2719999999999998E-2</v>
      </c>
      <c r="G34" s="2060"/>
      <c r="H34" s="2069"/>
      <c r="I34" s="2070"/>
      <c r="J34" s="2071"/>
      <c r="K34" s="2072"/>
      <c r="L34" s="2073"/>
      <c r="M34" s="2074"/>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60"/>
      <c r="H35" s="2075"/>
      <c r="I35" s="2075"/>
      <c r="J35" s="2075"/>
      <c r="K35" s="2076"/>
      <c r="L35" s="2075"/>
      <c r="M35" s="2075"/>
    </row>
    <row r="36" spans="1:18" ht="18" customHeight="1">
      <c r="A36" s="812" t="s">
        <v>1882</v>
      </c>
      <c r="B36" s="340" t="s">
        <v>669</v>
      </c>
      <c r="C36" s="54">
        <f ca="1">ROUND(F36*F37/10000,1)</f>
        <v>0</v>
      </c>
      <c r="D36" s="813" t="s">
        <v>670</v>
      </c>
      <c r="E36" s="783" t="s">
        <v>671</v>
      </c>
      <c r="F36" s="639">
        <f>'数据-取费表'!B52</f>
        <v>10</v>
      </c>
      <c r="G36" s="2060"/>
      <c r="H36" s="2063"/>
      <c r="I36" s="3480"/>
      <c r="J36" s="2077"/>
      <c r="K36" s="2078"/>
      <c r="L36" s="2077"/>
      <c r="M36" s="2077"/>
    </row>
    <row r="37" spans="1:18" ht="18" customHeight="1">
      <c r="A37" s="814"/>
      <c r="B37" s="792"/>
      <c r="C37" s="69"/>
      <c r="D37" s="815"/>
      <c r="E37" s="783" t="s">
        <v>675</v>
      </c>
      <c r="F37" s="784">
        <f ca="1">INDIRECT("'数据-取费表'!r"&amp;$G$1)</f>
        <v>0</v>
      </c>
      <c r="G37" s="2060"/>
      <c r="H37" s="2063"/>
      <c r="I37" s="3480"/>
      <c r="J37" s="2075"/>
      <c r="K37" s="2076"/>
      <c r="L37" s="2075"/>
      <c r="M37" s="2075"/>
    </row>
    <row r="38" spans="1:18" ht="18" customHeight="1">
      <c r="A38" s="802" t="s">
        <v>1879</v>
      </c>
      <c r="B38" s="783" t="s">
        <v>677</v>
      </c>
      <c r="C38" s="53">
        <f ca="1">ROUND(C31*F38,1)</f>
        <v>0</v>
      </c>
      <c r="D38" s="1975" t="s">
        <v>692</v>
      </c>
      <c r="E38" s="783" t="s">
        <v>650</v>
      </c>
      <c r="F38" s="816">
        <f ca="1">INDIRECT("'数据-取费表'!Ak"&amp;$G$1)</f>
        <v>0</v>
      </c>
      <c r="G38" s="2060"/>
      <c r="H38" s="2075"/>
      <c r="I38" s="2079"/>
      <c r="J38" s="1986"/>
      <c r="K38" s="2080"/>
      <c r="L38" s="2075"/>
      <c r="M38" s="2075"/>
    </row>
    <row r="39" spans="1:18" ht="18" customHeight="1">
      <c r="A39" s="802" t="s">
        <v>1880</v>
      </c>
      <c r="B39" s="783" t="s">
        <v>680</v>
      </c>
      <c r="C39" s="53">
        <f ca="1">ROUND(C15*F39,1)</f>
        <v>0</v>
      </c>
      <c r="D39" s="1975" t="s">
        <v>681</v>
      </c>
      <c r="E39" s="783" t="s">
        <v>650</v>
      </c>
      <c r="F39" s="817">
        <f ca="1">INDIRECT("'数据-取费表'!Al"&amp;$G$1)</f>
        <v>0</v>
      </c>
      <c r="G39" s="2060"/>
      <c r="H39" s="2075"/>
      <c r="I39" s="2079"/>
      <c r="J39" s="1986"/>
      <c r="K39" s="2080"/>
      <c r="L39" s="2075"/>
      <c r="M39" s="2075"/>
    </row>
    <row r="40" spans="1:18" ht="18" customHeight="1" thickBot="1">
      <c r="A40" s="2582" t="s">
        <v>1881</v>
      </c>
      <c r="B40" s="2568" t="s">
        <v>667</v>
      </c>
      <c r="C40" s="2566">
        <f ca="1">ROUND(C7*F40,1)</f>
        <v>0</v>
      </c>
      <c r="D40" s="2567" t="s">
        <v>684</v>
      </c>
      <c r="E40" s="2568" t="s">
        <v>650</v>
      </c>
      <c r="F40" s="2564">
        <f ca="1">INDIRECT("'数据-取费表'!Am"&amp;$G$1)</f>
        <v>0</v>
      </c>
      <c r="G40" s="2060"/>
      <c r="H40" s="2075"/>
      <c r="I40" s="2079"/>
      <c r="J40" s="1986"/>
      <c r="K40" s="2081"/>
      <c r="L40" s="2075"/>
      <c r="M40" s="2075"/>
    </row>
    <row r="41" spans="1:18" ht="18" customHeight="1" thickTop="1">
      <c r="A41" s="1828">
        <v>4</v>
      </c>
      <c r="B41" s="1826" t="s">
        <v>693</v>
      </c>
      <c r="C41" s="1352"/>
      <c r="D41" s="1353"/>
      <c r="E41" s="1353"/>
      <c r="F41" s="1354"/>
      <c r="G41" s="2060"/>
      <c r="H41" s="2060"/>
      <c r="I41" s="2060"/>
      <c r="J41" s="2060"/>
      <c r="K41" s="2081"/>
      <c r="L41" s="2060"/>
      <c r="M41" s="2060"/>
    </row>
    <row r="42" spans="1:18" ht="18" customHeight="1">
      <c r="A42" s="802" t="s">
        <v>1878</v>
      </c>
      <c r="B42" s="834" t="s">
        <v>694</v>
      </c>
      <c r="C42" s="828">
        <f ca="1">C7-C32</f>
        <v>0</v>
      </c>
      <c r="D42" s="1977" t="s">
        <v>695</v>
      </c>
      <c r="E42" s="1979"/>
      <c r="F42" s="819"/>
      <c r="G42" s="2060"/>
      <c r="H42" s="2060"/>
      <c r="I42" s="2060"/>
      <c r="J42" s="2060"/>
      <c r="K42" s="2081"/>
      <c r="L42" s="2060"/>
      <c r="M42" s="2060"/>
    </row>
    <row r="43" spans="1:18" ht="18" customHeight="1">
      <c r="A43" s="802" t="s">
        <v>1879</v>
      </c>
      <c r="B43" s="834" t="s">
        <v>712</v>
      </c>
      <c r="C43" s="835">
        <f ca="1">ROUND(C15*F43,0)</f>
        <v>0</v>
      </c>
      <c r="D43" s="1355" t="s">
        <v>713</v>
      </c>
      <c r="E43" s="3153" t="s">
        <v>2968</v>
      </c>
      <c r="F43" s="3154">
        <f ca="1">INDIRECT("'数据-取费表'!j"&amp;$G$1)</f>
        <v>0</v>
      </c>
      <c r="G43" s="2060"/>
      <c r="H43" s="2060"/>
      <c r="I43" s="2060"/>
      <c r="J43" s="2060"/>
      <c r="K43" s="2081"/>
      <c r="L43" s="2060"/>
      <c r="M43" s="2060"/>
    </row>
    <row r="44" spans="1:18" ht="18" customHeight="1">
      <c r="A44" s="802" t="s">
        <v>1880</v>
      </c>
      <c r="B44" s="834" t="s">
        <v>714</v>
      </c>
      <c r="C44" s="1356">
        <f ca="1">C42-C43</f>
        <v>0</v>
      </c>
      <c r="D44" s="462" t="s">
        <v>715</v>
      </c>
      <c r="E44" s="463"/>
      <c r="F44" s="464"/>
      <c r="G44" s="2060"/>
      <c r="H44" s="2060"/>
      <c r="I44" s="2060"/>
      <c r="J44" s="2060"/>
      <c r="K44" s="2081"/>
      <c r="L44" s="2060"/>
      <c r="M44" s="2060"/>
    </row>
    <row r="45" spans="1:18" ht="18" customHeight="1">
      <c r="A45" s="802" t="s">
        <v>1881</v>
      </c>
      <c r="B45" s="1355" t="s">
        <v>716</v>
      </c>
      <c r="C45" s="3062">
        <f ca="1">ROUND(-PV(F45,F46,C44,0),0)</f>
        <v>0</v>
      </c>
      <c r="D45" s="1357" t="s">
        <v>717</v>
      </c>
      <c r="E45" s="805" t="s">
        <v>718</v>
      </c>
      <c r="F45" s="829">
        <f ca="1">INDIRECT("'数据-取费表'!h"&amp;$G$1)</f>
        <v>0</v>
      </c>
      <c r="G45" s="2060"/>
      <c r="H45" s="2060"/>
      <c r="I45" s="2060"/>
      <c r="J45" s="2060"/>
      <c r="K45" s="2081"/>
      <c r="L45" s="2060"/>
      <c r="M45" s="2060"/>
    </row>
    <row r="46" spans="1:18" ht="18" customHeight="1" thickBot="1">
      <c r="A46" s="830"/>
      <c r="B46" s="1358"/>
      <c r="C46" s="1359"/>
      <c r="D46" s="1360"/>
      <c r="E46" s="3155" t="s">
        <v>2971</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2343</v>
      </c>
      <c r="J47" s="2377"/>
      <c r="K47" s="2378"/>
      <c r="L47" s="2379" t="str">
        <f ca="1">IF(M48="住宅",0,IF(L49&gt;J52,L61,J61))</f>
        <v>0</v>
      </c>
      <c r="O47" s="2416" t="s">
        <v>2411</v>
      </c>
      <c r="P47" s="1591"/>
      <c r="Q47" s="1603"/>
      <c r="R47" s="1591"/>
    </row>
    <row r="48" spans="1:18" s="2057" customFormat="1" ht="18" customHeight="1" thickBot="1">
      <c r="A48" s="2082"/>
      <c r="C48" s="2085"/>
      <c r="D48" s="2086"/>
      <c r="E48" s="2086"/>
      <c r="F48" s="2087"/>
      <c r="G48" s="2088"/>
      <c r="I48" s="2380" t="s">
        <v>2344</v>
      </c>
      <c r="J48" s="2385"/>
      <c r="K48" s="2386" t="s">
        <v>2350</v>
      </c>
      <c r="L48" s="2387">
        <f ca="1">INDIRECT("'数据-取费表'!d"&amp;$G$1)</f>
        <v>0</v>
      </c>
      <c r="M48" s="3150" t="str">
        <f>IF(ISNUMBER(FIND("住宅",C1)),"住宅","非住宅")</f>
        <v>非住宅</v>
      </c>
      <c r="O48" s="2417" t="s">
        <v>2376</v>
      </c>
      <c r="P48" s="2418" t="s">
        <v>2377</v>
      </c>
      <c r="Q48" s="2419" t="s">
        <v>2378</v>
      </c>
      <c r="R48" s="2418" t="s">
        <v>2379</v>
      </c>
    </row>
    <row r="49" spans="1:18" s="2057" customFormat="1" ht="18" customHeight="1" thickBot="1">
      <c r="A49" s="2082"/>
      <c r="D49" s="2089"/>
      <c r="E49" s="2090"/>
      <c r="F49" s="2087"/>
      <c r="G49" s="2088"/>
      <c r="H49" s="2091"/>
      <c r="I49" s="2381" t="s">
        <v>2345</v>
      </c>
      <c r="J49" s="2388"/>
      <c r="K49" s="2389" t="s">
        <v>2352</v>
      </c>
      <c r="L49" s="2390">
        <f ca="1">INDIRECT("'数据-取费表'!f"&amp;$G$1)</f>
        <v>0</v>
      </c>
      <c r="O49" s="2420" t="s">
        <v>2380</v>
      </c>
      <c r="P49" s="2421" t="s">
        <v>2406</v>
      </c>
      <c r="Q49" s="2422">
        <f ca="1">C41+J31</f>
        <v>0</v>
      </c>
      <c r="R49" s="2421" t="s">
        <v>2381</v>
      </c>
    </row>
    <row r="50" spans="1:18" s="2057" customFormat="1" ht="18" customHeight="1" thickBot="1">
      <c r="A50" s="2082"/>
      <c r="D50" s="2092"/>
      <c r="E50" s="2092"/>
      <c r="F50" s="2086"/>
      <c r="G50" s="2093"/>
      <c r="H50" s="2091"/>
      <c r="I50" s="2381" t="s">
        <v>2346</v>
      </c>
      <c r="J50" s="2391"/>
      <c r="K50" s="2392" t="s">
        <v>2353</v>
      </c>
      <c r="L50" s="2393"/>
      <c r="O50" s="2420" t="s">
        <v>2382</v>
      </c>
      <c r="P50" s="2421" t="s">
        <v>2407</v>
      </c>
      <c r="Q50" s="2422" t="str">
        <f ca="1">J61</f>
        <v>0</v>
      </c>
      <c r="R50" s="2421" t="s">
        <v>2383</v>
      </c>
    </row>
    <row r="51" spans="1:18" s="2057" customFormat="1" ht="18" customHeight="1" thickBot="1">
      <c r="A51" s="2094"/>
      <c r="D51" s="2092"/>
      <c r="E51" s="2092"/>
      <c r="F51" s="2083"/>
      <c r="H51" s="2091"/>
      <c r="I51" s="2381" t="s">
        <v>2347</v>
      </c>
      <c r="J51" s="2394">
        <f>SUMPRODUCT((I64:I66=J48)*(J63:L63=J49)*(J64:L66))</f>
        <v>0</v>
      </c>
      <c r="K51" s="2392" t="s">
        <v>2354</v>
      </c>
      <c r="L51" s="2393"/>
      <c r="O51" s="2423" t="s">
        <v>2384</v>
      </c>
      <c r="P51" s="2421" t="s">
        <v>2408</v>
      </c>
      <c r="Q51" s="2422">
        <f ca="1">C31</f>
        <v>0</v>
      </c>
      <c r="R51" s="2421" t="s">
        <v>2381</v>
      </c>
    </row>
    <row r="52" spans="1:18" s="2057" customFormat="1" ht="18" customHeight="1" thickBot="1">
      <c r="A52" s="2094"/>
      <c r="F52" s="2083"/>
      <c r="I52" s="2382" t="s">
        <v>2348</v>
      </c>
      <c r="J52" s="2395">
        <f>IF(J50="",J51,J50+J51-YEAR('数据-取费表'!B3))</f>
        <v>0</v>
      </c>
      <c r="K52" s="2381" t="s">
        <v>2355</v>
      </c>
      <c r="L52" s="2396">
        <f ca="1">ROUND(-PV(INDIRECT("'数据-取费表'!h"&amp;$G$1),L49,(C40-C14*J36),0),0)</f>
        <v>0</v>
      </c>
      <c r="O52" s="2423" t="s">
        <v>2385</v>
      </c>
      <c r="P52" s="2421" t="s">
        <v>2386</v>
      </c>
      <c r="Q52" s="2424" t="e">
        <f ca="1">J59</f>
        <v>#VALUE!</v>
      </c>
      <c r="R52" s="2425"/>
    </row>
    <row r="53" spans="1:18" s="2057" customFormat="1" ht="18" customHeight="1" thickBot="1">
      <c r="A53" s="2094"/>
      <c r="F53" s="2083"/>
      <c r="I53" s="2383" t="s">
        <v>2422</v>
      </c>
      <c r="J53" s="2397"/>
      <c r="K53" s="2383" t="s">
        <v>2421</v>
      </c>
      <c r="L53" s="2397"/>
      <c r="O53" s="2423" t="s">
        <v>2387</v>
      </c>
      <c r="P53" s="2421" t="s">
        <v>2388</v>
      </c>
      <c r="Q53" s="2424">
        <f>J53</f>
        <v>0</v>
      </c>
      <c r="R53" s="2425"/>
    </row>
    <row r="54" spans="1:18" s="2057" customFormat="1" ht="43.5" thickBot="1">
      <c r="A54" s="2094"/>
      <c r="I54" s="2384" t="s">
        <v>2349</v>
      </c>
      <c r="J54" s="2398">
        <f ca="1">IF(M48="住宅",J52,IF(J52&gt;L49,L49-'数据-取费表'!B25,J52))</f>
        <v>0</v>
      </c>
      <c r="K54" s="3485"/>
      <c r="L54" s="3486"/>
      <c r="O54" s="2423" t="s">
        <v>2389</v>
      </c>
      <c r="P54" s="2421" t="s">
        <v>2390</v>
      </c>
      <c r="Q54" s="2422">
        <f ca="1">J54</f>
        <v>0</v>
      </c>
      <c r="R54" s="2421" t="s">
        <v>2391</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2392</v>
      </c>
      <c r="P55" s="2421" t="s">
        <v>2409</v>
      </c>
      <c r="Q55" s="2422">
        <f ca="1">Q49+Q50</f>
        <v>0</v>
      </c>
      <c r="R55" s="2425" t="s">
        <v>2393</v>
      </c>
    </row>
    <row r="56" spans="1:18" s="2057" customFormat="1" ht="16.5" thickBot="1">
      <c r="A56" s="2094"/>
      <c r="B56" s="2095"/>
      <c r="C56" s="2095"/>
      <c r="I56" s="3127" t="s">
        <v>2356</v>
      </c>
      <c r="J56" s="3151" t="e">
        <f ca="1">ROUND(IF(J48="钢混",J58/J51,1-(1-2%)*(J51-J58)/J51),3)</f>
        <v>#VALUE!</v>
      </c>
      <c r="K56" s="2399" t="s">
        <v>2357</v>
      </c>
      <c r="L56" s="2400"/>
      <c r="O56" s="2426" t="s">
        <v>2412</v>
      </c>
      <c r="P56" s="1591"/>
      <c r="Q56" s="1603"/>
      <c r="R56" s="1591"/>
    </row>
    <row r="57" spans="1:18" s="2057" customFormat="1" ht="43.5" thickBot="1">
      <c r="A57" s="2094"/>
      <c r="B57" s="2095"/>
      <c r="C57" s="2095"/>
      <c r="I57" s="2401" t="s">
        <v>2358</v>
      </c>
      <c r="J57" s="3150" t="s">
        <v>1680</v>
      </c>
      <c r="K57" s="2381" t="s">
        <v>2363</v>
      </c>
      <c r="L57" s="2390">
        <f ca="1">IF(L49&lt;J52,"——",L49-J52)</f>
        <v>0</v>
      </c>
      <c r="O57" s="2417" t="s">
        <v>2376</v>
      </c>
      <c r="P57" s="2418" t="s">
        <v>2377</v>
      </c>
      <c r="Q57" s="2419" t="s">
        <v>2378</v>
      </c>
      <c r="R57" s="2418" t="s">
        <v>2379</v>
      </c>
    </row>
    <row r="58" spans="1:18" s="2057" customFormat="1" ht="29.25" thickBot="1">
      <c r="A58" s="2094"/>
      <c r="B58" s="2095"/>
      <c r="C58" s="2095"/>
      <c r="I58" s="2402" t="s">
        <v>2359</v>
      </c>
      <c r="J58" s="2404" t="str">
        <f ca="1">IF(OR(M48="住宅",J52&lt;L49,J57="是"),"——",J52-L49)</f>
        <v>——</v>
      </c>
      <c r="K58" s="2381" t="s">
        <v>2364</v>
      </c>
      <c r="L58" s="2390">
        <f ca="1">IF(L49&lt;J52,"——",IF(L56="比较法",L50,IF(L56="基准地价",L51,L52)))</f>
        <v>0</v>
      </c>
      <c r="O58" s="2420" t="s">
        <v>2380</v>
      </c>
      <c r="P58" s="2421" t="s">
        <v>2406</v>
      </c>
      <c r="Q58" s="2422">
        <f ca="1">C41+J31</f>
        <v>0</v>
      </c>
      <c r="R58" s="2421" t="s">
        <v>2381</v>
      </c>
    </row>
    <row r="59" spans="1:18" s="2057" customFormat="1" ht="29.25" thickBot="1">
      <c r="A59" s="2094"/>
      <c r="B59" s="2095"/>
      <c r="C59" s="2095"/>
      <c r="I59" s="2402" t="s">
        <v>2360</v>
      </c>
      <c r="J59" s="3152" t="e">
        <f ca="1">IF(J56&lt;0.4,0.4,J56)</f>
        <v>#VALUE!</v>
      </c>
      <c r="K59" s="2381" t="s">
        <v>2365</v>
      </c>
      <c r="L59" s="2390">
        <f ca="1">IF(ISERROR(POWER(1+L53,L48-L49)*(POWER(1+L53,L49)-1)/(POWER(1+L53,L48)-1)),0,POWER(1+L53,L48-L49)*(POWER(1+L53,L49)-1)/(POWER(1+L53,L48)-1))</f>
        <v>0</v>
      </c>
      <c r="O59" s="2420" t="s">
        <v>2382</v>
      </c>
      <c r="P59" s="2421" t="s">
        <v>2413</v>
      </c>
      <c r="Q59" s="2422" t="e">
        <f ca="1">L61</f>
        <v>#DIV/0!</v>
      </c>
      <c r="R59" s="2425" t="s">
        <v>2415</v>
      </c>
    </row>
    <row r="60" spans="1:18" s="2057" customFormat="1" ht="29.25" thickBot="1">
      <c r="A60" s="2094"/>
      <c r="B60" s="2095"/>
      <c r="C60" s="2095"/>
      <c r="I60" s="2402" t="s">
        <v>2361</v>
      </c>
      <c r="J60" s="2404" t="str">
        <f ca="1">IF(OR(M48="住宅",J52&lt;L49,J57="是"),"——",ROUND(C30*J59,0))</f>
        <v>——</v>
      </c>
      <c r="K60" s="2381" t="s">
        <v>2366</v>
      </c>
      <c r="L60" s="2390">
        <f ca="1">IF(ISERROR(POWER(1+L53,L48-J52)*(POWER(1+L53,J52)-1)/(POWER(1+L53,L48)-1)),0,POWER(1+L53,L48-J52)*(POWER(1+L53,J52)-1)/(POWER(1+L53,L48)-1))</f>
        <v>0</v>
      </c>
      <c r="O60" s="2423" t="s">
        <v>2384</v>
      </c>
      <c r="P60" s="2421" t="s">
        <v>2414</v>
      </c>
      <c r="Q60" s="2422">
        <f>IF(L56="比较法",L50,IF(L56="基准地价",L51,0))</f>
        <v>0</v>
      </c>
      <c r="R60" s="2421" t="s">
        <v>2381</v>
      </c>
    </row>
    <row r="61" spans="1:18" s="2057" customFormat="1" ht="15.75" thickBot="1">
      <c r="A61" s="2094"/>
      <c r="B61" s="2095"/>
      <c r="C61" s="2095"/>
      <c r="I61" s="2403" t="s">
        <v>2362</v>
      </c>
      <c r="J61" s="2405" t="str">
        <f ca="1">IF(OR(M48="住宅",J52&lt;L49,J57="是"),"0",ROUND(J60/(1+J53)^J54,0))</f>
        <v>0</v>
      </c>
      <c r="K61" s="2406" t="s">
        <v>2367</v>
      </c>
      <c r="L61" s="2405" t="e">
        <f ca="1">IF(OR(M48="住宅",L49&lt;J52),0,ROUND(L58*(L59/L60-1),0))</f>
        <v>#DIV/0!</v>
      </c>
      <c r="O61" s="2423" t="s">
        <v>2385</v>
      </c>
      <c r="P61" s="2421" t="s">
        <v>2394</v>
      </c>
      <c r="Q61" s="2424">
        <f>L53</f>
        <v>0</v>
      </c>
      <c r="R61" s="2425"/>
    </row>
    <row r="62" spans="1:18" s="2057" customFormat="1" ht="20.25" thickBot="1">
      <c r="A62" s="2094"/>
      <c r="B62" s="2095"/>
      <c r="C62" s="2095"/>
      <c r="K62" s="2084"/>
      <c r="O62" s="2423" t="s">
        <v>2387</v>
      </c>
      <c r="P62" s="2421" t="s">
        <v>2395</v>
      </c>
      <c r="Q62" s="2422">
        <f ca="1">L59</f>
        <v>0</v>
      </c>
      <c r="R62" s="2425" t="s">
        <v>2396</v>
      </c>
    </row>
    <row r="63" spans="1:18" s="2057" customFormat="1" ht="20.25" thickBot="1">
      <c r="A63" s="2094"/>
      <c r="B63" s="2095"/>
      <c r="C63" s="2095"/>
      <c r="I63" s="2407" t="s">
        <v>2368</v>
      </c>
      <c r="J63" s="2408" t="s">
        <v>2369</v>
      </c>
      <c r="K63" s="2408" t="s">
        <v>2370</v>
      </c>
      <c r="L63" s="2408" t="s">
        <v>2351</v>
      </c>
      <c r="M63" s="3129" t="s">
        <v>2947</v>
      </c>
      <c r="O63" s="2423" t="s">
        <v>2389</v>
      </c>
      <c r="P63" s="2421" t="s">
        <v>2397</v>
      </c>
      <c r="Q63" s="2422">
        <f ca="1">L60</f>
        <v>0</v>
      </c>
      <c r="R63" s="2425" t="s">
        <v>2398</v>
      </c>
    </row>
    <row r="64" spans="1:18" s="2057" customFormat="1" ht="15.75" thickBot="1">
      <c r="A64" s="2094"/>
      <c r="B64" s="2095"/>
      <c r="C64" s="2095"/>
      <c r="I64" s="2407" t="s">
        <v>2371</v>
      </c>
      <c r="J64" s="2408">
        <v>70</v>
      </c>
      <c r="K64" s="2408">
        <v>50</v>
      </c>
      <c r="L64" s="2408">
        <v>80</v>
      </c>
      <c r="M64" s="3130">
        <v>0.02</v>
      </c>
      <c r="O64" s="2420" t="s">
        <v>2392</v>
      </c>
      <c r="P64" s="2421" t="s">
        <v>2409</v>
      </c>
      <c r="Q64" s="2422" t="e">
        <f ca="1">Q58+Q59</f>
        <v>#DIV/0!</v>
      </c>
      <c r="R64" s="2425" t="s">
        <v>2393</v>
      </c>
    </row>
    <row r="65" spans="1:18" s="2057" customFormat="1" ht="16.5" thickBot="1">
      <c r="A65" s="2094"/>
      <c r="B65" s="2095"/>
      <c r="C65" s="2095"/>
      <c r="I65" s="2407" t="s">
        <v>2372</v>
      </c>
      <c r="J65" s="2408">
        <v>50</v>
      </c>
      <c r="K65" s="2408">
        <v>35</v>
      </c>
      <c r="L65" s="2408">
        <v>60</v>
      </c>
      <c r="M65" s="3131">
        <v>0</v>
      </c>
      <c r="O65" s="2426" t="s">
        <v>2416</v>
      </c>
      <c r="P65" s="1591"/>
      <c r="Q65" s="1603"/>
      <c r="R65" s="1591"/>
    </row>
    <row r="66" spans="1:18" s="2057" customFormat="1" ht="15.75" thickBot="1">
      <c r="A66" s="2094"/>
      <c r="B66" s="2095"/>
      <c r="C66" s="2095"/>
      <c r="I66" s="2407" t="s">
        <v>2373</v>
      </c>
      <c r="J66" s="2408">
        <v>40</v>
      </c>
      <c r="K66" s="2408">
        <v>30</v>
      </c>
      <c r="L66" s="2408">
        <v>50</v>
      </c>
      <c r="M66" s="3130">
        <v>0.02</v>
      </c>
      <c r="O66" s="2417" t="s">
        <v>2376</v>
      </c>
      <c r="P66" s="2418" t="s">
        <v>2377</v>
      </c>
      <c r="Q66" s="2419" t="s">
        <v>2378</v>
      </c>
      <c r="R66" s="2418" t="s">
        <v>2379</v>
      </c>
    </row>
    <row r="67" spans="1:18" s="2057" customFormat="1" ht="15.75" thickBot="1">
      <c r="A67" s="2094"/>
      <c r="B67" s="2095"/>
      <c r="C67" s="2095"/>
      <c r="K67" s="2084"/>
      <c r="O67" s="2420" t="s">
        <v>2380</v>
      </c>
      <c r="P67" s="2421" t="s">
        <v>2406</v>
      </c>
      <c r="Q67" s="2422">
        <f ca="1">C41+J31</f>
        <v>0</v>
      </c>
      <c r="R67" s="2421" t="s">
        <v>2381</v>
      </c>
    </row>
    <row r="68" spans="1:18" s="2057" customFormat="1" ht="20.25" thickBot="1">
      <c r="A68" s="2094"/>
      <c r="B68" s="2095"/>
      <c r="C68" s="2095"/>
      <c r="K68" s="2084"/>
      <c r="O68" s="2420" t="s">
        <v>2382</v>
      </c>
      <c r="P68" s="2421" t="s">
        <v>2413</v>
      </c>
      <c r="Q68" s="2422" t="e">
        <f ca="1">L61</f>
        <v>#DIV/0!</v>
      </c>
      <c r="R68" s="2425" t="s">
        <v>2415</v>
      </c>
    </row>
    <row r="69" spans="1:18" s="2057" customFormat="1" ht="21.75" thickBot="1">
      <c r="A69" s="2094"/>
      <c r="B69" s="2095"/>
      <c r="C69" s="2095"/>
      <c r="K69" s="2084"/>
      <c r="O69" s="2423" t="s">
        <v>2384</v>
      </c>
      <c r="P69" s="2421" t="s">
        <v>2414</v>
      </c>
      <c r="Q69" s="2427">
        <f ca="1">L52</f>
        <v>0</v>
      </c>
      <c r="R69" s="2428" t="s">
        <v>2417</v>
      </c>
    </row>
    <row r="70" spans="1:18" s="2057" customFormat="1" ht="20.25" thickBot="1">
      <c r="A70" s="2094"/>
      <c r="B70" s="2095"/>
      <c r="C70" s="2095"/>
      <c r="K70" s="2084"/>
      <c r="O70" s="2423" t="s">
        <v>2385</v>
      </c>
      <c r="P70" s="2429" t="s">
        <v>2399</v>
      </c>
      <c r="Q70" s="2422">
        <f ca="1">ROUND(Q71-Q72*Q73,0)</f>
        <v>0</v>
      </c>
      <c r="R70" s="2425"/>
    </row>
    <row r="71" spans="1:18" s="2057" customFormat="1" ht="15.75" thickBot="1">
      <c r="A71" s="2094"/>
      <c r="B71" s="2095"/>
      <c r="C71" s="2095"/>
      <c r="K71" s="2084"/>
      <c r="O71" s="2423" t="s">
        <v>2400</v>
      </c>
      <c r="P71" s="2429" t="s">
        <v>2401</v>
      </c>
      <c r="Q71" s="2422">
        <f ca="1">C42</f>
        <v>0</v>
      </c>
      <c r="R71" s="2421" t="s">
        <v>2381</v>
      </c>
    </row>
    <row r="72" spans="1:18" s="2057" customFormat="1" ht="15.75" thickBot="1">
      <c r="A72" s="2094"/>
      <c r="B72" s="2095"/>
      <c r="C72" s="2095"/>
      <c r="K72" s="2084"/>
      <c r="O72" s="2423" t="s">
        <v>2402</v>
      </c>
      <c r="P72" s="2429" t="s">
        <v>2403</v>
      </c>
      <c r="Q72" s="2422">
        <f ca="1">C15</f>
        <v>0</v>
      </c>
      <c r="R72" s="2421" t="s">
        <v>2381</v>
      </c>
    </row>
    <row r="73" spans="1:18" s="2057" customFormat="1" ht="15.75" thickBot="1">
      <c r="A73" s="2094"/>
      <c r="B73" s="2095"/>
      <c r="C73" s="2095"/>
      <c r="K73" s="2084"/>
      <c r="O73" s="2423" t="s">
        <v>2404</v>
      </c>
      <c r="P73" s="2429" t="s">
        <v>2405</v>
      </c>
      <c r="Q73" s="2424">
        <f ca="1">F43</f>
        <v>0</v>
      </c>
      <c r="R73" s="2425"/>
    </row>
    <row r="74" spans="1:18" s="2057" customFormat="1" ht="15.75" thickBot="1">
      <c r="A74" s="2094"/>
      <c r="B74" s="2095"/>
      <c r="C74" s="2095"/>
      <c r="K74" s="2084"/>
      <c r="O74" s="2423" t="s">
        <v>2387</v>
      </c>
      <c r="P74" s="2421" t="s">
        <v>2394</v>
      </c>
      <c r="Q74" s="2424">
        <f>L53</f>
        <v>0</v>
      </c>
      <c r="R74" s="2425"/>
    </row>
    <row r="75" spans="1:18" s="2057" customFormat="1" ht="20.25" thickBot="1">
      <c r="A75" s="2094"/>
      <c r="B75" s="2095"/>
      <c r="C75" s="2095"/>
      <c r="K75" s="2084"/>
      <c r="O75" s="2423" t="s">
        <v>2389</v>
      </c>
      <c r="P75" s="2421" t="s">
        <v>2395</v>
      </c>
      <c r="Q75" s="2422">
        <f ca="1">L59</f>
        <v>0</v>
      </c>
      <c r="R75" s="2425" t="s">
        <v>2396</v>
      </c>
    </row>
    <row r="76" spans="1:18" s="2057" customFormat="1" ht="20.25" thickBot="1">
      <c r="A76" s="2094"/>
      <c r="B76" s="2095"/>
      <c r="C76" s="2095"/>
      <c r="K76" s="2084"/>
      <c r="O76" s="2423" t="s">
        <v>2418</v>
      </c>
      <c r="P76" s="2421" t="s">
        <v>2397</v>
      </c>
      <c r="Q76" s="2422">
        <f ca="1">L60</f>
        <v>0</v>
      </c>
      <c r="R76" s="2425" t="s">
        <v>2398</v>
      </c>
    </row>
    <row r="77" spans="1:18" s="2057" customFormat="1" ht="15.75" thickBot="1">
      <c r="A77" s="2094"/>
      <c r="B77" s="2095"/>
      <c r="C77" s="2095"/>
      <c r="K77" s="2084"/>
      <c r="O77" s="2420" t="s">
        <v>2392</v>
      </c>
      <c r="P77" s="2421" t="s">
        <v>2409</v>
      </c>
      <c r="Q77" s="2422" t="e">
        <f ca="1">Q67+Q68</f>
        <v>#DIV/0!</v>
      </c>
      <c r="R77" s="2425" t="s">
        <v>2393</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89" t="s">
        <v>2579</v>
      </c>
      <c r="C1" s="3489"/>
      <c r="D1" s="3489"/>
      <c r="E1" s="3489"/>
      <c r="F1" s="3489"/>
      <c r="G1" s="3488" t="s">
        <v>2580</v>
      </c>
      <c r="H1" s="3488"/>
      <c r="I1" s="3488"/>
      <c r="J1" s="3488"/>
      <c r="K1" s="3488"/>
      <c r="L1" s="3488"/>
      <c r="N1" s="3488" t="s">
        <v>2581</v>
      </c>
      <c r="O1" s="3488"/>
      <c r="P1" s="3488"/>
      <c r="Q1" s="3488"/>
      <c r="R1" s="2677"/>
      <c r="S1" s="3488" t="s">
        <v>2582</v>
      </c>
      <c r="T1" s="3488"/>
      <c r="U1" s="3488"/>
      <c r="V1" s="3488"/>
      <c r="X1" s="3487" t="s">
        <v>2643</v>
      </c>
      <c r="Y1" s="3488"/>
      <c r="Z1" s="3488"/>
      <c r="AA1" s="3488"/>
      <c r="AB1" s="3488"/>
      <c r="AD1" s="3487" t="s">
        <v>2648</v>
      </c>
      <c r="AE1" s="3488"/>
      <c r="AF1" s="3488"/>
      <c r="AG1" s="3488"/>
      <c r="AH1" s="3488"/>
    </row>
    <row r="2" spans="1:34" s="2779" customFormat="1" ht="14.25" thickBot="1">
      <c r="B2" s="2788" t="s">
        <v>2583</v>
      </c>
      <c r="C2" s="2788" t="s">
        <v>2646</v>
      </c>
      <c r="D2" s="2780" t="s">
        <v>1646</v>
      </c>
      <c r="E2" s="2780" t="s">
        <v>1953</v>
      </c>
      <c r="F2" s="2788" t="s">
        <v>2647</v>
      </c>
      <c r="G2" s="2783"/>
      <c r="H2" s="2782"/>
      <c r="I2" s="2788" t="s">
        <v>2962</v>
      </c>
      <c r="J2" s="2780" t="s">
        <v>2964</v>
      </c>
      <c r="K2" s="2780" t="s">
        <v>2965</v>
      </c>
      <c r="L2" s="2788" t="s">
        <v>2966</v>
      </c>
      <c r="N2" s="2788" t="s">
        <v>2583</v>
      </c>
      <c r="O2" s="2780" t="s">
        <v>2963</v>
      </c>
      <c r="P2" s="2780" t="s">
        <v>1953</v>
      </c>
      <c r="Q2" s="2788" t="s">
        <v>2647</v>
      </c>
      <c r="R2" s="2781"/>
      <c r="S2" s="2788" t="s">
        <v>2583</v>
      </c>
      <c r="T2" s="2780" t="s">
        <v>2963</v>
      </c>
      <c r="U2" s="2780" t="s">
        <v>1953</v>
      </c>
      <c r="V2" s="2788" t="s">
        <v>2647</v>
      </c>
      <c r="X2" s="2788" t="s">
        <v>2583</v>
      </c>
      <c r="Y2" s="2788" t="s">
        <v>2646</v>
      </c>
      <c r="Z2" s="2780" t="s">
        <v>1646</v>
      </c>
      <c r="AA2" s="2780" t="s">
        <v>1953</v>
      </c>
      <c r="AB2" s="2788" t="s">
        <v>2647</v>
      </c>
      <c r="AD2" s="2788" t="s">
        <v>2583</v>
      </c>
      <c r="AE2" s="2788" t="s">
        <v>2646</v>
      </c>
      <c r="AF2" s="2780" t="s">
        <v>1646</v>
      </c>
      <c r="AG2" s="2780" t="s">
        <v>1953</v>
      </c>
      <c r="AH2" s="2788" t="s">
        <v>2647</v>
      </c>
    </row>
    <row r="3" spans="1:34" s="2772" customFormat="1" ht="14.25">
      <c r="B3" s="2773"/>
      <c r="C3" s="2773"/>
      <c r="D3" s="2774"/>
      <c r="E3" s="2774"/>
      <c r="F3" s="2773"/>
      <c r="G3" s="2778"/>
      <c r="H3" s="2775"/>
      <c r="I3" s="3161"/>
      <c r="J3" s="3161"/>
      <c r="K3" s="3161"/>
      <c r="L3" s="3161"/>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2974</v>
      </c>
      <c r="B4" s="2692">
        <f>B5*(1+N4)</f>
        <v>453.57903691012211</v>
      </c>
      <c r="C4" s="2692">
        <f t="shared" ref="C4" si="2">C5*(1+O4)</f>
        <v>331.18001284964259</v>
      </c>
      <c r="D4" s="2692">
        <f t="shared" ref="D4:D9" si="3">C4</f>
        <v>331.18001284964259</v>
      </c>
      <c r="E4" s="2692">
        <f t="shared" ref="E4" si="4">E5*(1+P4)</f>
        <v>650.68458238034486</v>
      </c>
      <c r="F4" s="2692">
        <f t="shared" ref="F4" si="5">F5*(1+Q4)</f>
        <v>287.29097305893981</v>
      </c>
      <c r="G4" s="2778">
        <v>2018</v>
      </c>
      <c r="H4" s="2775">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6"/>
      <c r="S4" s="2778"/>
      <c r="T4" s="2776"/>
      <c r="U4" s="2776"/>
      <c r="V4" s="2776"/>
      <c r="X4" s="2777"/>
      <c r="Y4" s="2777"/>
      <c r="Z4" s="2777"/>
      <c r="AA4" s="2777"/>
      <c r="AB4" s="2777"/>
      <c r="AD4" s="2697"/>
      <c r="AE4" s="2697"/>
      <c r="AF4" s="2697"/>
      <c r="AG4" s="2697"/>
      <c r="AH4" s="2697"/>
    </row>
    <row r="5" spans="1:34" s="3144" customFormat="1">
      <c r="A5" s="3142" t="s">
        <v>2973</v>
      </c>
      <c r="B5" s="2819">
        <f t="shared" ref="B5" si="11">B6*(1+N5)</f>
        <v>442.55931008890832</v>
      </c>
      <c r="C5" s="2819">
        <f t="shared" ref="C5" si="12">C6*(1+O5)</f>
        <v>325.83629756950273</v>
      </c>
      <c r="D5" s="2819">
        <f t="shared" si="3"/>
        <v>325.83629756950273</v>
      </c>
      <c r="E5" s="2819">
        <f t="shared" ref="E5" si="13">E6*(1+P5)</f>
        <v>633.08482426575677</v>
      </c>
      <c r="F5" s="2819">
        <f t="shared" ref="F5" si="14">F6*(1+Q5)</f>
        <v>283.35237504580311</v>
      </c>
      <c r="G5" s="3496">
        <v>2017</v>
      </c>
      <c r="H5" s="3143">
        <v>4</v>
      </c>
      <c r="I5" s="3162">
        <f>ROUND(AVERAGE(I6:I20),2)</f>
        <v>2.4900000000000002</v>
      </c>
      <c r="J5" s="3162">
        <f>ROUND(AVERAGE(J6:J20),2)</f>
        <v>1.64</v>
      </c>
      <c r="K5" s="3162">
        <f>ROUND(AVERAGE(K6:K20),2)</f>
        <v>2.78</v>
      </c>
      <c r="L5" s="3162">
        <f>ROUND(AVERAGE(L6:L20),2)</f>
        <v>1.39</v>
      </c>
      <c r="N5" s="2785">
        <f t="shared" si="7"/>
        <v>2.4900000000000002E-2</v>
      </c>
      <c r="O5" s="2785">
        <f t="shared" ref="O5" si="15">J5/100</f>
        <v>1.6399999999999998E-2</v>
      </c>
      <c r="P5" s="2785">
        <f t="shared" ref="P5" si="16">K5/100</f>
        <v>2.7799999999999998E-2</v>
      </c>
      <c r="Q5" s="2785">
        <f t="shared" ref="Q5" si="17">L5/100</f>
        <v>1.3899999999999999E-2</v>
      </c>
      <c r="R5" s="3145"/>
      <c r="S5" s="3146"/>
      <c r="T5" s="3145"/>
      <c r="U5" s="3145"/>
      <c r="V5" s="3145"/>
      <c r="W5" s="2786" t="s">
        <v>2644</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78" t="s">
        <v>2584</v>
      </c>
      <c r="B6" s="2692">
        <f t="shared" ref="B6:C8" si="18">B7*(1+N6)</f>
        <v>431.80730811680002</v>
      </c>
      <c r="C6" s="2692">
        <f t="shared" si="18"/>
        <v>320.57880516480003</v>
      </c>
      <c r="D6" s="2692">
        <f t="shared" si="3"/>
        <v>320.57880516480003</v>
      </c>
      <c r="E6" s="2692">
        <f t="shared" ref="E6:F8" si="19">E7*(1+P6)</f>
        <v>615.96110553196797</v>
      </c>
      <c r="F6" s="2692">
        <f t="shared" si="19"/>
        <v>279.46777300108801</v>
      </c>
      <c r="G6" s="3491"/>
      <c r="H6" s="2682">
        <v>3</v>
      </c>
      <c r="I6" s="2682">
        <v>2.98</v>
      </c>
      <c r="J6" s="2682">
        <v>2.11</v>
      </c>
      <c r="K6" s="2682">
        <v>3.24</v>
      </c>
      <c r="L6" s="2693">
        <v>1.72</v>
      </c>
      <c r="N6" s="2687">
        <f t="shared" si="7"/>
        <v>2.98E-2</v>
      </c>
      <c r="O6" s="2688">
        <f t="shared" ref="O6:O7" si="20">J6/100</f>
        <v>2.1099999999999997E-2</v>
      </c>
      <c r="P6" s="2688">
        <f t="shared" ref="P6:P7" si="21">K6/100</f>
        <v>3.2400000000000005E-2</v>
      </c>
      <c r="Q6" s="2688">
        <f t="shared" ref="Q6:Q7" si="22">L6/100</f>
        <v>1.72E-2</v>
      </c>
      <c r="R6" s="3145"/>
      <c r="S6" s="2681"/>
      <c r="T6" s="3158"/>
      <c r="U6" s="3158"/>
      <c r="V6" s="3158"/>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2585</v>
      </c>
      <c r="B7" s="2692">
        <f t="shared" si="18"/>
        <v>419.31181600000002</v>
      </c>
      <c r="C7" s="2692">
        <f t="shared" si="18"/>
        <v>313.95436800000004</v>
      </c>
      <c r="D7" s="2692">
        <f t="shared" si="3"/>
        <v>313.95436800000004</v>
      </c>
      <c r="E7" s="2692">
        <f t="shared" si="19"/>
        <v>596.63028431999999</v>
      </c>
      <c r="F7" s="2692">
        <f t="shared" si="19"/>
        <v>274.74220703999998</v>
      </c>
      <c r="G7" s="3491"/>
      <c r="H7" s="2683">
        <v>2</v>
      </c>
      <c r="I7" s="2683">
        <v>3.4</v>
      </c>
      <c r="J7" s="2683">
        <v>2</v>
      </c>
      <c r="K7" s="2683">
        <v>3.82</v>
      </c>
      <c r="L7" s="2694">
        <v>1.68</v>
      </c>
      <c r="N7" s="2687">
        <f t="shared" si="7"/>
        <v>3.4000000000000002E-2</v>
      </c>
      <c r="O7" s="2688">
        <f t="shared" si="20"/>
        <v>0.02</v>
      </c>
      <c r="P7" s="2688">
        <f t="shared" si="21"/>
        <v>3.8199999999999998E-2</v>
      </c>
      <c r="Q7" s="2688">
        <f t="shared" si="22"/>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2586</v>
      </c>
      <c r="B8" s="2692">
        <f t="shared" si="18"/>
        <v>405.524</v>
      </c>
      <c r="C8" s="2692">
        <f t="shared" si="18"/>
        <v>307.79840000000002</v>
      </c>
      <c r="D8" s="2692">
        <f t="shared" si="3"/>
        <v>307.79840000000002</v>
      </c>
      <c r="E8" s="2692">
        <f t="shared" si="19"/>
        <v>574.67759999999998</v>
      </c>
      <c r="F8" s="2692">
        <f t="shared" si="19"/>
        <v>270.20280000000002</v>
      </c>
      <c r="G8" s="3492"/>
      <c r="H8" s="2682">
        <v>1</v>
      </c>
      <c r="I8" s="2682">
        <v>3.45</v>
      </c>
      <c r="J8" s="2682">
        <v>1.92</v>
      </c>
      <c r="K8" s="2682">
        <v>3.92</v>
      </c>
      <c r="L8" s="2693">
        <v>1.58</v>
      </c>
      <c r="M8" s="2686"/>
      <c r="N8" s="2687">
        <f t="shared" si="7"/>
        <v>3.4500000000000003E-2</v>
      </c>
      <c r="O8" s="2688">
        <f t="shared" ref="O8" si="23">J8/100</f>
        <v>1.9199999999999998E-2</v>
      </c>
      <c r="P8" s="2688">
        <f t="shared" ref="P8" si="24">K8/100</f>
        <v>3.9199999999999999E-2</v>
      </c>
      <c r="Q8" s="2688">
        <f t="shared" ref="Q8" si="25">L8/100</f>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972</v>
      </c>
      <c r="B9" s="2684">
        <v>392</v>
      </c>
      <c r="C9" s="2684">
        <v>302</v>
      </c>
      <c r="D9" s="2684">
        <f t="shared" si="3"/>
        <v>302</v>
      </c>
      <c r="E9" s="2684">
        <v>553</v>
      </c>
      <c r="F9" s="2685">
        <v>266</v>
      </c>
      <c r="G9" s="3496">
        <v>2016</v>
      </c>
      <c r="H9" s="2679">
        <v>4</v>
      </c>
      <c r="I9" s="2679">
        <v>4.5599999999999996</v>
      </c>
      <c r="J9" s="2679">
        <v>2.15</v>
      </c>
      <c r="K9" s="2679">
        <v>5.32</v>
      </c>
      <c r="L9" s="2680">
        <v>1.57</v>
      </c>
      <c r="N9" s="2687">
        <f t="shared" si="7"/>
        <v>4.5599999999999995E-2</v>
      </c>
      <c r="O9" s="2688">
        <f t="shared" ref="O9:Q24" si="26">J9/100</f>
        <v>2.1499999999999998E-2</v>
      </c>
      <c r="P9" s="2688">
        <f t="shared" si="26"/>
        <v>5.3200000000000004E-2</v>
      </c>
      <c r="Q9" s="2688">
        <f t="shared" si="26"/>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971</v>
      </c>
      <c r="B10" s="2692">
        <f t="shared" ref="B10:C12" si="27">B9/(1+N9)</f>
        <v>374.90436113236416</v>
      </c>
      <c r="C10" s="2692">
        <f t="shared" si="27"/>
        <v>295.64366128242779</v>
      </c>
      <c r="D10" s="2692">
        <f t="shared" ref="D10:D69" si="28">C10</f>
        <v>295.64366128242779</v>
      </c>
      <c r="E10" s="2692">
        <f t="shared" ref="E10:F12" si="29">E9/(1+P9)</f>
        <v>525.06646410938095</v>
      </c>
      <c r="F10" s="2692">
        <f t="shared" si="29"/>
        <v>261.88835286009646</v>
      </c>
      <c r="G10" s="3491"/>
      <c r="H10" s="2682">
        <v>3</v>
      </c>
      <c r="I10" s="2682">
        <v>4.12</v>
      </c>
      <c r="J10" s="2682">
        <v>2</v>
      </c>
      <c r="K10" s="2682">
        <v>4.79</v>
      </c>
      <c r="L10" s="2693">
        <v>1.97</v>
      </c>
      <c r="N10" s="2687">
        <f t="shared" ref="N10:Q44" si="30">I10/100</f>
        <v>4.1200000000000001E-2</v>
      </c>
      <c r="O10" s="2688">
        <f t="shared" si="26"/>
        <v>0.02</v>
      </c>
      <c r="P10" s="2688">
        <f t="shared" si="26"/>
        <v>4.7899999999999998E-2</v>
      </c>
      <c r="Q10" s="2688">
        <f t="shared" si="26"/>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961</v>
      </c>
      <c r="B11" s="2692">
        <f t="shared" si="27"/>
        <v>360.06949782209392</v>
      </c>
      <c r="C11" s="2692">
        <f t="shared" si="27"/>
        <v>289.84672674747821</v>
      </c>
      <c r="D11" s="2692">
        <f t="shared" si="28"/>
        <v>289.84672674747821</v>
      </c>
      <c r="E11" s="2692">
        <f t="shared" si="29"/>
        <v>501.06543001181495</v>
      </c>
      <c r="F11" s="2692">
        <f t="shared" si="29"/>
        <v>256.82882500744967</v>
      </c>
      <c r="G11" s="3491"/>
      <c r="H11" s="2683">
        <v>2</v>
      </c>
      <c r="I11" s="2683">
        <v>3.85</v>
      </c>
      <c r="J11" s="2683">
        <v>1.95</v>
      </c>
      <c r="K11" s="2683">
        <v>4.4800000000000004</v>
      </c>
      <c r="L11" s="2694">
        <v>1.41</v>
      </c>
      <c r="N11" s="2687">
        <f t="shared" si="30"/>
        <v>3.85E-2</v>
      </c>
      <c r="O11" s="2688">
        <f t="shared" si="26"/>
        <v>1.95E-2</v>
      </c>
      <c r="P11" s="2688">
        <f t="shared" si="26"/>
        <v>4.4800000000000006E-2</v>
      </c>
      <c r="Q11" s="2688">
        <f t="shared" si="26"/>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970</v>
      </c>
      <c r="B12" s="2692">
        <f t="shared" si="27"/>
        <v>346.720748986128</v>
      </c>
      <c r="C12" s="2692">
        <f t="shared" si="27"/>
        <v>284.30282172386285</v>
      </c>
      <c r="D12" s="2692">
        <f t="shared" si="28"/>
        <v>284.30282172386285</v>
      </c>
      <c r="E12" s="2692">
        <f t="shared" si="29"/>
        <v>479.58023546306947</v>
      </c>
      <c r="F12" s="2692">
        <f t="shared" si="29"/>
        <v>253.25788877571213</v>
      </c>
      <c r="G12" s="3492"/>
      <c r="H12" s="2682">
        <v>1</v>
      </c>
      <c r="I12" s="2682">
        <v>4.09</v>
      </c>
      <c r="J12" s="2682">
        <v>2.93</v>
      </c>
      <c r="K12" s="2682">
        <v>4.54</v>
      </c>
      <c r="L12" s="2693">
        <v>1.48</v>
      </c>
      <c r="N12" s="2687">
        <f t="shared" si="30"/>
        <v>4.0899999999999999E-2</v>
      </c>
      <c r="O12" s="2688">
        <f t="shared" si="26"/>
        <v>2.9300000000000003E-2</v>
      </c>
      <c r="P12" s="2688">
        <f t="shared" si="26"/>
        <v>4.5400000000000003E-2</v>
      </c>
      <c r="Q12" s="2688">
        <f t="shared" si="26"/>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969</v>
      </c>
      <c r="B13" s="2684">
        <v>333</v>
      </c>
      <c r="C13" s="2684">
        <v>277</v>
      </c>
      <c r="D13" s="2684">
        <f t="shared" si="28"/>
        <v>277</v>
      </c>
      <c r="E13" s="2684">
        <v>459</v>
      </c>
      <c r="F13" s="2685">
        <v>249</v>
      </c>
      <c r="G13" s="3490">
        <v>2015</v>
      </c>
      <c r="H13" s="2698">
        <v>4</v>
      </c>
      <c r="I13" s="2698">
        <v>1.63</v>
      </c>
      <c r="J13" s="2698">
        <v>1.1100000000000001</v>
      </c>
      <c r="K13" s="2698">
        <v>1.77</v>
      </c>
      <c r="L13" s="2699">
        <v>1.89</v>
      </c>
      <c r="N13" s="2700">
        <f t="shared" si="30"/>
        <v>1.6299999999999999E-2</v>
      </c>
      <c r="O13" s="2701">
        <f t="shared" si="26"/>
        <v>1.11E-2</v>
      </c>
      <c r="P13" s="2701">
        <f t="shared" si="26"/>
        <v>1.77E-2</v>
      </c>
      <c r="Q13" s="2701">
        <f t="shared" si="26"/>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968</v>
      </c>
      <c r="B14" s="2692">
        <f t="shared" ref="B14:C16" si="31">B13/(1+N13)</f>
        <v>327.65915576109415</v>
      </c>
      <c r="C14" s="2692">
        <f t="shared" si="31"/>
        <v>273.95905449510434</v>
      </c>
      <c r="D14" s="2692">
        <f t="shared" si="28"/>
        <v>273.95905449510434</v>
      </c>
      <c r="E14" s="2692">
        <f t="shared" ref="E14:F16" si="32">E13/(1+P13)</f>
        <v>451.01699911565294</v>
      </c>
      <c r="F14" s="2692">
        <f t="shared" si="32"/>
        <v>244.38119540681129</v>
      </c>
      <c r="G14" s="3491"/>
      <c r="H14" s="2703">
        <v>3</v>
      </c>
      <c r="I14" s="2703">
        <v>1.65</v>
      </c>
      <c r="J14" s="2703">
        <v>0.92</v>
      </c>
      <c r="K14" s="2703">
        <v>1.88</v>
      </c>
      <c r="L14" s="2704">
        <v>1.26</v>
      </c>
      <c r="N14" s="2687">
        <f t="shared" si="30"/>
        <v>1.6500000000000001E-2</v>
      </c>
      <c r="O14" s="2705">
        <f t="shared" si="26"/>
        <v>9.1999999999999998E-3</v>
      </c>
      <c r="P14" s="2705">
        <f t="shared" si="26"/>
        <v>1.8799999999999997E-2</v>
      </c>
      <c r="Q14" s="2705">
        <f t="shared" si="26"/>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967</v>
      </c>
      <c r="B15" s="2692">
        <f t="shared" si="31"/>
        <v>322.34053690220776</v>
      </c>
      <c r="C15" s="2692">
        <f t="shared" si="31"/>
        <v>271.46160770422546</v>
      </c>
      <c r="D15" s="2692">
        <f t="shared" si="28"/>
        <v>271.46160770422546</v>
      </c>
      <c r="E15" s="2692">
        <f t="shared" si="32"/>
        <v>442.69434542172456</v>
      </c>
      <c r="F15" s="2692">
        <f t="shared" si="32"/>
        <v>241.34030753190925</v>
      </c>
      <c r="G15" s="3491"/>
      <c r="H15" s="2683">
        <v>2</v>
      </c>
      <c r="I15" s="2683">
        <v>0.77</v>
      </c>
      <c r="J15" s="2683">
        <v>0.69</v>
      </c>
      <c r="K15" s="2683">
        <v>0.8</v>
      </c>
      <c r="L15" s="2694">
        <v>0.88</v>
      </c>
      <c r="N15" s="2687">
        <f t="shared" si="30"/>
        <v>7.7000000000000002E-3</v>
      </c>
      <c r="O15" s="2705">
        <f t="shared" si="26"/>
        <v>6.8999999999999999E-3</v>
      </c>
      <c r="P15" s="2705">
        <f t="shared" si="26"/>
        <v>8.0000000000000002E-3</v>
      </c>
      <c r="Q15" s="2705">
        <f t="shared" si="26"/>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966</v>
      </c>
      <c r="B16" s="2692">
        <f t="shared" si="31"/>
        <v>319.87748030386797</v>
      </c>
      <c r="C16" s="2692">
        <f t="shared" si="31"/>
        <v>269.60135833173649</v>
      </c>
      <c r="D16" s="2692">
        <f t="shared" si="28"/>
        <v>269.60135833173649</v>
      </c>
      <c r="E16" s="2692">
        <f t="shared" si="32"/>
        <v>439.18089823583784</v>
      </c>
      <c r="F16" s="2692">
        <f t="shared" si="32"/>
        <v>239.23503918706311</v>
      </c>
      <c r="G16" s="3492"/>
      <c r="H16" s="2682">
        <v>1</v>
      </c>
      <c r="I16" s="2682">
        <v>0.51</v>
      </c>
      <c r="J16" s="2682">
        <v>0.54</v>
      </c>
      <c r="K16" s="2682">
        <v>0.48</v>
      </c>
      <c r="L16" s="2693">
        <v>0.93</v>
      </c>
      <c r="N16" s="2695">
        <f t="shared" si="30"/>
        <v>5.1000000000000004E-3</v>
      </c>
      <c r="O16" s="2696">
        <f t="shared" si="26"/>
        <v>5.4000000000000003E-3</v>
      </c>
      <c r="P16" s="2696">
        <f t="shared" si="26"/>
        <v>4.7999999999999996E-3</v>
      </c>
      <c r="Q16" s="2696">
        <f t="shared" si="26"/>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965</v>
      </c>
      <c r="B17" s="2706">
        <v>318</v>
      </c>
      <c r="C17" s="2706">
        <v>268</v>
      </c>
      <c r="D17" s="2706">
        <f t="shared" si="28"/>
        <v>268</v>
      </c>
      <c r="E17" s="2706">
        <v>437</v>
      </c>
      <c r="F17" s="2707">
        <v>237</v>
      </c>
      <c r="G17" s="3490">
        <v>2014</v>
      </c>
      <c r="H17" s="2698">
        <v>4</v>
      </c>
      <c r="I17" s="2698">
        <v>0.21</v>
      </c>
      <c r="J17" s="2698">
        <v>0.41</v>
      </c>
      <c r="K17" s="2698">
        <v>0.12</v>
      </c>
      <c r="L17" s="2699">
        <v>0.89</v>
      </c>
      <c r="N17" s="2687">
        <f t="shared" si="30"/>
        <v>2.0999999999999999E-3</v>
      </c>
      <c r="O17" s="2688">
        <f t="shared" si="26"/>
        <v>4.0999999999999995E-3</v>
      </c>
      <c r="P17" s="2688">
        <f t="shared" si="26"/>
        <v>1.1999999999999999E-3</v>
      </c>
      <c r="Q17" s="2688">
        <f t="shared" si="26"/>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964</v>
      </c>
      <c r="B18" s="2692">
        <f t="shared" ref="B18:C20" si="33">B17/(1+N17)</f>
        <v>317.33359944117353</v>
      </c>
      <c r="C18" s="2692">
        <f t="shared" si="33"/>
        <v>266.90568668459315</v>
      </c>
      <c r="D18" s="2692">
        <f t="shared" si="28"/>
        <v>266.90568668459315</v>
      </c>
      <c r="E18" s="2692">
        <f t="shared" ref="E18:F20" si="34">E17/(1+P17)</f>
        <v>436.47622852576905</v>
      </c>
      <c r="F18" s="2692">
        <f t="shared" si="34"/>
        <v>234.90930716622066</v>
      </c>
      <c r="G18" s="3491"/>
      <c r="H18" s="2708">
        <v>3</v>
      </c>
      <c r="I18" s="2708">
        <v>0.83</v>
      </c>
      <c r="J18" s="2708">
        <v>1.47</v>
      </c>
      <c r="K18" s="2708">
        <v>0.65</v>
      </c>
      <c r="L18" s="2709">
        <v>0.72</v>
      </c>
      <c r="N18" s="2687">
        <f t="shared" si="30"/>
        <v>8.3000000000000001E-3</v>
      </c>
      <c r="O18" s="2688">
        <f t="shared" si="26"/>
        <v>1.47E-2</v>
      </c>
      <c r="P18" s="2688">
        <f t="shared" si="26"/>
        <v>6.5000000000000006E-3</v>
      </c>
      <c r="Q18" s="2688">
        <f t="shared" si="26"/>
        <v>7.1999999999999998E-3</v>
      </c>
      <c r="R18" s="2689"/>
      <c r="S18" s="2687"/>
      <c r="T18" s="2688"/>
      <c r="U18" s="2688"/>
      <c r="V18" s="2688"/>
      <c r="X18" s="2777">
        <f>ROUND(SUMPRODUCT(PRODUCT(1+N18:N$19)),4)</f>
        <v>1.0325</v>
      </c>
      <c r="Y18" s="2777">
        <f>ROUND(SUMPRODUCT(PRODUCT(1+O18:O$19)),4)</f>
        <v>1.0353000000000001</v>
      </c>
      <c r="Z18" s="2777">
        <f t="shared" ref="Z18:Z19" si="35">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963</v>
      </c>
      <c r="B19" s="2692">
        <f t="shared" si="33"/>
        <v>314.72141172386546</v>
      </c>
      <c r="C19" s="2692">
        <f t="shared" si="33"/>
        <v>263.03901319069001</v>
      </c>
      <c r="D19" s="2692">
        <f t="shared" si="28"/>
        <v>263.03901319069001</v>
      </c>
      <c r="E19" s="2692">
        <f t="shared" si="34"/>
        <v>433.65745506782821</v>
      </c>
      <c r="F19" s="2692">
        <f t="shared" si="34"/>
        <v>233.23005080045735</v>
      </c>
      <c r="G19" s="3491"/>
      <c r="H19" s="2698">
        <v>2</v>
      </c>
      <c r="I19" s="2698">
        <v>2.4</v>
      </c>
      <c r="J19" s="2698">
        <v>2.0299999999999998</v>
      </c>
      <c r="K19" s="2698">
        <v>2.59</v>
      </c>
      <c r="L19" s="2699">
        <v>1.52</v>
      </c>
      <c r="N19" s="2687">
        <f t="shared" si="30"/>
        <v>2.4E-2</v>
      </c>
      <c r="O19" s="2688">
        <f t="shared" si="26"/>
        <v>2.0299999999999999E-2</v>
      </c>
      <c r="P19" s="2688">
        <f t="shared" si="26"/>
        <v>2.5899999999999999E-2</v>
      </c>
      <c r="Q19" s="2688">
        <f t="shared" si="26"/>
        <v>1.52E-2</v>
      </c>
      <c r="R19" s="2689"/>
      <c r="S19" s="2687"/>
      <c r="T19" s="2688"/>
      <c r="U19" s="2688"/>
      <c r="V19" s="2688"/>
      <c r="X19" s="2777">
        <f>1+N19</f>
        <v>1.024</v>
      </c>
      <c r="Y19" s="2777">
        <f>1+O19</f>
        <v>1.0203</v>
      </c>
      <c r="Z19" s="2777">
        <f t="shared" si="35"/>
        <v>1.0203</v>
      </c>
      <c r="AA19" s="2777">
        <f>1+P19</f>
        <v>1.0259</v>
      </c>
      <c r="AB19" s="2777">
        <f>1+Q19</f>
        <v>1.0152000000000001</v>
      </c>
      <c r="AD19" s="2697">
        <f>ROUND(AVERAGE(I19:I$20)/100,4)</f>
        <v>2.69E-2</v>
      </c>
      <c r="AE19" s="2697">
        <f>ROUND(AVERAGE(J19:J$20)/100,4)</f>
        <v>2.1899999999999999E-2</v>
      </c>
      <c r="AF19" s="2697">
        <f t="shared" ref="AF19" si="36">AE19</f>
        <v>2.1899999999999999E-2</v>
      </c>
      <c r="AG19" s="2697">
        <f>ROUND(AVERAGE(K19:K$20)/100,4)</f>
        <v>2.9399999999999999E-2</v>
      </c>
      <c r="AH19" s="2697">
        <f>ROUND(AVERAGE(L19:L$20)/100,4)</f>
        <v>1.44E-2</v>
      </c>
    </row>
    <row r="20" spans="1:34" s="2714" customFormat="1" ht="13.5" thickBot="1">
      <c r="A20" s="2710" t="s">
        <v>962</v>
      </c>
      <c r="B20" s="2711">
        <f t="shared" si="33"/>
        <v>307.34512863658733</v>
      </c>
      <c r="C20" s="2711">
        <f t="shared" si="33"/>
        <v>257.80556031626975</v>
      </c>
      <c r="D20" s="2711">
        <f t="shared" si="28"/>
        <v>257.80556031626975</v>
      </c>
      <c r="E20" s="2711">
        <f t="shared" si="34"/>
        <v>422.70928459677179</v>
      </c>
      <c r="F20" s="2711">
        <f t="shared" si="34"/>
        <v>229.73803270336617</v>
      </c>
      <c r="G20" s="3492"/>
      <c r="H20" s="2712">
        <v>1</v>
      </c>
      <c r="I20" s="2712">
        <v>2.97</v>
      </c>
      <c r="J20" s="2712">
        <v>2.34</v>
      </c>
      <c r="K20" s="2712">
        <v>3.28</v>
      </c>
      <c r="L20" s="2713">
        <v>1.36</v>
      </c>
      <c r="N20" s="2715">
        <f t="shared" si="30"/>
        <v>2.9700000000000001E-2</v>
      </c>
      <c r="O20" s="2716">
        <f t="shared" si="26"/>
        <v>2.3399999999999997E-2</v>
      </c>
      <c r="P20" s="2716">
        <f t="shared" si="26"/>
        <v>3.2799999999999996E-2</v>
      </c>
      <c r="Q20" s="2716">
        <f t="shared" si="26"/>
        <v>1.3600000000000001E-2</v>
      </c>
      <c r="R20" s="2717"/>
      <c r="S20" s="2718">
        <f>B20/B21-1</f>
        <v>2.7910129219355539E-2</v>
      </c>
      <c r="T20" s="2719">
        <f>C20/C21-1</f>
        <v>2.3037937762975247E-2</v>
      </c>
      <c r="U20" s="2719">
        <f>E20/E21-1</f>
        <v>3.3519033243940788E-2</v>
      </c>
      <c r="V20" s="2719">
        <f>F20/F21-1</f>
        <v>1.2061818076502862E-2</v>
      </c>
      <c r="W20" s="2787" t="s">
        <v>2645</v>
      </c>
      <c r="X20" s="2789">
        <v>1</v>
      </c>
      <c r="Y20" s="2789">
        <v>1</v>
      </c>
      <c r="Z20" s="2789">
        <v>1</v>
      </c>
      <c r="AA20" s="2789">
        <v>1</v>
      </c>
      <c r="AB20" s="2789">
        <v>1</v>
      </c>
      <c r="AD20" s="3033">
        <f>I20/100</f>
        <v>2.9700000000000001E-2</v>
      </c>
      <c r="AE20" s="3033">
        <f>J20/100</f>
        <v>2.3399999999999997E-2</v>
      </c>
      <c r="AF20" s="3033">
        <f>AE20</f>
        <v>2.3399999999999997E-2</v>
      </c>
      <c r="AG20" s="3033">
        <f>K20/100</f>
        <v>3.2799999999999996E-2</v>
      </c>
      <c r="AH20" s="3033">
        <f>L20/100</f>
        <v>1.3600000000000001E-2</v>
      </c>
    </row>
    <row r="21" spans="1:34" ht="13.5" thickBot="1">
      <c r="A21" s="2678" t="s">
        <v>2587</v>
      </c>
      <c r="B21" s="2684">
        <v>299</v>
      </c>
      <c r="C21" s="2684">
        <v>252</v>
      </c>
      <c r="D21" s="2684">
        <f t="shared" si="28"/>
        <v>252</v>
      </c>
      <c r="E21" s="2684">
        <v>409</v>
      </c>
      <c r="F21" s="2685">
        <v>227</v>
      </c>
      <c r="G21" s="3493">
        <v>2013</v>
      </c>
      <c r="H21" s="2720">
        <v>4</v>
      </c>
      <c r="I21" s="2720">
        <v>1.83</v>
      </c>
      <c r="J21" s="2720">
        <v>1.68</v>
      </c>
      <c r="K21" s="2720">
        <v>1.97</v>
      </c>
      <c r="L21" s="2721">
        <v>0.87</v>
      </c>
      <c r="N21" s="2700">
        <f t="shared" si="30"/>
        <v>1.83E-2</v>
      </c>
      <c r="O21" s="2701">
        <f t="shared" si="26"/>
        <v>1.6799999999999999E-2</v>
      </c>
      <c r="P21" s="2701">
        <f t="shared" si="26"/>
        <v>1.9699999999999999E-2</v>
      </c>
      <c r="Q21" s="2701">
        <f t="shared" si="26"/>
        <v>8.6999999999999994E-3</v>
      </c>
      <c r="R21" s="2689"/>
      <c r="S21" s="2690"/>
      <c r="T21" s="2691"/>
      <c r="U21" s="2691"/>
      <c r="V21" s="2691"/>
      <c r="X21" s="2691"/>
      <c r="Y21" s="2691"/>
      <c r="Z21" s="2691"/>
    </row>
    <row r="22" spans="1:34">
      <c r="A22" s="2678" t="s">
        <v>2588</v>
      </c>
      <c r="B22" s="2692">
        <f t="shared" ref="B22:C24" si="37">B21/(1+N21)</f>
        <v>293.62663262299913</v>
      </c>
      <c r="C22" s="2692">
        <f t="shared" si="37"/>
        <v>247.83634933123525</v>
      </c>
      <c r="D22" s="2692">
        <f t="shared" si="28"/>
        <v>247.83634933123525</v>
      </c>
      <c r="E22" s="2692">
        <f t="shared" ref="E22:F24" si="38">E21/(1+P21)</f>
        <v>401.09836226341076</v>
      </c>
      <c r="F22" s="2692">
        <f t="shared" si="38"/>
        <v>225.04213343908003</v>
      </c>
      <c r="G22" s="3494"/>
      <c r="H22" s="2703">
        <v>3</v>
      </c>
      <c r="I22" s="2703">
        <v>1.86</v>
      </c>
      <c r="J22" s="2703">
        <v>1.72</v>
      </c>
      <c r="K22" s="2703">
        <v>1.98</v>
      </c>
      <c r="L22" s="2704">
        <v>0.88</v>
      </c>
      <c r="N22" s="2687">
        <f t="shared" si="30"/>
        <v>1.8600000000000002E-2</v>
      </c>
      <c r="O22" s="2705">
        <f t="shared" si="26"/>
        <v>1.72E-2</v>
      </c>
      <c r="P22" s="2705">
        <f t="shared" si="26"/>
        <v>1.9799999999999998E-2</v>
      </c>
      <c r="Q22" s="2705">
        <f t="shared" si="26"/>
        <v>8.8000000000000005E-3</v>
      </c>
      <c r="R22" s="2689"/>
      <c r="S22" s="2687"/>
      <c r="T22" s="2688"/>
      <c r="U22" s="2688"/>
      <c r="V22" s="2688"/>
    </row>
    <row r="23" spans="1:34">
      <c r="A23" s="2678" t="s">
        <v>2589</v>
      </c>
      <c r="B23" s="2692">
        <f t="shared" si="37"/>
        <v>288.2649053828776</v>
      </c>
      <c r="C23" s="2692">
        <f t="shared" si="37"/>
        <v>243.64564425013293</v>
      </c>
      <c r="D23" s="2692">
        <f t="shared" si="28"/>
        <v>243.64564425013293</v>
      </c>
      <c r="E23" s="2692">
        <f t="shared" si="38"/>
        <v>393.31080825986544</v>
      </c>
      <c r="F23" s="2692">
        <f t="shared" si="38"/>
        <v>223.07903790551154</v>
      </c>
      <c r="G23" s="3494"/>
      <c r="H23" s="2683">
        <v>2</v>
      </c>
      <c r="I23" s="2683">
        <v>2.04</v>
      </c>
      <c r="J23" s="2683">
        <v>2.33</v>
      </c>
      <c r="K23" s="2683">
        <v>2.0699999999999998</v>
      </c>
      <c r="L23" s="2694">
        <v>0.69</v>
      </c>
      <c r="N23" s="2687">
        <f t="shared" si="30"/>
        <v>2.0400000000000001E-2</v>
      </c>
      <c r="O23" s="2705">
        <f t="shared" si="26"/>
        <v>2.3300000000000001E-2</v>
      </c>
      <c r="P23" s="2705">
        <f t="shared" si="26"/>
        <v>2.07E-2</v>
      </c>
      <c r="Q23" s="2705">
        <f t="shared" si="26"/>
        <v>6.8999999999999999E-3</v>
      </c>
      <c r="R23" s="2689"/>
      <c r="S23" s="2687"/>
      <c r="T23" s="2688"/>
      <c r="U23" s="2688"/>
      <c r="V23" s="2688"/>
      <c r="X23" s="2790"/>
      <c r="Y23" s="2792"/>
    </row>
    <row r="24" spans="1:34">
      <c r="A24" s="2678" t="s">
        <v>2590</v>
      </c>
      <c r="B24" s="2692">
        <f t="shared" si="37"/>
        <v>282.50186729015837</v>
      </c>
      <c r="C24" s="2692">
        <f t="shared" si="37"/>
        <v>238.09796174155468</v>
      </c>
      <c r="D24" s="2692">
        <f t="shared" si="28"/>
        <v>238.09796174155468</v>
      </c>
      <c r="E24" s="2692">
        <f t="shared" si="38"/>
        <v>385.33438646014054</v>
      </c>
      <c r="F24" s="2692">
        <f t="shared" si="38"/>
        <v>221.55034055567739</v>
      </c>
      <c r="G24" s="3495"/>
      <c r="H24" s="2682">
        <v>1</v>
      </c>
      <c r="I24" s="2682">
        <v>1.67</v>
      </c>
      <c r="J24" s="2682">
        <v>1.31</v>
      </c>
      <c r="K24" s="2682">
        <v>1.85</v>
      </c>
      <c r="L24" s="2693">
        <v>0.96</v>
      </c>
      <c r="N24" s="2695">
        <f t="shared" si="30"/>
        <v>1.67E-2</v>
      </c>
      <c r="O24" s="2696">
        <f t="shared" si="26"/>
        <v>1.3100000000000001E-2</v>
      </c>
      <c r="P24" s="2696">
        <f t="shared" si="26"/>
        <v>1.8500000000000003E-2</v>
      </c>
      <c r="Q24" s="2696">
        <f t="shared" si="26"/>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2591</v>
      </c>
      <c r="B25" s="2722">
        <v>278</v>
      </c>
      <c r="C25" s="2722">
        <v>234</v>
      </c>
      <c r="D25" s="2722">
        <f t="shared" si="28"/>
        <v>234</v>
      </c>
      <c r="E25" s="2722">
        <v>379</v>
      </c>
      <c r="F25" s="2723">
        <v>220</v>
      </c>
      <c r="G25" s="3490">
        <v>2012</v>
      </c>
      <c r="H25" s="2698">
        <v>4</v>
      </c>
      <c r="I25" s="2698">
        <v>0.91</v>
      </c>
      <c r="J25" s="2698">
        <v>0.68</v>
      </c>
      <c r="K25" s="2698">
        <v>0.98</v>
      </c>
      <c r="L25" s="2699">
        <v>0.9</v>
      </c>
      <c r="N25" s="2687">
        <f t="shared" si="30"/>
        <v>9.1000000000000004E-3</v>
      </c>
      <c r="O25" s="2688">
        <f t="shared" si="30"/>
        <v>6.8000000000000005E-3</v>
      </c>
      <c r="P25" s="2688">
        <f t="shared" si="30"/>
        <v>9.7999999999999997E-3</v>
      </c>
      <c r="Q25" s="2688">
        <f t="shared" si="30"/>
        <v>9.0000000000000011E-3</v>
      </c>
      <c r="R25" s="2689"/>
      <c r="S25" s="2690"/>
      <c r="T25" s="2691"/>
      <c r="U25" s="2691"/>
      <c r="V25" s="2691"/>
      <c r="X25" s="2691"/>
      <c r="Y25" s="2691"/>
      <c r="Z25" s="2691"/>
    </row>
    <row r="26" spans="1:34">
      <c r="A26" s="2678" t="s">
        <v>2592</v>
      </c>
      <c r="B26" s="2692">
        <f>B25/(1+N25)</f>
        <v>275.49301357645425</v>
      </c>
      <c r="C26" s="2692">
        <f>C25/(1+O25)</f>
        <v>232.41954707985698</v>
      </c>
      <c r="D26" s="2692">
        <f t="shared" si="28"/>
        <v>232.41954707985698</v>
      </c>
      <c r="E26" s="2692">
        <f t="shared" ref="E26:F28" si="39">E25/(1+P25)</f>
        <v>375.32184591008121</v>
      </c>
      <c r="F26" s="2692">
        <f t="shared" si="39"/>
        <v>218.03766105054513</v>
      </c>
      <c r="G26" s="3491"/>
      <c r="H26" s="2703">
        <v>3</v>
      </c>
      <c r="I26" s="2703">
        <v>0.09</v>
      </c>
      <c r="J26" s="2703">
        <v>0.28999999999999998</v>
      </c>
      <c r="K26" s="2703">
        <v>-0.01</v>
      </c>
      <c r="L26" s="2704">
        <v>0.57999999999999996</v>
      </c>
      <c r="N26" s="2687">
        <f t="shared" si="30"/>
        <v>8.9999999999999998E-4</v>
      </c>
      <c r="O26" s="2688">
        <f t="shared" si="30"/>
        <v>2.8999999999999998E-3</v>
      </c>
      <c r="P26" s="2688">
        <f t="shared" si="30"/>
        <v>-1E-4</v>
      </c>
      <c r="Q26" s="2688">
        <f t="shared" si="30"/>
        <v>5.7999999999999996E-3</v>
      </c>
      <c r="R26" s="2689"/>
      <c r="S26" s="2687"/>
      <c r="T26" s="2688"/>
      <c r="U26" s="2688"/>
      <c r="V26" s="2688"/>
    </row>
    <row r="27" spans="1:34">
      <c r="A27" s="2678" t="s">
        <v>2593</v>
      </c>
      <c r="B27" s="2692">
        <f>B26/(1+N26)</f>
        <v>275.24529281292263</v>
      </c>
      <c r="C27" s="2692">
        <f>C26/(1+O26)</f>
        <v>231.74747938962707</v>
      </c>
      <c r="D27" s="2692">
        <f t="shared" si="28"/>
        <v>231.74747938962707</v>
      </c>
      <c r="E27" s="2692">
        <f t="shared" si="39"/>
        <v>375.35938184826603</v>
      </c>
      <c r="F27" s="2692">
        <f t="shared" si="39"/>
        <v>216.78033510692495</v>
      </c>
      <c r="G27" s="3491"/>
      <c r="H27" s="2683">
        <v>2</v>
      </c>
      <c r="I27" s="2683">
        <v>0.02</v>
      </c>
      <c r="J27" s="2683">
        <v>0.12</v>
      </c>
      <c r="K27" s="2683">
        <v>-0.08</v>
      </c>
      <c r="L27" s="2694">
        <v>1.24</v>
      </c>
      <c r="N27" s="2687">
        <f t="shared" si="30"/>
        <v>2.0000000000000001E-4</v>
      </c>
      <c r="O27" s="2688">
        <f t="shared" si="30"/>
        <v>1.1999999999999999E-3</v>
      </c>
      <c r="P27" s="2688">
        <f t="shared" si="30"/>
        <v>-8.0000000000000004E-4</v>
      </c>
      <c r="Q27" s="2688">
        <f t="shared" si="30"/>
        <v>1.24E-2</v>
      </c>
      <c r="R27" s="2689"/>
      <c r="S27" s="2687"/>
      <c r="T27" s="2688"/>
      <c r="U27" s="2688"/>
      <c r="V27" s="2688"/>
    </row>
    <row r="28" spans="1:34" ht="13.5" thickBot="1">
      <c r="A28" s="2678" t="s">
        <v>2594</v>
      </c>
      <c r="B28" s="2692">
        <f>B27/(1+N27)</f>
        <v>275.19025476197027</v>
      </c>
      <c r="C28" s="2724">
        <v>232</v>
      </c>
      <c r="D28" s="2724">
        <f t="shared" si="28"/>
        <v>232</v>
      </c>
      <c r="E28" s="2692">
        <f t="shared" si="39"/>
        <v>375.65990977608692</v>
      </c>
      <c r="F28" s="2692">
        <f t="shared" si="39"/>
        <v>214.12518283971252</v>
      </c>
      <c r="G28" s="3492"/>
      <c r="H28" s="2682">
        <v>1</v>
      </c>
      <c r="I28" s="2682">
        <v>0.02</v>
      </c>
      <c r="J28" s="2682">
        <v>0.13</v>
      </c>
      <c r="K28" s="2682">
        <v>-0.04</v>
      </c>
      <c r="L28" s="2693">
        <v>0.46</v>
      </c>
      <c r="N28" s="2687">
        <f t="shared" si="30"/>
        <v>2.0000000000000001E-4</v>
      </c>
      <c r="O28" s="2688">
        <f t="shared" si="30"/>
        <v>1.2999999999999999E-3</v>
      </c>
      <c r="P28" s="2688">
        <f t="shared" si="30"/>
        <v>-4.0000000000000002E-4</v>
      </c>
      <c r="Q28" s="2688">
        <f t="shared" si="30"/>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2595</v>
      </c>
      <c r="B29" s="2684">
        <v>275</v>
      </c>
      <c r="C29" s="2684">
        <v>232</v>
      </c>
      <c r="D29" s="2684">
        <f t="shared" si="28"/>
        <v>232</v>
      </c>
      <c r="E29" s="2684">
        <v>376</v>
      </c>
      <c r="F29" s="2685">
        <v>213</v>
      </c>
      <c r="G29" s="3490">
        <v>2011</v>
      </c>
      <c r="H29" s="2698">
        <v>4</v>
      </c>
      <c r="I29" s="2698">
        <v>-0.2</v>
      </c>
      <c r="J29" s="2698">
        <v>0.04</v>
      </c>
      <c r="K29" s="2698">
        <v>-0.34</v>
      </c>
      <c r="L29" s="2699">
        <v>0.46</v>
      </c>
      <c r="N29" s="2700">
        <f t="shared" si="30"/>
        <v>-2E-3</v>
      </c>
      <c r="O29" s="2701">
        <f t="shared" si="30"/>
        <v>4.0000000000000002E-4</v>
      </c>
      <c r="P29" s="2701">
        <f t="shared" si="30"/>
        <v>-3.4000000000000002E-3</v>
      </c>
      <c r="Q29" s="2701">
        <f t="shared" si="30"/>
        <v>4.5999999999999999E-3</v>
      </c>
      <c r="R29" s="2689"/>
      <c r="S29" s="2690"/>
      <c r="T29" s="2691"/>
      <c r="U29" s="2691"/>
      <c r="V29" s="2691"/>
      <c r="X29" s="2691"/>
      <c r="Y29" s="2691"/>
      <c r="Z29" s="2691"/>
    </row>
    <row r="30" spans="1:34">
      <c r="A30" s="2678" t="s">
        <v>2596</v>
      </c>
      <c r="B30" s="2692">
        <f t="shared" ref="B30:C32" si="40">B29/(1+N29)</f>
        <v>275.55110220440883</v>
      </c>
      <c r="C30" s="2692">
        <f t="shared" si="40"/>
        <v>231.90723710515795</v>
      </c>
      <c r="D30" s="2692">
        <f t="shared" si="28"/>
        <v>231.90723710515795</v>
      </c>
      <c r="E30" s="2692">
        <f t="shared" ref="E30:F32" si="41">E29/(1+P29)</f>
        <v>377.28276138872161</v>
      </c>
      <c r="F30" s="2692">
        <f t="shared" si="41"/>
        <v>212.02468644236512</v>
      </c>
      <c r="G30" s="3491">
        <v>2011</v>
      </c>
      <c r="H30" s="2703">
        <v>3</v>
      </c>
      <c r="I30" s="2703">
        <v>0.13</v>
      </c>
      <c r="J30" s="2703">
        <v>0.75</v>
      </c>
      <c r="K30" s="2703">
        <v>-0.08</v>
      </c>
      <c r="L30" s="2704">
        <v>0.53</v>
      </c>
      <c r="N30" s="2687">
        <f t="shared" si="30"/>
        <v>1.2999999999999999E-3</v>
      </c>
      <c r="O30" s="2705">
        <f t="shared" si="30"/>
        <v>7.4999999999999997E-3</v>
      </c>
      <c r="P30" s="2705">
        <f t="shared" si="30"/>
        <v>-8.0000000000000004E-4</v>
      </c>
      <c r="Q30" s="2705">
        <f t="shared" si="30"/>
        <v>5.3E-3</v>
      </c>
      <c r="R30" s="2689"/>
      <c r="S30" s="2687"/>
      <c r="T30" s="2688"/>
      <c r="U30" s="2688"/>
      <c r="V30" s="2688"/>
    </row>
    <row r="31" spans="1:34">
      <c r="A31" s="2678" t="s">
        <v>2597</v>
      </c>
      <c r="B31" s="2692">
        <f t="shared" si="40"/>
        <v>275.19335084830601</v>
      </c>
      <c r="C31" s="2692">
        <f t="shared" si="40"/>
        <v>230.18088050139744</v>
      </c>
      <c r="D31" s="2692">
        <f t="shared" si="28"/>
        <v>230.18088050139744</v>
      </c>
      <c r="E31" s="2692">
        <f t="shared" si="41"/>
        <v>377.58482925212331</v>
      </c>
      <c r="F31" s="2692">
        <f t="shared" si="41"/>
        <v>210.90687997847917</v>
      </c>
      <c r="G31" s="3491">
        <v>2011</v>
      </c>
      <c r="H31" s="2683">
        <v>2</v>
      </c>
      <c r="I31" s="2683">
        <v>-0.4</v>
      </c>
      <c r="J31" s="2683">
        <v>0.17</v>
      </c>
      <c r="K31" s="2683">
        <v>-0.57999999999999996</v>
      </c>
      <c r="L31" s="2694">
        <v>-0.2</v>
      </c>
      <c r="N31" s="2687">
        <f t="shared" si="30"/>
        <v>-4.0000000000000001E-3</v>
      </c>
      <c r="O31" s="2705">
        <f t="shared" si="30"/>
        <v>1.7000000000000001E-3</v>
      </c>
      <c r="P31" s="2705">
        <f t="shared" si="30"/>
        <v>-5.7999999999999996E-3</v>
      </c>
      <c r="Q31" s="2705">
        <f t="shared" si="30"/>
        <v>-2E-3</v>
      </c>
      <c r="R31" s="2689"/>
      <c r="S31" s="2687"/>
      <c r="T31" s="2688"/>
      <c r="U31" s="2688"/>
      <c r="V31" s="2688"/>
    </row>
    <row r="32" spans="1:34" ht="13.5" thickBot="1">
      <c r="A32" s="2678" t="s">
        <v>2598</v>
      </c>
      <c r="B32" s="2692">
        <f t="shared" si="40"/>
        <v>276.29854502841971</v>
      </c>
      <c r="C32" s="2692">
        <f t="shared" si="40"/>
        <v>229.79023709833027</v>
      </c>
      <c r="D32" s="2692">
        <f t="shared" si="28"/>
        <v>229.79023709833027</v>
      </c>
      <c r="E32" s="2692">
        <f t="shared" si="41"/>
        <v>379.78759731655936</v>
      </c>
      <c r="F32" s="2692">
        <f t="shared" si="41"/>
        <v>211.32953905659235</v>
      </c>
      <c r="G32" s="3492">
        <v>2011</v>
      </c>
      <c r="H32" s="2682">
        <v>1</v>
      </c>
      <c r="I32" s="2682">
        <v>2.65</v>
      </c>
      <c r="J32" s="2682">
        <v>3.76</v>
      </c>
      <c r="K32" s="2682">
        <v>1.89</v>
      </c>
      <c r="L32" s="2693">
        <v>7.95</v>
      </c>
      <c r="N32" s="2695">
        <f t="shared" si="30"/>
        <v>2.6499999999999999E-2</v>
      </c>
      <c r="O32" s="2696">
        <f t="shared" si="30"/>
        <v>3.7599999999999995E-2</v>
      </c>
      <c r="P32" s="2696">
        <f t="shared" si="30"/>
        <v>1.89E-2</v>
      </c>
      <c r="Q32" s="2696">
        <f t="shared" si="30"/>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2599</v>
      </c>
      <c r="B33" s="2684">
        <v>269</v>
      </c>
      <c r="C33" s="2684">
        <v>221</v>
      </c>
      <c r="D33" s="2684">
        <f t="shared" si="28"/>
        <v>221</v>
      </c>
      <c r="E33" s="2684">
        <v>373</v>
      </c>
      <c r="F33" s="2685">
        <v>196</v>
      </c>
      <c r="G33" s="3490">
        <v>2010</v>
      </c>
      <c r="H33" s="2698">
        <v>4</v>
      </c>
      <c r="I33" s="2698">
        <v>5.72</v>
      </c>
      <c r="J33" s="2698">
        <v>6.57</v>
      </c>
      <c r="K33" s="2698">
        <v>5.72</v>
      </c>
      <c r="L33" s="2699">
        <v>2.72</v>
      </c>
      <c r="N33" s="2687">
        <f t="shared" si="30"/>
        <v>5.7200000000000001E-2</v>
      </c>
      <c r="O33" s="2688">
        <f t="shared" si="30"/>
        <v>6.5700000000000008E-2</v>
      </c>
      <c r="P33" s="2688">
        <f t="shared" si="30"/>
        <v>5.7200000000000001E-2</v>
      </c>
      <c r="Q33" s="2688">
        <f t="shared" si="30"/>
        <v>2.7200000000000002E-2</v>
      </c>
      <c r="R33" s="2689"/>
      <c r="S33" s="2690"/>
      <c r="T33" s="2691"/>
      <c r="U33" s="2691"/>
      <c r="V33" s="2691"/>
      <c r="X33" s="2691"/>
      <c r="Y33" s="2691"/>
      <c r="Z33" s="2691"/>
    </row>
    <row r="34" spans="1:26">
      <c r="A34" s="2678" t="s">
        <v>2600</v>
      </c>
      <c r="B34" s="2692">
        <f t="shared" ref="B34:C36" si="42">B33/(1+N33)</f>
        <v>254.44570563753314</v>
      </c>
      <c r="C34" s="2692">
        <f t="shared" si="42"/>
        <v>207.37543398705074</v>
      </c>
      <c r="D34" s="2692">
        <f t="shared" si="28"/>
        <v>207.37543398705074</v>
      </c>
      <c r="E34" s="2692">
        <f t="shared" ref="E34:F36" si="43">E33/(1+P33)</f>
        <v>352.81876655315932</v>
      </c>
      <c r="F34" s="2692">
        <f t="shared" si="43"/>
        <v>190.809968847352</v>
      </c>
      <c r="G34" s="3491">
        <v>2010</v>
      </c>
      <c r="H34" s="2703">
        <v>3</v>
      </c>
      <c r="I34" s="2703">
        <v>4.7300000000000004</v>
      </c>
      <c r="J34" s="2703">
        <v>3.9</v>
      </c>
      <c r="K34" s="2703">
        <v>5.03</v>
      </c>
      <c r="L34" s="2704">
        <v>4.21</v>
      </c>
      <c r="N34" s="2687">
        <f t="shared" si="30"/>
        <v>4.7300000000000002E-2</v>
      </c>
      <c r="O34" s="2688">
        <f t="shared" si="30"/>
        <v>3.9E-2</v>
      </c>
      <c r="P34" s="2688">
        <f t="shared" si="30"/>
        <v>5.0300000000000004E-2</v>
      </c>
      <c r="Q34" s="2688">
        <f t="shared" si="30"/>
        <v>4.2099999999999999E-2</v>
      </c>
      <c r="R34" s="2689"/>
      <c r="S34" s="2687"/>
      <c r="T34" s="2688"/>
      <c r="U34" s="2688"/>
      <c r="V34" s="2688"/>
    </row>
    <row r="35" spans="1:26">
      <c r="A35" s="2678" t="s">
        <v>2601</v>
      </c>
      <c r="B35" s="2692">
        <f t="shared" si="42"/>
        <v>242.95398227588385</v>
      </c>
      <c r="C35" s="2692">
        <f t="shared" si="42"/>
        <v>199.59137053614126</v>
      </c>
      <c r="D35" s="2692">
        <f t="shared" si="28"/>
        <v>199.59137053614126</v>
      </c>
      <c r="E35" s="2692">
        <f t="shared" si="43"/>
        <v>335.92189522342125</v>
      </c>
      <c r="F35" s="2692">
        <f t="shared" si="43"/>
        <v>183.10139991109489</v>
      </c>
      <c r="G35" s="3491">
        <v>2010</v>
      </c>
      <c r="H35" s="2683">
        <v>2</v>
      </c>
      <c r="I35" s="2683">
        <v>4.6900000000000004</v>
      </c>
      <c r="J35" s="2683">
        <v>3.55</v>
      </c>
      <c r="K35" s="2683">
        <v>5.07</v>
      </c>
      <c r="L35" s="2694">
        <v>4.2300000000000004</v>
      </c>
      <c r="N35" s="2687">
        <f t="shared" si="30"/>
        <v>4.6900000000000004E-2</v>
      </c>
      <c r="O35" s="2688">
        <f t="shared" si="30"/>
        <v>3.5499999999999997E-2</v>
      </c>
      <c r="P35" s="2688">
        <f t="shared" si="30"/>
        <v>5.0700000000000002E-2</v>
      </c>
      <c r="Q35" s="2688">
        <f t="shared" si="30"/>
        <v>4.2300000000000004E-2</v>
      </c>
      <c r="R35" s="2689"/>
      <c r="S35" s="2687"/>
      <c r="T35" s="2688"/>
      <c r="U35" s="2688"/>
      <c r="V35" s="2688"/>
    </row>
    <row r="36" spans="1:26" ht="13.5" thickBot="1">
      <c r="A36" s="2678" t="s">
        <v>2602</v>
      </c>
      <c r="B36" s="2692">
        <f t="shared" si="42"/>
        <v>232.06990378821649</v>
      </c>
      <c r="C36" s="2692">
        <f t="shared" si="42"/>
        <v>192.74878854286936</v>
      </c>
      <c r="D36" s="2692">
        <f t="shared" si="28"/>
        <v>192.74878854286936</v>
      </c>
      <c r="E36" s="2692">
        <f t="shared" si="43"/>
        <v>319.71247284992984</v>
      </c>
      <c r="F36" s="2692">
        <f t="shared" si="43"/>
        <v>175.67053622862409</v>
      </c>
      <c r="G36" s="3492">
        <v>2010</v>
      </c>
      <c r="H36" s="2682">
        <v>1</v>
      </c>
      <c r="I36" s="2682">
        <v>5.4</v>
      </c>
      <c r="J36" s="2682">
        <v>3.2</v>
      </c>
      <c r="K36" s="2682">
        <v>6.16</v>
      </c>
      <c r="L36" s="2693">
        <v>4.51</v>
      </c>
      <c r="N36" s="2687">
        <f t="shared" si="30"/>
        <v>5.4000000000000006E-2</v>
      </c>
      <c r="O36" s="2688">
        <f t="shared" si="30"/>
        <v>3.2000000000000001E-2</v>
      </c>
      <c r="P36" s="2688">
        <f t="shared" si="30"/>
        <v>6.1600000000000002E-2</v>
      </c>
      <c r="Q36" s="2688">
        <f t="shared" si="30"/>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2603</v>
      </c>
      <c r="B37" s="2684">
        <v>220</v>
      </c>
      <c r="C37" s="2684">
        <v>187</v>
      </c>
      <c r="D37" s="2684">
        <f t="shared" si="28"/>
        <v>187</v>
      </c>
      <c r="E37" s="2684">
        <v>301</v>
      </c>
      <c r="F37" s="2685">
        <v>168</v>
      </c>
      <c r="G37" s="3490">
        <v>2009</v>
      </c>
      <c r="H37" s="2698">
        <v>4</v>
      </c>
      <c r="I37" s="2698">
        <v>2.2999999999999998</v>
      </c>
      <c r="J37" s="2698">
        <v>1.04</v>
      </c>
      <c r="K37" s="2698">
        <v>2.84</v>
      </c>
      <c r="L37" s="2699">
        <v>0.67</v>
      </c>
      <c r="N37" s="2700">
        <f t="shared" si="30"/>
        <v>2.3E-2</v>
      </c>
      <c r="O37" s="2701">
        <f t="shared" si="30"/>
        <v>1.04E-2</v>
      </c>
      <c r="P37" s="2701">
        <f t="shared" si="30"/>
        <v>2.8399999999999998E-2</v>
      </c>
      <c r="Q37" s="2701">
        <f t="shared" si="30"/>
        <v>6.7000000000000002E-3</v>
      </c>
      <c r="R37" s="2689"/>
      <c r="S37" s="2690"/>
      <c r="T37" s="2691"/>
      <c r="U37" s="2691"/>
      <c r="V37" s="2691"/>
      <c r="X37" s="2691"/>
      <c r="Y37" s="2691"/>
      <c r="Z37" s="2691"/>
    </row>
    <row r="38" spans="1:26">
      <c r="A38" s="2678" t="s">
        <v>2604</v>
      </c>
      <c r="B38" s="2692">
        <f t="shared" ref="B38:C40" si="44">B37/(1+N37)</f>
        <v>215.05376344086022</v>
      </c>
      <c r="C38" s="2692">
        <f t="shared" si="44"/>
        <v>185.0752177355503</v>
      </c>
      <c r="D38" s="2692">
        <f t="shared" si="28"/>
        <v>185.0752177355503</v>
      </c>
      <c r="E38" s="2692">
        <f t="shared" ref="E38:F40" si="45">E37/(1+P37)</f>
        <v>292.68767016725008</v>
      </c>
      <c r="F38" s="2692">
        <f t="shared" si="45"/>
        <v>166.88189132810174</v>
      </c>
      <c r="G38" s="3491">
        <v>2009</v>
      </c>
      <c r="H38" s="2703">
        <v>3</v>
      </c>
      <c r="I38" s="2703">
        <v>2.1</v>
      </c>
      <c r="J38" s="2703">
        <v>1.86</v>
      </c>
      <c r="K38" s="2703">
        <v>2.29</v>
      </c>
      <c r="L38" s="2704">
        <v>0.85</v>
      </c>
      <c r="N38" s="2687">
        <f t="shared" si="30"/>
        <v>2.1000000000000001E-2</v>
      </c>
      <c r="O38" s="2705">
        <f t="shared" si="30"/>
        <v>1.8600000000000002E-2</v>
      </c>
      <c r="P38" s="2705">
        <f t="shared" si="30"/>
        <v>2.29E-2</v>
      </c>
      <c r="Q38" s="2705">
        <f t="shared" si="30"/>
        <v>8.5000000000000006E-3</v>
      </c>
      <c r="R38" s="2689"/>
      <c r="S38" s="2687"/>
      <c r="T38" s="2688"/>
      <c r="U38" s="2688"/>
      <c r="V38" s="2688"/>
    </row>
    <row r="39" spans="1:26">
      <c r="A39" s="2678" t="s">
        <v>2605</v>
      </c>
      <c r="B39" s="2692">
        <f t="shared" si="44"/>
        <v>210.630522469011</v>
      </c>
      <c r="C39" s="2692">
        <f t="shared" si="44"/>
        <v>181.69567812247232</v>
      </c>
      <c r="D39" s="2692">
        <f t="shared" si="28"/>
        <v>181.69567812247232</v>
      </c>
      <c r="E39" s="2692">
        <f t="shared" si="45"/>
        <v>286.13517466736738</v>
      </c>
      <c r="F39" s="2692">
        <f t="shared" si="45"/>
        <v>165.47535084591149</v>
      </c>
      <c r="G39" s="3491">
        <v>2009</v>
      </c>
      <c r="H39" s="2683">
        <v>2</v>
      </c>
      <c r="I39" s="2683">
        <v>0.86</v>
      </c>
      <c r="J39" s="2683">
        <v>-1.1299999999999999</v>
      </c>
      <c r="K39" s="2683">
        <v>1.79</v>
      </c>
      <c r="L39" s="2694">
        <v>-2.0699999999999998</v>
      </c>
      <c r="N39" s="2687">
        <f t="shared" si="30"/>
        <v>8.6E-3</v>
      </c>
      <c r="O39" s="2705">
        <f t="shared" si="30"/>
        <v>-1.1299999999999999E-2</v>
      </c>
      <c r="P39" s="2705">
        <f t="shared" si="30"/>
        <v>1.7899999999999999E-2</v>
      </c>
      <c r="Q39" s="2705">
        <f t="shared" si="30"/>
        <v>-2.07E-2</v>
      </c>
      <c r="R39" s="2689"/>
      <c r="S39" s="2687"/>
      <c r="T39" s="2688"/>
      <c r="U39" s="2688"/>
      <c r="V39" s="2688"/>
    </row>
    <row r="40" spans="1:26">
      <c r="A40" s="2678" t="s">
        <v>2606</v>
      </c>
      <c r="B40" s="2692">
        <f t="shared" si="44"/>
        <v>208.83454537875372</v>
      </c>
      <c r="C40" s="2692">
        <f t="shared" si="44"/>
        <v>183.77230517090351</v>
      </c>
      <c r="D40" s="2692">
        <f t="shared" si="28"/>
        <v>183.77230517090351</v>
      </c>
      <c r="E40" s="2692">
        <f t="shared" si="45"/>
        <v>281.10342338870947</v>
      </c>
      <c r="F40" s="2692">
        <f t="shared" si="45"/>
        <v>168.97309388942256</v>
      </c>
      <c r="G40" s="3492">
        <v>2009</v>
      </c>
      <c r="H40" s="2682">
        <v>1</v>
      </c>
      <c r="I40" s="2682">
        <v>-2.64</v>
      </c>
      <c r="J40" s="2682">
        <v>-2.5299999999999998</v>
      </c>
      <c r="K40" s="2682">
        <v>-3.02</v>
      </c>
      <c r="L40" s="2693">
        <v>1.52</v>
      </c>
      <c r="N40" s="2695">
        <f t="shared" si="30"/>
        <v>-2.64E-2</v>
      </c>
      <c r="O40" s="2696">
        <f t="shared" si="30"/>
        <v>-2.53E-2</v>
      </c>
      <c r="P40" s="2696">
        <f t="shared" si="30"/>
        <v>-3.0200000000000001E-2</v>
      </c>
      <c r="Q40" s="2696">
        <f t="shared" si="30"/>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2607</v>
      </c>
      <c r="B41" s="2722">
        <v>214</v>
      </c>
      <c r="C41" s="2722">
        <v>188</v>
      </c>
      <c r="D41" s="2722">
        <f t="shared" si="28"/>
        <v>188</v>
      </c>
      <c r="E41" s="2722">
        <v>289</v>
      </c>
      <c r="F41" s="2723">
        <v>166</v>
      </c>
      <c r="G41" s="3490">
        <v>2008</v>
      </c>
      <c r="H41" s="2698">
        <v>4</v>
      </c>
      <c r="I41" s="2698">
        <v>1.73</v>
      </c>
      <c r="J41" s="2698">
        <v>0.03</v>
      </c>
      <c r="K41" s="2698">
        <v>2.59</v>
      </c>
      <c r="L41" s="2699">
        <v>-1.66</v>
      </c>
      <c r="N41" s="2687">
        <f t="shared" si="30"/>
        <v>1.7299999999999999E-2</v>
      </c>
      <c r="O41" s="2688">
        <f t="shared" si="30"/>
        <v>2.9999999999999997E-4</v>
      </c>
      <c r="P41" s="2688">
        <f t="shared" si="30"/>
        <v>2.5899999999999999E-2</v>
      </c>
      <c r="Q41" s="2688">
        <f t="shared" si="30"/>
        <v>-1.66E-2</v>
      </c>
      <c r="R41" s="2689"/>
      <c r="S41" s="2690"/>
      <c r="T41" s="2691"/>
      <c r="U41" s="2691"/>
      <c r="V41" s="2691"/>
      <c r="X41" s="2691"/>
      <c r="Y41" s="2691"/>
      <c r="Z41" s="2691"/>
    </row>
    <row r="42" spans="1:26">
      <c r="A42" s="2678" t="s">
        <v>2608</v>
      </c>
      <c r="B42" s="2692">
        <f t="shared" ref="B42:C44" si="46">B41/(1+N41)</f>
        <v>210.36075887152265</v>
      </c>
      <c r="C42" s="2692">
        <f t="shared" si="46"/>
        <v>187.94361691492554</v>
      </c>
      <c r="D42" s="2692">
        <f t="shared" si="28"/>
        <v>187.94361691492554</v>
      </c>
      <c r="E42" s="2692">
        <f t="shared" ref="E42:F44" si="47">E41/(1+P41)</f>
        <v>281.70386977288234</v>
      </c>
      <c r="F42" s="2692">
        <f t="shared" si="47"/>
        <v>168.80211511083994</v>
      </c>
      <c r="G42" s="3491">
        <v>2008</v>
      </c>
      <c r="H42" s="2703">
        <v>3</v>
      </c>
      <c r="I42" s="2703">
        <v>1.96</v>
      </c>
      <c r="J42" s="2703">
        <v>2.36</v>
      </c>
      <c r="K42" s="2703">
        <v>1.82</v>
      </c>
      <c r="L42" s="2704">
        <v>2.2200000000000002</v>
      </c>
      <c r="N42" s="2687">
        <f t="shared" si="30"/>
        <v>1.9599999999999999E-2</v>
      </c>
      <c r="O42" s="2688">
        <f t="shared" si="30"/>
        <v>2.3599999999999999E-2</v>
      </c>
      <c r="P42" s="2688">
        <f t="shared" si="30"/>
        <v>1.8200000000000001E-2</v>
      </c>
      <c r="Q42" s="2688">
        <f t="shared" si="30"/>
        <v>2.2200000000000001E-2</v>
      </c>
      <c r="R42" s="2689"/>
      <c r="S42" s="2687"/>
      <c r="T42" s="2688"/>
      <c r="U42" s="2688"/>
      <c r="V42" s="2688"/>
    </row>
    <row r="43" spans="1:26">
      <c r="A43" s="2678" t="s">
        <v>2609</v>
      </c>
      <c r="B43" s="2692">
        <f t="shared" si="46"/>
        <v>206.31694671589116</v>
      </c>
      <c r="C43" s="2692">
        <f t="shared" si="46"/>
        <v>183.61041121036101</v>
      </c>
      <c r="D43" s="2692">
        <f t="shared" si="28"/>
        <v>183.61041121036101</v>
      </c>
      <c r="E43" s="2692">
        <f t="shared" si="47"/>
        <v>276.66850301795557</v>
      </c>
      <c r="F43" s="2692">
        <f t="shared" si="47"/>
        <v>165.1360938278614</v>
      </c>
      <c r="G43" s="3491">
        <v>2008</v>
      </c>
      <c r="H43" s="2683">
        <v>2</v>
      </c>
      <c r="I43" s="2683">
        <v>4.93</v>
      </c>
      <c r="J43" s="2683">
        <v>7.38</v>
      </c>
      <c r="K43" s="2683">
        <v>3.98</v>
      </c>
      <c r="L43" s="2694">
        <v>6.86</v>
      </c>
      <c r="N43" s="2687">
        <f t="shared" si="30"/>
        <v>4.9299999999999997E-2</v>
      </c>
      <c r="O43" s="2688">
        <f t="shared" si="30"/>
        <v>7.3800000000000004E-2</v>
      </c>
      <c r="P43" s="2688">
        <f t="shared" si="30"/>
        <v>3.9800000000000002E-2</v>
      </c>
      <c r="Q43" s="2688">
        <f t="shared" si="30"/>
        <v>6.8600000000000008E-2</v>
      </c>
      <c r="R43" s="2689"/>
      <c r="S43" s="2687"/>
      <c r="T43" s="2688"/>
      <c r="U43" s="2688"/>
      <c r="V43" s="2688"/>
    </row>
    <row r="44" spans="1:26" s="2728" customFormat="1" ht="13.5" thickBot="1">
      <c r="A44" s="2678" t="s">
        <v>2610</v>
      </c>
      <c r="B44" s="2725">
        <f t="shared" si="46"/>
        <v>196.62341248059772</v>
      </c>
      <c r="C44" s="2725">
        <f t="shared" si="46"/>
        <v>170.99125648199012</v>
      </c>
      <c r="D44" s="2725">
        <f t="shared" si="28"/>
        <v>170.99125648199012</v>
      </c>
      <c r="E44" s="2725">
        <f t="shared" si="47"/>
        <v>266.07857570490052</v>
      </c>
      <c r="F44" s="2725">
        <f t="shared" si="47"/>
        <v>154.53499328828505</v>
      </c>
      <c r="G44" s="3492">
        <v>2008</v>
      </c>
      <c r="H44" s="2726">
        <v>1</v>
      </c>
      <c r="I44" s="2726">
        <v>4.1399999999999997</v>
      </c>
      <c r="J44" s="2726">
        <v>3.45</v>
      </c>
      <c r="K44" s="2726">
        <v>4.95</v>
      </c>
      <c r="L44" s="2727">
        <v>4.82</v>
      </c>
      <c r="N44" s="2729">
        <f t="shared" si="30"/>
        <v>4.1399999999999999E-2</v>
      </c>
      <c r="O44" s="2730">
        <f t="shared" si="30"/>
        <v>3.4500000000000003E-2</v>
      </c>
      <c r="P44" s="2730">
        <f t="shared" si="30"/>
        <v>4.9500000000000002E-2</v>
      </c>
      <c r="Q44" s="2730">
        <f t="shared" si="30"/>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2611</v>
      </c>
      <c r="B45" s="2684">
        <v>188</v>
      </c>
      <c r="C45" s="2684">
        <v>165</v>
      </c>
      <c r="D45" s="2684">
        <f t="shared" si="28"/>
        <v>165</v>
      </c>
      <c r="E45" s="2684">
        <v>254</v>
      </c>
      <c r="F45" s="2685">
        <v>148</v>
      </c>
      <c r="G45" s="3490">
        <v>2007</v>
      </c>
      <c r="H45" s="2733">
        <v>4</v>
      </c>
      <c r="I45" s="2733">
        <v>5.51</v>
      </c>
      <c r="J45" s="2733">
        <v>4.8899999999999997</v>
      </c>
      <c r="K45" s="2733">
        <v>6.43</v>
      </c>
      <c r="L45" s="2734">
        <v>5.36</v>
      </c>
      <c r="N45" s="2735">
        <f t="shared" ref="N45:O48" si="48">B45/B46-1</f>
        <v>4.1339718365245526E-2</v>
      </c>
      <c r="O45" s="2736">
        <f t="shared" si="48"/>
        <v>4.0324492593776018E-2</v>
      </c>
      <c r="P45" s="2736">
        <f t="shared" ref="P45:Q48" si="49">E45/E46-1</f>
        <v>6.1625555347990968E-2</v>
      </c>
      <c r="Q45" s="2736">
        <f t="shared" si="49"/>
        <v>4.6757569250590603E-2</v>
      </c>
      <c r="R45" s="2689"/>
      <c r="S45" s="2690"/>
      <c r="T45" s="2691"/>
      <c r="U45" s="2691"/>
      <c r="V45" s="2691"/>
      <c r="X45" s="2691"/>
      <c r="Y45" s="2691"/>
      <c r="Z45" s="2691"/>
    </row>
    <row r="46" spans="1:26">
      <c r="A46" s="2678" t="s">
        <v>2612</v>
      </c>
      <c r="B46" s="2692">
        <f t="shared" ref="B46:C48" si="50">B47+(B$45-B$49)*I46/SUM(I$45:I$48)</f>
        <v>180.5366651097618</v>
      </c>
      <c r="C46" s="2692">
        <f t="shared" si="50"/>
        <v>158.60435967302453</v>
      </c>
      <c r="D46" s="2692">
        <f t="shared" si="28"/>
        <v>158.60435967302453</v>
      </c>
      <c r="E46" s="2692">
        <f t="shared" ref="E46:F48" si="51">E47+(E$45-E$49)*K46/SUM(K$45:K$48)</f>
        <v>239.25573260785075</v>
      </c>
      <c r="F46" s="2692">
        <f t="shared" si="51"/>
        <v>141.38899430740037</v>
      </c>
      <c r="G46" s="3491">
        <v>2007</v>
      </c>
      <c r="H46" s="2703">
        <v>3</v>
      </c>
      <c r="I46" s="2703">
        <v>8.65</v>
      </c>
      <c r="J46" s="2703">
        <v>8.06</v>
      </c>
      <c r="K46" s="2703">
        <v>9.94</v>
      </c>
      <c r="L46" s="2704">
        <v>5.8</v>
      </c>
      <c r="N46" s="2735">
        <f t="shared" si="48"/>
        <v>6.940217571740015E-2</v>
      </c>
      <c r="O46" s="2736">
        <f t="shared" si="48"/>
        <v>7.1197482471153428E-2</v>
      </c>
      <c r="P46" s="2736">
        <f t="shared" si="49"/>
        <v>0.10529679922579582</v>
      </c>
      <c r="Q46" s="2736">
        <f t="shared" si="49"/>
        <v>5.3292245059512133E-2</v>
      </c>
      <c r="R46" s="2689"/>
      <c r="S46" s="2687"/>
      <c r="T46" s="2688"/>
      <c r="U46" s="2688"/>
      <c r="V46" s="2688"/>
      <c r="X46" s="2737"/>
      <c r="Y46" s="2737"/>
      <c r="Z46" s="2737"/>
    </row>
    <row r="47" spans="1:26">
      <c r="A47" s="2678" t="s">
        <v>2613</v>
      </c>
      <c r="B47" s="2692">
        <f t="shared" si="50"/>
        <v>168.82017748715555</v>
      </c>
      <c r="C47" s="2692">
        <f t="shared" si="50"/>
        <v>148.06267029972753</v>
      </c>
      <c r="D47" s="2692">
        <f t="shared" si="28"/>
        <v>148.06267029972753</v>
      </c>
      <c r="E47" s="2692">
        <f t="shared" si="51"/>
        <v>216.46288379323747</v>
      </c>
      <c r="F47" s="2692">
        <f t="shared" si="51"/>
        <v>134.23529411764704</v>
      </c>
      <c r="G47" s="3491">
        <v>2007</v>
      </c>
      <c r="H47" s="2683">
        <v>2</v>
      </c>
      <c r="I47" s="2683">
        <v>3.67</v>
      </c>
      <c r="J47" s="2683">
        <v>2.3199999999999998</v>
      </c>
      <c r="K47" s="2683">
        <v>5.0199999999999996</v>
      </c>
      <c r="L47" s="2694">
        <v>6.71</v>
      </c>
      <c r="N47" s="2735">
        <f t="shared" si="48"/>
        <v>3.0339138143848032E-2</v>
      </c>
      <c r="O47" s="2736">
        <f t="shared" si="48"/>
        <v>2.0922341588790472E-2</v>
      </c>
      <c r="P47" s="2736">
        <f t="shared" si="49"/>
        <v>5.6164796592717003E-2</v>
      </c>
      <c r="Q47" s="2736">
        <f t="shared" si="49"/>
        <v>6.5704536723887319E-2</v>
      </c>
      <c r="R47" s="2689"/>
      <c r="S47" s="2687"/>
      <c r="T47" s="2688"/>
      <c r="U47" s="2688"/>
      <c r="V47" s="2688"/>
      <c r="X47" s="2737"/>
      <c r="Y47" s="2737"/>
      <c r="Z47" s="2737"/>
    </row>
    <row r="48" spans="1:26">
      <c r="A48" s="2678" t="s">
        <v>2614</v>
      </c>
      <c r="B48" s="2692">
        <f t="shared" si="50"/>
        <v>163.84913591779542</v>
      </c>
      <c r="C48" s="2692">
        <f t="shared" si="50"/>
        <v>145.0283378746594</v>
      </c>
      <c r="D48" s="2692">
        <f t="shared" si="28"/>
        <v>145.0283378746594</v>
      </c>
      <c r="E48" s="2692">
        <f t="shared" si="51"/>
        <v>204.95180722891567</v>
      </c>
      <c r="F48" s="2692">
        <f t="shared" si="51"/>
        <v>125.95920303605313</v>
      </c>
      <c r="G48" s="3492">
        <v>2007</v>
      </c>
      <c r="H48" s="2682">
        <v>1</v>
      </c>
      <c r="I48" s="2682">
        <v>3.58</v>
      </c>
      <c r="J48" s="2682">
        <v>3.08</v>
      </c>
      <c r="K48" s="2682">
        <v>4.34</v>
      </c>
      <c r="L48" s="2693">
        <v>3.21</v>
      </c>
      <c r="N48" s="2738">
        <f t="shared" si="48"/>
        <v>3.0497710174814063E-2</v>
      </c>
      <c r="O48" s="2739">
        <f t="shared" si="48"/>
        <v>2.8569772160704998E-2</v>
      </c>
      <c r="P48" s="2739">
        <f t="shared" si="49"/>
        <v>5.1034908866234296E-2</v>
      </c>
      <c r="Q48" s="2739">
        <f t="shared" si="49"/>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2615</v>
      </c>
      <c r="B49" s="2706">
        <v>159</v>
      </c>
      <c r="C49" s="2706">
        <v>141</v>
      </c>
      <c r="D49" s="2706">
        <f t="shared" si="28"/>
        <v>141</v>
      </c>
      <c r="E49" s="2706">
        <v>195</v>
      </c>
      <c r="F49" s="2707">
        <v>122</v>
      </c>
      <c r="G49" s="3490">
        <v>2006</v>
      </c>
      <c r="H49" s="2698">
        <v>4</v>
      </c>
      <c r="I49" s="2698">
        <v>3.79</v>
      </c>
      <c r="J49" s="2698">
        <v>2.21</v>
      </c>
      <c r="K49" s="2698">
        <v>5.65</v>
      </c>
      <c r="L49" s="2699">
        <v>5.41</v>
      </c>
      <c r="N49" s="2735">
        <f t="shared" ref="N49:O52" si="52">I49/SUM(I$49:I$52)*(B$49/B$53-1)</f>
        <v>7.245466462748526E-2</v>
      </c>
      <c r="O49" s="2736">
        <f t="shared" si="52"/>
        <v>2.3237230038062766E-2</v>
      </c>
      <c r="P49" s="2736">
        <f t="shared" ref="P49:Q52" si="53">K49/SUM(K$49:K$52)*(E$49/E$53-1)</f>
        <v>0.16146893866323722</v>
      </c>
      <c r="Q49" s="2736">
        <f t="shared" si="53"/>
        <v>5.0755230321793784E-2</v>
      </c>
      <c r="R49" s="2689"/>
      <c r="S49" s="2690"/>
      <c r="T49" s="2691"/>
      <c r="U49" s="2691"/>
      <c r="V49" s="2691"/>
      <c r="X49" s="2737"/>
      <c r="Y49" s="2737"/>
      <c r="Z49" s="2737"/>
    </row>
    <row r="50" spans="1:26">
      <c r="A50" s="2678" t="s">
        <v>2616</v>
      </c>
      <c r="B50" s="2692">
        <f t="shared" ref="B50:C52" si="54">B51+(B$49-B$53)*I50/SUM(I$49:I$52)</f>
        <v>149.00125628140702</v>
      </c>
      <c r="C50" s="2692">
        <f t="shared" si="54"/>
        <v>137.95592286501378</v>
      </c>
      <c r="D50" s="2692">
        <f t="shared" si="28"/>
        <v>137.95592286501378</v>
      </c>
      <c r="E50" s="2692">
        <f t="shared" ref="E50:F52" si="55">E51+(E$49-E$53)*K50/SUM(K$49:K$52)</f>
        <v>169.97231450719823</v>
      </c>
      <c r="F50" s="2692">
        <f t="shared" si="55"/>
        <v>116.21390374331551</v>
      </c>
      <c r="G50" s="3491">
        <v>2006</v>
      </c>
      <c r="H50" s="2703">
        <v>3</v>
      </c>
      <c r="I50" s="2703">
        <v>0.92</v>
      </c>
      <c r="J50" s="2703">
        <v>1.08</v>
      </c>
      <c r="K50" s="2703">
        <v>0.73</v>
      </c>
      <c r="L50" s="2704">
        <v>1.08</v>
      </c>
      <c r="N50" s="2735">
        <f t="shared" si="52"/>
        <v>1.7587939698492462E-2</v>
      </c>
      <c r="O50" s="2736">
        <f t="shared" si="52"/>
        <v>1.1355750425840628E-2</v>
      </c>
      <c r="P50" s="2736">
        <f t="shared" si="53"/>
        <v>2.0862358446754544E-2</v>
      </c>
      <c r="Q50" s="2736">
        <f t="shared" si="53"/>
        <v>1.0132282578103011E-2</v>
      </c>
      <c r="R50" s="2689"/>
      <c r="S50" s="2687"/>
      <c r="T50" s="2688"/>
      <c r="U50" s="2688"/>
      <c r="V50" s="2688"/>
      <c r="X50" s="2737"/>
      <c r="Y50" s="2737"/>
      <c r="Z50" s="2737"/>
    </row>
    <row r="51" spans="1:26">
      <c r="A51" s="2678" t="s">
        <v>2617</v>
      </c>
      <c r="B51" s="2692">
        <f t="shared" si="54"/>
        <v>146.57412060301507</v>
      </c>
      <c r="C51" s="2692">
        <f t="shared" si="54"/>
        <v>136.46831955922866</v>
      </c>
      <c r="D51" s="2692">
        <f t="shared" si="28"/>
        <v>136.46831955922866</v>
      </c>
      <c r="E51" s="2692">
        <f t="shared" si="55"/>
        <v>166.73864894795128</v>
      </c>
      <c r="F51" s="2692">
        <f t="shared" si="55"/>
        <v>115.05882352941177</v>
      </c>
      <c r="G51" s="3491">
        <v>2006</v>
      </c>
      <c r="H51" s="2683">
        <v>2</v>
      </c>
      <c r="I51" s="2683">
        <v>0.96</v>
      </c>
      <c r="J51" s="2683">
        <v>0.25</v>
      </c>
      <c r="K51" s="2683">
        <v>1.9</v>
      </c>
      <c r="L51" s="2694">
        <v>0.95</v>
      </c>
      <c r="N51" s="2735">
        <f t="shared" si="52"/>
        <v>1.8352632728861701E-2</v>
      </c>
      <c r="O51" s="2736">
        <f t="shared" si="52"/>
        <v>2.6286459319075526E-3</v>
      </c>
      <c r="P51" s="2736">
        <f t="shared" si="53"/>
        <v>5.4299289107991269E-2</v>
      </c>
      <c r="Q51" s="2736">
        <f t="shared" si="53"/>
        <v>8.9126559714794995E-3</v>
      </c>
      <c r="R51" s="2689"/>
      <c r="S51" s="2687"/>
      <c r="T51" s="2688"/>
      <c r="U51" s="2688"/>
      <c r="V51" s="2688"/>
      <c r="X51" s="2737"/>
      <c r="Y51" s="2737"/>
      <c r="Z51" s="2737"/>
    </row>
    <row r="52" spans="1:26">
      <c r="A52" s="2678" t="s">
        <v>2618</v>
      </c>
      <c r="B52" s="2692">
        <f t="shared" si="54"/>
        <v>144.04145728643215</v>
      </c>
      <c r="C52" s="2692">
        <f t="shared" si="54"/>
        <v>136.12396694214877</v>
      </c>
      <c r="D52" s="2692">
        <f t="shared" si="28"/>
        <v>136.12396694214877</v>
      </c>
      <c r="E52" s="2692">
        <f t="shared" si="55"/>
        <v>158.32225913621264</v>
      </c>
      <c r="F52" s="2692">
        <f t="shared" si="55"/>
        <v>114.04278074866311</v>
      </c>
      <c r="G52" s="3492">
        <v>2006</v>
      </c>
      <c r="H52" s="2682">
        <v>1</v>
      </c>
      <c r="I52" s="2682">
        <v>2.29</v>
      </c>
      <c r="J52" s="2682">
        <v>3.72</v>
      </c>
      <c r="K52" s="2682">
        <v>0.75</v>
      </c>
      <c r="L52" s="2693">
        <v>0.04</v>
      </c>
      <c r="N52" s="2738">
        <f t="shared" si="52"/>
        <v>4.3778675988638847E-2</v>
      </c>
      <c r="O52" s="2739">
        <f t="shared" si="52"/>
        <v>3.9114251466784385E-2</v>
      </c>
      <c r="P52" s="2739">
        <f t="shared" si="53"/>
        <v>2.1433929911049188E-2</v>
      </c>
      <c r="Q52" s="2739">
        <f t="shared" si="53"/>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2619</v>
      </c>
      <c r="B53" s="2706">
        <v>138</v>
      </c>
      <c r="C53" s="2706">
        <v>131</v>
      </c>
      <c r="D53" s="2706">
        <f t="shared" si="28"/>
        <v>131</v>
      </c>
      <c r="E53" s="2706">
        <v>155</v>
      </c>
      <c r="F53" s="2707">
        <v>114</v>
      </c>
      <c r="G53" s="3490">
        <v>2005</v>
      </c>
      <c r="H53" s="2698">
        <v>4</v>
      </c>
      <c r="I53" s="2698">
        <v>3.29</v>
      </c>
      <c r="J53" s="2698">
        <v>1.44</v>
      </c>
      <c r="K53" s="2698">
        <v>0.66</v>
      </c>
      <c r="L53" s="2699">
        <v>7.78</v>
      </c>
      <c r="N53" s="2735">
        <f t="shared" ref="N53:O56" si="56">I53/SUM(I$53:I$56)*(B$53/B$57-1)</f>
        <v>9.9404603216919935E-2</v>
      </c>
      <c r="O53" s="2736">
        <f t="shared" si="56"/>
        <v>4.7636550760861554E-2</v>
      </c>
      <c r="P53" s="2736">
        <f t="shared" ref="P53:Q56" si="57">K53/SUM(K$53:K$56)*(E$53/E$57-1)</f>
        <v>8.3756345177664976E-2</v>
      </c>
      <c r="Q53" s="2736">
        <f t="shared" si="57"/>
        <v>5.2148766661559584E-2</v>
      </c>
      <c r="R53" s="2689"/>
      <c r="S53" s="2690"/>
      <c r="T53" s="2691"/>
      <c r="U53" s="2691"/>
      <c r="V53" s="2691"/>
      <c r="X53" s="2737"/>
      <c r="Y53" s="2737"/>
      <c r="Z53" s="2737"/>
    </row>
    <row r="54" spans="1:26">
      <c r="A54" s="2678" t="s">
        <v>2620</v>
      </c>
      <c r="B54" s="2692">
        <f t="shared" ref="B54:C56" si="58">B55+(B$53-B$57)*I54/SUM(I$53:I$56)</f>
        <v>125.9720430107527</v>
      </c>
      <c r="C54" s="2692">
        <f t="shared" si="58"/>
        <v>125.1883408071749</v>
      </c>
      <c r="D54" s="2692">
        <f t="shared" si="28"/>
        <v>125.1883408071749</v>
      </c>
      <c r="E54" s="2692">
        <f t="shared" ref="E54:F56" si="59">E55+(E$53-E$57)*K54/SUM(K$53:K$56)</f>
        <v>144.61421319796952</v>
      </c>
      <c r="F54" s="2692">
        <f t="shared" si="59"/>
        <v>108.42008196721311</v>
      </c>
      <c r="G54" s="3491">
        <v>2005</v>
      </c>
      <c r="H54" s="2703">
        <v>3</v>
      </c>
      <c r="I54" s="2703">
        <v>0.46</v>
      </c>
      <c r="J54" s="2703">
        <v>0.32</v>
      </c>
      <c r="K54" s="2703">
        <v>0.42</v>
      </c>
      <c r="L54" s="2704">
        <v>0.64</v>
      </c>
      <c r="N54" s="2735">
        <f t="shared" si="56"/>
        <v>1.3898515951301874E-2</v>
      </c>
      <c r="O54" s="2736">
        <f t="shared" si="56"/>
        <v>1.0585900169080346E-2</v>
      </c>
      <c r="P54" s="2736">
        <f t="shared" si="57"/>
        <v>5.3299492385786795E-2</v>
      </c>
      <c r="Q54" s="2736">
        <f t="shared" si="57"/>
        <v>4.2898728359123568E-3</v>
      </c>
      <c r="R54" s="2689"/>
      <c r="S54" s="2687"/>
      <c r="T54" s="2688"/>
      <c r="U54" s="2688"/>
      <c r="V54" s="2688"/>
      <c r="X54" s="2737"/>
      <c r="Y54" s="2737"/>
      <c r="Z54" s="2737"/>
    </row>
    <row r="55" spans="1:26">
      <c r="A55" s="2678" t="s">
        <v>2621</v>
      </c>
      <c r="B55" s="2692">
        <f t="shared" si="58"/>
        <v>124.29032258064517</v>
      </c>
      <c r="C55" s="2692">
        <f t="shared" si="58"/>
        <v>123.8968609865471</v>
      </c>
      <c r="D55" s="2692">
        <f t="shared" si="28"/>
        <v>123.8968609865471</v>
      </c>
      <c r="E55" s="2692">
        <f t="shared" si="59"/>
        <v>138.00507614213197</v>
      </c>
      <c r="F55" s="2692">
        <f t="shared" si="59"/>
        <v>107.96106557377048</v>
      </c>
      <c r="G55" s="3491">
        <v>2005</v>
      </c>
      <c r="H55" s="2683">
        <v>2</v>
      </c>
      <c r="I55" s="2683">
        <v>0.47</v>
      </c>
      <c r="J55" s="2683">
        <v>0.1</v>
      </c>
      <c r="K55" s="2683">
        <v>0.52</v>
      </c>
      <c r="L55" s="2694">
        <v>0.79</v>
      </c>
      <c r="N55" s="2735">
        <f t="shared" si="56"/>
        <v>1.420065760241713E-2</v>
      </c>
      <c r="O55" s="2736">
        <f t="shared" si="56"/>
        <v>3.3080938028376083E-3</v>
      </c>
      <c r="P55" s="2736">
        <f t="shared" si="57"/>
        <v>6.598984771573603E-2</v>
      </c>
      <c r="Q55" s="2736">
        <f t="shared" si="57"/>
        <v>5.2953117818293153E-3</v>
      </c>
      <c r="R55" s="2689"/>
      <c r="S55" s="2687"/>
      <c r="T55" s="2688"/>
      <c r="U55" s="2688"/>
      <c r="V55" s="2688"/>
      <c r="X55" s="2737"/>
      <c r="Y55" s="2737"/>
      <c r="Z55" s="2737"/>
    </row>
    <row r="56" spans="1:26">
      <c r="A56" s="2678" t="s">
        <v>2622</v>
      </c>
      <c r="B56" s="2692">
        <f t="shared" si="58"/>
        <v>122.57204301075269</v>
      </c>
      <c r="C56" s="2692">
        <f t="shared" si="58"/>
        <v>123.4932735426009</v>
      </c>
      <c r="D56" s="2692">
        <f t="shared" si="28"/>
        <v>123.4932735426009</v>
      </c>
      <c r="E56" s="2692">
        <f t="shared" si="59"/>
        <v>129.82233502538071</v>
      </c>
      <c r="F56" s="2692">
        <f t="shared" si="59"/>
        <v>107.39446721311475</v>
      </c>
      <c r="G56" s="3492">
        <v>2005</v>
      </c>
      <c r="H56" s="2682">
        <v>1</v>
      </c>
      <c r="I56" s="2682">
        <v>0.43</v>
      </c>
      <c r="J56" s="2682">
        <v>0.37</v>
      </c>
      <c r="K56" s="2682">
        <v>0.37</v>
      </c>
      <c r="L56" s="2693">
        <v>0.55000000000000004</v>
      </c>
      <c r="N56" s="2738">
        <f t="shared" si="56"/>
        <v>1.2992090997956099E-2</v>
      </c>
      <c r="O56" s="2739">
        <f t="shared" si="56"/>
        <v>1.2239947070499151E-2</v>
      </c>
      <c r="P56" s="2739">
        <f t="shared" si="57"/>
        <v>4.6954314720812178E-2</v>
      </c>
      <c r="Q56" s="2739">
        <f t="shared" si="57"/>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2623</v>
      </c>
      <c r="B57" s="2722">
        <v>121</v>
      </c>
      <c r="C57" s="2722">
        <v>122</v>
      </c>
      <c r="D57" s="2722">
        <f t="shared" si="28"/>
        <v>122</v>
      </c>
      <c r="E57" s="2722">
        <v>124</v>
      </c>
      <c r="F57" s="2723">
        <v>107</v>
      </c>
      <c r="G57" s="3490">
        <v>2004</v>
      </c>
      <c r="H57" s="2698">
        <v>4</v>
      </c>
      <c r="I57" s="2698">
        <v>0.33</v>
      </c>
      <c r="J57" s="2698">
        <v>0.5</v>
      </c>
      <c r="K57" s="2698">
        <v>0.5</v>
      </c>
      <c r="L57" s="2699">
        <v>0</v>
      </c>
      <c r="N57" s="2735">
        <f t="shared" ref="N57:O60" si="60">I57/SUM(I$57:I$60)*(B$57/B$61-1)</f>
        <v>1.3391770148526898E-2</v>
      </c>
      <c r="O57" s="2736">
        <f t="shared" si="60"/>
        <v>1.063264221158958E-2</v>
      </c>
      <c r="P57" s="2736">
        <f t="shared" ref="P57:Q60" si="61">K57/SUM(K$57:K$60)*(E$57/E$61-1)</f>
        <v>2.2244466688911134E-2</v>
      </c>
      <c r="Q57" s="2736">
        <f t="shared" si="61"/>
        <v>0</v>
      </c>
      <c r="R57" s="2689"/>
      <c r="S57" s="2690"/>
      <c r="T57" s="2691"/>
      <c r="U57" s="2691"/>
      <c r="V57" s="2691"/>
      <c r="X57" s="2737"/>
      <c r="Y57" s="2737"/>
      <c r="Z57" s="2737"/>
    </row>
    <row r="58" spans="1:26">
      <c r="A58" s="2678" t="s">
        <v>2624</v>
      </c>
      <c r="B58" s="2692">
        <f t="shared" ref="B58:C60" si="62">B59+(B$57-B$61)*I58/SUM(I$57:I$60)</f>
        <v>119.51351351351352</v>
      </c>
      <c r="C58" s="2692">
        <f t="shared" si="62"/>
        <v>120.7878787878788</v>
      </c>
      <c r="D58" s="2692">
        <f t="shared" si="28"/>
        <v>120.7878787878788</v>
      </c>
      <c r="E58" s="2692">
        <f t="shared" ref="E58:F60" si="63">E59+(E$57-E$61)*K58/SUM(K$57:K$60)</f>
        <v>121.5975975975976</v>
      </c>
      <c r="F58" s="2692">
        <f t="shared" si="63"/>
        <v>107</v>
      </c>
      <c r="G58" s="3491">
        <v>2004</v>
      </c>
      <c r="H58" s="2703">
        <v>3</v>
      </c>
      <c r="I58" s="2703">
        <v>0.56000000000000005</v>
      </c>
      <c r="J58" s="2703">
        <v>0.8</v>
      </c>
      <c r="K58" s="2703">
        <v>0.83</v>
      </c>
      <c r="L58" s="2704">
        <v>0.06</v>
      </c>
      <c r="N58" s="2735">
        <f t="shared" si="60"/>
        <v>2.2725428130833527E-2</v>
      </c>
      <c r="O58" s="2736">
        <f t="shared" si="60"/>
        <v>1.7012227538543329E-2</v>
      </c>
      <c r="P58" s="2736">
        <f t="shared" si="61"/>
        <v>3.6925814703592477E-2</v>
      </c>
      <c r="Q58" s="2736">
        <f t="shared" si="61"/>
        <v>2.8846153846153744E-2</v>
      </c>
      <c r="R58" s="2689"/>
      <c r="S58" s="2687"/>
      <c r="T58" s="2688"/>
      <c r="U58" s="2688"/>
      <c r="V58" s="2688"/>
      <c r="X58" s="2737"/>
      <c r="Y58" s="2737"/>
      <c r="Z58" s="2737"/>
    </row>
    <row r="59" spans="1:26">
      <c r="A59" s="2678" t="s">
        <v>2625</v>
      </c>
      <c r="B59" s="2692">
        <f t="shared" si="62"/>
        <v>116.99099099099099</v>
      </c>
      <c r="C59" s="2692">
        <f t="shared" si="62"/>
        <v>118.84848484848486</v>
      </c>
      <c r="D59" s="2692">
        <f t="shared" si="28"/>
        <v>118.84848484848486</v>
      </c>
      <c r="E59" s="2692">
        <f t="shared" si="63"/>
        <v>117.60960960960961</v>
      </c>
      <c r="F59" s="2692">
        <f t="shared" si="63"/>
        <v>104</v>
      </c>
      <c r="G59" s="3491">
        <v>2004</v>
      </c>
      <c r="H59" s="2683">
        <v>2</v>
      </c>
      <c r="I59" s="2683">
        <v>1</v>
      </c>
      <c r="J59" s="2683">
        <v>1.5</v>
      </c>
      <c r="K59" s="2683">
        <v>1.5</v>
      </c>
      <c r="L59" s="2694">
        <v>0</v>
      </c>
      <c r="N59" s="2735">
        <f t="shared" si="60"/>
        <v>4.0581121662202721E-2</v>
      </c>
      <c r="O59" s="2736">
        <f t="shared" si="60"/>
        <v>3.1897926634768738E-2</v>
      </c>
      <c r="P59" s="2736">
        <f t="shared" si="61"/>
        <v>6.6733400066733395E-2</v>
      </c>
      <c r="Q59" s="2736">
        <f t="shared" si="61"/>
        <v>0</v>
      </c>
      <c r="R59" s="2689"/>
      <c r="S59" s="2687"/>
      <c r="T59" s="2688"/>
      <c r="U59" s="2688"/>
      <c r="V59" s="2688"/>
      <c r="X59" s="2737"/>
      <c r="Y59" s="2737"/>
      <c r="Z59" s="2737"/>
    </row>
    <row r="60" spans="1:26" s="2728" customFormat="1" ht="13.5" thickBot="1">
      <c r="A60" s="2678" t="s">
        <v>2626</v>
      </c>
      <c r="B60" s="2725">
        <f t="shared" si="62"/>
        <v>112.48648648648648</v>
      </c>
      <c r="C60" s="2725">
        <f t="shared" si="62"/>
        <v>115.21212121212122</v>
      </c>
      <c r="D60" s="2725">
        <f t="shared" si="28"/>
        <v>115.21212121212122</v>
      </c>
      <c r="E60" s="2725">
        <f t="shared" si="63"/>
        <v>110.4024024024024</v>
      </c>
      <c r="F60" s="2725">
        <f t="shared" si="63"/>
        <v>104</v>
      </c>
      <c r="G60" s="3492">
        <v>2004</v>
      </c>
      <c r="H60" s="2726">
        <v>1</v>
      </c>
      <c r="I60" s="2726">
        <v>0.33</v>
      </c>
      <c r="J60" s="2726">
        <v>0.5</v>
      </c>
      <c r="K60" s="2726">
        <v>0.5</v>
      </c>
      <c r="L60" s="2727">
        <v>0</v>
      </c>
      <c r="N60" s="2740">
        <f t="shared" si="60"/>
        <v>1.3391770148526898E-2</v>
      </c>
      <c r="O60" s="2741">
        <f t="shared" si="60"/>
        <v>1.063264221158958E-2</v>
      </c>
      <c r="P60" s="2741">
        <f t="shared" si="61"/>
        <v>2.2244466688911134E-2</v>
      </c>
      <c r="Q60" s="2741">
        <f t="shared" si="61"/>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2627</v>
      </c>
      <c r="B61" s="2743">
        <v>111</v>
      </c>
      <c r="C61" s="2743">
        <v>114</v>
      </c>
      <c r="D61" s="2743">
        <f t="shared" si="28"/>
        <v>114</v>
      </c>
      <c r="E61" s="2743">
        <v>108</v>
      </c>
      <c r="F61" s="2744">
        <v>104</v>
      </c>
      <c r="G61" s="3490">
        <v>2003</v>
      </c>
      <c r="H61" s="2733">
        <v>4</v>
      </c>
      <c r="I61" s="2745"/>
      <c r="J61" s="2745"/>
      <c r="K61" s="2745"/>
      <c r="L61" s="2745"/>
      <c r="N61" s="2746"/>
      <c r="O61" s="2745"/>
      <c r="P61" s="2745"/>
      <c r="Q61" s="2745"/>
      <c r="S61" s="2746"/>
      <c r="T61" s="2745"/>
      <c r="U61" s="2745"/>
      <c r="V61" s="2745"/>
      <c r="X61" s="2737"/>
      <c r="Y61" s="2737"/>
      <c r="Z61" s="2737"/>
    </row>
    <row r="62" spans="1:26">
      <c r="A62" s="2678" t="s">
        <v>2628</v>
      </c>
      <c r="B62" s="2747">
        <f t="shared" ref="B62:C64" si="64">B63+(B$61-B$65)/4</f>
        <v>109.75</v>
      </c>
      <c r="C62" s="2747">
        <f t="shared" si="64"/>
        <v>112.25</v>
      </c>
      <c r="D62" s="2747">
        <f t="shared" si="28"/>
        <v>112.25</v>
      </c>
      <c r="E62" s="2747">
        <f t="shared" ref="E62:F64" si="65">E63+(E$61-E$65)/4</f>
        <v>107.25</v>
      </c>
      <c r="F62" s="2747">
        <f t="shared" si="65"/>
        <v>103.5</v>
      </c>
      <c r="G62" s="3491">
        <v>2003</v>
      </c>
      <c r="H62" s="2703">
        <v>3</v>
      </c>
      <c r="I62" s="2745"/>
      <c r="J62" s="2745"/>
      <c r="K62" s="2745"/>
      <c r="L62" s="2745"/>
      <c r="X62" s="2737"/>
      <c r="Y62" s="2737"/>
      <c r="Z62" s="2737"/>
    </row>
    <row r="63" spans="1:26">
      <c r="A63" s="2678" t="s">
        <v>2629</v>
      </c>
      <c r="B63" s="2747">
        <f t="shared" si="64"/>
        <v>108.5</v>
      </c>
      <c r="C63" s="2747">
        <f t="shared" si="64"/>
        <v>110.5</v>
      </c>
      <c r="D63" s="2747">
        <f t="shared" si="28"/>
        <v>110.5</v>
      </c>
      <c r="E63" s="2747">
        <f t="shared" si="65"/>
        <v>106.5</v>
      </c>
      <c r="F63" s="2747">
        <f t="shared" si="65"/>
        <v>103</v>
      </c>
      <c r="G63" s="3491">
        <v>2003</v>
      </c>
      <c r="H63" s="2683">
        <v>2</v>
      </c>
      <c r="I63" s="2745"/>
      <c r="J63" s="2745"/>
      <c r="K63" s="2745"/>
      <c r="L63" s="2745"/>
      <c r="X63" s="2737"/>
      <c r="Y63" s="2737"/>
      <c r="Z63" s="2737"/>
    </row>
    <row r="64" spans="1:26" ht="13.5" thickBot="1">
      <c r="A64" s="2678" t="s">
        <v>2630</v>
      </c>
      <c r="B64" s="2747">
        <f t="shared" si="64"/>
        <v>107.25</v>
      </c>
      <c r="C64" s="2747">
        <f t="shared" si="64"/>
        <v>108.75</v>
      </c>
      <c r="D64" s="2747">
        <f t="shared" si="28"/>
        <v>108.75</v>
      </c>
      <c r="E64" s="2747">
        <f t="shared" si="65"/>
        <v>105.75</v>
      </c>
      <c r="F64" s="2747">
        <f t="shared" si="65"/>
        <v>102.5</v>
      </c>
      <c r="G64" s="3492">
        <v>2003</v>
      </c>
      <c r="H64" s="2748">
        <v>1</v>
      </c>
      <c r="I64" s="2745"/>
      <c r="J64" s="2745"/>
      <c r="K64" s="2745"/>
      <c r="L64" s="2745"/>
      <c r="S64" s="2687"/>
      <c r="T64" s="2688"/>
      <c r="U64" s="2688"/>
      <c r="X64" s="2737"/>
      <c r="Y64" s="2737"/>
      <c r="Z64" s="2737"/>
    </row>
    <row r="65" spans="1:26" ht="13.5" thickBot="1">
      <c r="A65" s="2678" t="s">
        <v>2631</v>
      </c>
      <c r="B65" s="2749">
        <v>106</v>
      </c>
      <c r="C65" s="2749">
        <v>107</v>
      </c>
      <c r="D65" s="2749">
        <f t="shared" si="28"/>
        <v>107</v>
      </c>
      <c r="E65" s="2749">
        <v>105</v>
      </c>
      <c r="F65" s="2750">
        <v>102</v>
      </c>
      <c r="G65" s="3490">
        <v>2002</v>
      </c>
      <c r="H65" s="2698">
        <v>4</v>
      </c>
      <c r="I65" s="2745"/>
      <c r="J65" s="2745"/>
      <c r="K65" s="2745"/>
      <c r="L65" s="2745"/>
      <c r="N65" s="2746"/>
      <c r="O65" s="2745"/>
      <c r="P65" s="2745"/>
      <c r="Q65" s="2745"/>
      <c r="S65" s="2746"/>
      <c r="T65" s="2745"/>
      <c r="U65" s="2745"/>
      <c r="V65" s="2745"/>
      <c r="X65" s="2737"/>
      <c r="Y65" s="2737"/>
      <c r="Z65" s="2737"/>
    </row>
    <row r="66" spans="1:26">
      <c r="A66" s="2678" t="s">
        <v>2632</v>
      </c>
      <c r="B66" s="2747">
        <f t="shared" ref="B66:C68" si="66">B67+(B$65-B$69)/4</f>
        <v>105</v>
      </c>
      <c r="C66" s="2747">
        <f t="shared" si="66"/>
        <v>106</v>
      </c>
      <c r="D66" s="2747">
        <f t="shared" si="28"/>
        <v>106</v>
      </c>
      <c r="E66" s="2747">
        <f t="shared" ref="E66:F68" si="67">E67+(E$65-E$69)/4</f>
        <v>104.5</v>
      </c>
      <c r="F66" s="2747">
        <f t="shared" si="67"/>
        <v>101.5</v>
      </c>
      <c r="G66" s="3491">
        <v>2002</v>
      </c>
      <c r="H66" s="2703">
        <v>3</v>
      </c>
      <c r="I66" s="2745"/>
      <c r="J66" s="2745"/>
      <c r="K66" s="2745"/>
      <c r="L66" s="2745"/>
      <c r="X66" s="2737"/>
      <c r="Y66" s="2737"/>
      <c r="Z66" s="2737"/>
    </row>
    <row r="67" spans="1:26">
      <c r="A67" s="2678" t="s">
        <v>2633</v>
      </c>
      <c r="B67" s="2747">
        <f t="shared" si="66"/>
        <v>104</v>
      </c>
      <c r="C67" s="2747">
        <f t="shared" si="66"/>
        <v>105</v>
      </c>
      <c r="D67" s="2747">
        <f t="shared" si="28"/>
        <v>105</v>
      </c>
      <c r="E67" s="2747">
        <f t="shared" si="67"/>
        <v>104</v>
      </c>
      <c r="F67" s="2747">
        <f t="shared" si="67"/>
        <v>101</v>
      </c>
      <c r="G67" s="3491">
        <v>2002</v>
      </c>
      <c r="H67" s="2683">
        <v>2</v>
      </c>
      <c r="I67" s="2745"/>
      <c r="J67" s="2745"/>
      <c r="K67" s="2745"/>
      <c r="L67" s="2745"/>
      <c r="X67" s="2737"/>
      <c r="Y67" s="2737"/>
      <c r="Z67" s="2737"/>
    </row>
    <row r="68" spans="1:26" s="2714" customFormat="1" ht="13.5" thickBot="1">
      <c r="A68" s="2710" t="s">
        <v>2634</v>
      </c>
      <c r="B68" s="2751">
        <f t="shared" si="66"/>
        <v>103</v>
      </c>
      <c r="C68" s="2751">
        <f t="shared" si="66"/>
        <v>104</v>
      </c>
      <c r="D68" s="2751">
        <f t="shared" si="28"/>
        <v>104</v>
      </c>
      <c r="E68" s="2751">
        <f t="shared" si="67"/>
        <v>103.5</v>
      </c>
      <c r="F68" s="2751">
        <f t="shared" si="67"/>
        <v>100.5</v>
      </c>
      <c r="G68" s="3492">
        <v>2002</v>
      </c>
      <c r="H68" s="2752">
        <v>1</v>
      </c>
      <c r="I68" s="2753"/>
      <c r="J68" s="2753"/>
      <c r="K68" s="2753"/>
      <c r="L68" s="2753"/>
      <c r="N68" s="2754"/>
      <c r="S68" s="2754"/>
      <c r="X68" s="2755"/>
      <c r="Y68" s="2755"/>
      <c r="Z68" s="2755"/>
    </row>
    <row r="69" spans="1:26" ht="13.5" thickBot="1">
      <c r="B69" s="2756">
        <v>102</v>
      </c>
      <c r="C69" s="2757">
        <v>103</v>
      </c>
      <c r="D69" s="2757">
        <f t="shared" si="28"/>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2635</v>
      </c>
      <c r="G71" s="2761"/>
      <c r="N71" s="2761"/>
      <c r="S71" s="2761"/>
    </row>
    <row r="72" spans="1:26" s="2760" customFormat="1">
      <c r="A72" s="2760" t="s">
        <v>2636</v>
      </c>
      <c r="G72" s="2761"/>
      <c r="N72" s="2761"/>
      <c r="S72" s="2761"/>
    </row>
    <row r="73" spans="1:26" s="2760" customFormat="1">
      <c r="A73" s="2760" t="s">
        <v>2637</v>
      </c>
      <c r="G73" s="2761"/>
      <c r="I73" s="2762"/>
      <c r="J73" s="2762"/>
      <c r="K73" s="2762"/>
      <c r="L73" s="2762"/>
      <c r="N73" s="2763"/>
      <c r="O73" s="2762"/>
      <c r="P73" s="2762"/>
      <c r="Q73" s="2762"/>
      <c r="S73" s="2763"/>
      <c r="T73" s="2762"/>
      <c r="U73" s="2762"/>
      <c r="V73" s="2762"/>
    </row>
    <row r="74" spans="1:26" s="2760" customFormat="1">
      <c r="A74" s="2760" t="s">
        <v>2638</v>
      </c>
      <c r="G74" s="2761"/>
      <c r="N74" s="2761"/>
      <c r="S74" s="2761"/>
    </row>
    <row r="81" spans="7:22" ht="13.5" thickBot="1"/>
    <row r="82" spans="7:22">
      <c r="G82" s="2686"/>
      <c r="S82" s="2764" t="s">
        <v>2639</v>
      </c>
      <c r="T82" s="2765" t="s">
        <v>2640</v>
      </c>
      <c r="U82" s="2765" t="s">
        <v>2641</v>
      </c>
      <c r="V82" s="2765" t="s">
        <v>2642</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四川峨眉山宏远实业有限公司：</v>
      </c>
    </row>
    <row r="4" spans="1:4" ht="37.5">
      <c r="A4" s="1790" t="str">
        <f>"受贵公司委托，我公司对"&amp;项目基本情况!K2&amp;项目基本情况!B9&amp;"进行了预评估。"</f>
        <v>受贵公司委托，我公司对四川省峨眉山市峨山镇保宁村2宗住宅、商业出让国有建设用地使用权抵押价格进行了预评估。</v>
      </c>
    </row>
    <row r="5" spans="1:4" ht="18.75">
      <c r="A5" s="1793" t="s">
        <v>1907</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峨眉山市峨山镇保宁村2宗住宅、商业出让国有建设用地使用权。根据《国有土地使用证》[峨眉国用（2014）第73369、73373、86590号]，估价对象（分摊）出让国有建设用地使用权面积为87492平方米。根据《国有建设用地使用权出让合同》[电子监管号：]及附件，估价对象规划建筑面积为104990.4平方米。</v>
      </c>
    </row>
    <row r="7" spans="1:4" ht="56.25">
      <c r="A7" s="1794" t="s">
        <v>2752</v>
      </c>
    </row>
    <row r="8" spans="1:4" ht="18.75">
      <c r="A8" s="1793" t="s">
        <v>1908</v>
      </c>
    </row>
    <row r="9" spans="1:4" ht="56.25">
      <c r="A9" s="1795"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2028</v>
      </c>
    </row>
    <row r="11" spans="1:4" ht="18.75">
      <c r="A11" s="1779" t="str">
        <f>TEXT(项目基本情况!D3,"yyyy年m月d日;;")&amp;IF(项目基本情况!B3=项目基本情况!D3,"（评估专业人员勘察现场之日）","")</f>
        <v>2018年1月4日（评估专业人员勘察现场之日）</v>
      </c>
    </row>
    <row r="12" spans="1:4" ht="18.75">
      <c r="A12" s="1796" t="s">
        <v>2027</v>
      </c>
    </row>
    <row r="13" spans="1:4" ht="18.75">
      <c r="A13" s="1790" t="s">
        <v>2946</v>
      </c>
    </row>
    <row r="14" spans="1:4" ht="37.5">
      <c r="A14" s="1790" t="str">
        <f>"根据"&amp;项目基本情况!F12&amp;"，本次评估估价对象证载（地类）用途为"&amp;项目基本情况!B12&amp;"。"</f>
        <v>根据《国有土地使用证》[峨眉国用（2012）第57823、57824号]，本次评估估价对象证载（地类）用途为商住。</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宗地内有需要移除的树木。</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本次评估设定土地开发程度为红线外市政基础设施达“七通”、宗地红线内场地平整。估价结果未扣除树木移除的费用。</v>
      </c>
    </row>
    <row r="19" spans="1:1" ht="18.75">
      <c r="A19" s="1790" t="s">
        <v>2075</v>
      </c>
    </row>
    <row r="20" spans="1:1" ht="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峨眉国用（2014）第73369、73373、86590号]，估价对象（分摊）出让国有建设用地使用权面积为87492平方米。根据《国有建设用地使用权出让合同》[电子监管号：]及附件，估价对象规划建筑面积为104990.4平方米。</v>
      </c>
    </row>
    <row r="21" spans="1:1" ht="18.75">
      <c r="A21" s="1790" t="s">
        <v>2076</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峨眉国用（2012）第57823、57824号]证载土地终止日期为住宅2084年5月23日、商业2054年5月23日。截至估价期日，出让国有建设用地使用权剩余土地使用年限为住宅66.4年，商业36.4年。</v>
      </c>
    </row>
    <row r="23" spans="1:1" ht="18.75">
      <c r="A23" s="1790" t="str">
        <f>IF(项目基本情况!B16="出让","本次评估设定估价对象剩余土地使用年限为"&amp;项目基本情况!D20&amp;"。","")</f>
        <v>本次评估设定估价对象剩余土地使用年限为住宅66.4年，商业36.4年。</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2018年1月4日，在规划利用条件下、设定土地开发程度为红线外“七通”、宗地内场地平整，设定用途为住宅、商业，剩余土地使用年限为住宅66.4年，商业36.4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F27" sqref="F2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5" t="s">
        <v>720</v>
      </c>
      <c r="C1" s="2646" t="s">
        <v>721</v>
      </c>
      <c r="D1" s="2647" t="s">
        <v>3134</v>
      </c>
      <c r="E1" s="2648"/>
      <c r="F1" s="2831" t="s">
        <v>3186</v>
      </c>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4">
        <f>ROUND(B3*D3/10000,0)</f>
        <v>113934</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1" customFormat="1" ht="28.5" customHeight="1" thickBot="1">
      <c r="A3" s="508" t="s">
        <v>520</v>
      </c>
      <c r="B3" s="850">
        <f>C49</f>
        <v>11423</v>
      </c>
      <c r="C3" s="851" t="s">
        <v>723</v>
      </c>
      <c r="D3" s="850">
        <f>SUMIF('数据-汇总表'!$C19:$C33,D1,'数据-汇总表'!$E19:$E33)</f>
        <v>99740.88</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1" t="s">
        <v>522</v>
      </c>
      <c r="B4" s="512"/>
      <c r="C4" s="3424" t="s">
        <v>523</v>
      </c>
      <c r="D4" s="3425"/>
      <c r="E4" s="3450" t="s">
        <v>524</v>
      </c>
      <c r="F4" s="3451"/>
      <c r="G4" s="3424" t="s">
        <v>525</v>
      </c>
      <c r="H4" s="3425"/>
      <c r="I4" s="3424" t="s">
        <v>526</v>
      </c>
      <c r="J4" s="3425"/>
      <c r="K4" s="852" t="s">
        <v>527</v>
      </c>
      <c r="L4" s="2131"/>
      <c r="M4" s="2132"/>
      <c r="N4" s="2132"/>
      <c r="O4" s="2132"/>
      <c r="P4" s="3426" t="s">
        <v>528</v>
      </c>
      <c r="Q4" s="3427"/>
      <c r="R4" s="3412" t="s">
        <v>524</v>
      </c>
      <c r="S4" s="3413"/>
      <c r="T4" s="3412" t="s">
        <v>525</v>
      </c>
      <c r="U4" s="3413"/>
      <c r="V4" s="3432" t="s">
        <v>526</v>
      </c>
      <c r="W4" s="3432"/>
      <c r="X4" s="1566"/>
      <c r="Y4" s="3412" t="s">
        <v>528</v>
      </c>
      <c r="Z4" s="3413"/>
      <c r="AA4" s="3407" t="s">
        <v>524</v>
      </c>
      <c r="AB4" s="3407" t="s">
        <v>525</v>
      </c>
      <c r="AC4" s="3407" t="s">
        <v>526</v>
      </c>
    </row>
    <row r="5" spans="1:29" ht="15" customHeight="1">
      <c r="A5" s="514"/>
      <c r="B5" s="515"/>
      <c r="C5" s="3437" t="s">
        <v>2932</v>
      </c>
      <c r="D5" s="3436"/>
      <c r="E5" s="3497" t="s">
        <v>3243</v>
      </c>
      <c r="F5" s="3453"/>
      <c r="G5" s="3435" t="s">
        <v>3228</v>
      </c>
      <c r="H5" s="3436"/>
      <c r="I5" s="3435" t="s">
        <v>3231</v>
      </c>
      <c r="J5" s="3436"/>
      <c r="K5" s="853"/>
      <c r="L5" s="2131"/>
      <c r="M5" s="2132"/>
      <c r="N5" s="2132"/>
      <c r="O5" s="2132"/>
      <c r="P5" s="3428"/>
      <c r="Q5" s="3429"/>
      <c r="R5" s="3414"/>
      <c r="S5" s="3415"/>
      <c r="T5" s="3414"/>
      <c r="U5" s="3415"/>
      <c r="V5" s="3432"/>
      <c r="W5" s="3432"/>
      <c r="X5" s="1566"/>
      <c r="Y5" s="3414"/>
      <c r="Z5" s="3415"/>
      <c r="AA5" s="3408"/>
      <c r="AB5" s="3408"/>
      <c r="AC5" s="3408"/>
    </row>
    <row r="6" spans="1:29" ht="15.75" customHeight="1" thickBot="1">
      <c r="A6" s="516"/>
      <c r="B6" s="517"/>
      <c r="C6" s="3454" t="s">
        <v>2936</v>
      </c>
      <c r="D6" s="3434"/>
      <c r="E6" s="3498" t="s">
        <v>3244</v>
      </c>
      <c r="F6" s="3456"/>
      <c r="G6" s="3433" t="s">
        <v>3229</v>
      </c>
      <c r="H6" s="3434"/>
      <c r="I6" s="3433" t="s">
        <v>3230</v>
      </c>
      <c r="J6" s="3434"/>
      <c r="K6" s="853" t="s">
        <v>529</v>
      </c>
      <c r="L6" s="2131"/>
      <c r="M6" s="2132"/>
      <c r="N6" s="2132"/>
      <c r="O6" s="2132"/>
      <c r="P6" s="3430"/>
      <c r="Q6" s="3431"/>
      <c r="R6" s="3414"/>
      <c r="S6" s="3415"/>
      <c r="T6" s="3416"/>
      <c r="U6" s="3417"/>
      <c r="V6" s="3432"/>
      <c r="W6" s="3432"/>
      <c r="X6" s="1566"/>
      <c r="Y6" s="3416"/>
      <c r="Z6" s="3417"/>
      <c r="AA6" s="3409"/>
      <c r="AB6" s="3409"/>
      <c r="AC6" s="3409"/>
    </row>
    <row r="7" spans="1:29" s="1219" customFormat="1" ht="15.75" thickBot="1">
      <c r="A7" s="2936"/>
      <c r="B7" s="2943" t="s">
        <v>530</v>
      </c>
      <c r="C7" s="518">
        <f>'数据-取费表'!B2</f>
        <v>43104</v>
      </c>
      <c r="D7" s="519">
        <v>100</v>
      </c>
      <c r="E7" s="520">
        <v>43101</v>
      </c>
      <c r="F7" s="521">
        <f>SUMIF(58:58,YEAR(E7)&amp;"-"&amp;MONTH(E7),59:59)</f>
        <v>100</v>
      </c>
      <c r="G7" s="522">
        <f>E7</f>
        <v>43101</v>
      </c>
      <c r="H7" s="519">
        <f>SUMIF(58:58,YEAR(G7)&amp;"-"&amp;MONTH(G7),59:59)</f>
        <v>100</v>
      </c>
      <c r="I7" s="522">
        <f>E7</f>
        <v>43101</v>
      </c>
      <c r="J7" s="519">
        <f>SUMIF(58:58,YEAR(I7)&amp;"-"&amp;MONTH(I7),59:59)</f>
        <v>100</v>
      </c>
      <c r="K7" s="854"/>
      <c r="L7" s="2133"/>
      <c r="M7" s="2134"/>
      <c r="N7" s="2134"/>
      <c r="O7" s="2134"/>
      <c r="P7" s="3410" t="s">
        <v>531</v>
      </c>
      <c r="Q7" s="3419"/>
      <c r="R7" s="1567" t="s">
        <v>13</v>
      </c>
      <c r="S7" s="1568">
        <f t="shared" ref="S7:S15" si="0">F7</f>
        <v>100</v>
      </c>
      <c r="T7" s="1567" t="s">
        <v>13</v>
      </c>
      <c r="U7" s="1568">
        <f t="shared" ref="U7:U15" si="1">H7</f>
        <v>100</v>
      </c>
      <c r="V7" s="1567" t="s">
        <v>13</v>
      </c>
      <c r="W7" s="1568">
        <f t="shared" ref="W7:W15" si="2">J7</f>
        <v>100</v>
      </c>
      <c r="X7" s="1569"/>
      <c r="Y7" s="3410" t="s">
        <v>531</v>
      </c>
      <c r="Z7" s="3411"/>
      <c r="AA7" s="1570">
        <f>D7/F7</f>
        <v>1</v>
      </c>
      <c r="AB7" s="1570">
        <f>D7/H7</f>
        <v>1</v>
      </c>
      <c r="AC7" s="1570">
        <f>D7/J7</f>
        <v>1</v>
      </c>
    </row>
    <row r="8" spans="1:29" s="1219" customFormat="1" ht="15.75" thickBot="1">
      <c r="A8" s="2937"/>
      <c r="B8" s="2944" t="s">
        <v>532</v>
      </c>
      <c r="C8" s="524" t="s">
        <v>577</v>
      </c>
      <c r="D8" s="519">
        <v>100</v>
      </c>
      <c r="E8" s="855" t="s">
        <v>3145</v>
      </c>
      <c r="F8" s="521">
        <f>SUMIF(61:61,E8,62:62)-SUMIF(61:61,C8,62:62)+100</f>
        <v>100</v>
      </c>
      <c r="G8" s="524" t="s">
        <v>3145</v>
      </c>
      <c r="H8" s="519">
        <f>SUMIF(61:61,G8,62:62)-SUMIF(61:61,C8,62:62)+100</f>
        <v>100</v>
      </c>
      <c r="I8" s="855" t="s">
        <v>3145</v>
      </c>
      <c r="J8" s="519">
        <f>SUMIF(61:61,I8,62:62)-SUMIF(61:61,C8,62:62)+100</f>
        <v>100</v>
      </c>
      <c r="K8" s="854"/>
      <c r="L8" s="2133"/>
      <c r="M8" s="2134"/>
      <c r="N8" s="2134"/>
      <c r="O8" s="2134"/>
      <c r="P8" s="3410" t="s">
        <v>534</v>
      </c>
      <c r="Q8" s="3411"/>
      <c r="R8" s="1567" t="s">
        <v>13</v>
      </c>
      <c r="S8" s="1568">
        <f t="shared" si="0"/>
        <v>100</v>
      </c>
      <c r="T8" s="1567" t="s">
        <v>13</v>
      </c>
      <c r="U8" s="1568">
        <f t="shared" si="1"/>
        <v>100</v>
      </c>
      <c r="V8" s="1567" t="s">
        <v>13</v>
      </c>
      <c r="W8" s="1568">
        <f t="shared" si="2"/>
        <v>100</v>
      </c>
      <c r="X8" s="1569"/>
      <c r="Y8" s="3410" t="s">
        <v>534</v>
      </c>
      <c r="Z8" s="3411"/>
      <c r="AA8" s="1570">
        <f t="shared" ref="AA8:AA46" si="3">D8/F8</f>
        <v>1</v>
      </c>
      <c r="AB8" s="1570">
        <f t="shared" ref="AB8:AB46" si="4">D8/H8</f>
        <v>1</v>
      </c>
      <c r="AC8" s="1570">
        <f t="shared" ref="AC8:AC46" si="5">D8/J8</f>
        <v>1</v>
      </c>
    </row>
    <row r="9" spans="1:29" s="1219" customFormat="1" ht="15">
      <c r="A9" s="2938"/>
      <c r="B9" s="2945" t="s">
        <v>2761</v>
      </c>
      <c r="C9" s="3207" t="s">
        <v>3187</v>
      </c>
      <c r="D9" s="253">
        <v>100</v>
      </c>
      <c r="E9" s="857" t="s">
        <v>924</v>
      </c>
      <c r="F9" s="858">
        <f>SUMIF(63:63,E9,64:64)-SUMIF(63:63,C9,64:64)+100</f>
        <v>100</v>
      </c>
      <c r="G9" s="859" t="s">
        <v>924</v>
      </c>
      <c r="H9" s="253">
        <f>SUMIF(63:63,G9,64:64)-SUMIF(63:63,C9,64:64)+100</f>
        <v>100</v>
      </c>
      <c r="I9" s="859" t="s">
        <v>924</v>
      </c>
      <c r="J9" s="253">
        <f>SUMIF(63:63,I9,64:64)-SUMIF(63:63,C9,64:64)+100</f>
        <v>100</v>
      </c>
      <c r="K9" s="854"/>
      <c r="L9" s="2133"/>
      <c r="M9" s="2134"/>
      <c r="N9" s="2134"/>
      <c r="O9" s="2135"/>
      <c r="P9" s="3418" t="s">
        <v>536</v>
      </c>
      <c r="Q9" s="1150" t="str">
        <f t="shared" ref="Q9:Q15" si="6">B9</f>
        <v>用途</v>
      </c>
      <c r="R9" s="1567" t="s">
        <v>8</v>
      </c>
      <c r="S9" s="1568">
        <f t="shared" si="0"/>
        <v>100</v>
      </c>
      <c r="T9" s="1567" t="s">
        <v>8</v>
      </c>
      <c r="U9" s="1568">
        <f t="shared" si="1"/>
        <v>100</v>
      </c>
      <c r="V9" s="1567" t="s">
        <v>8</v>
      </c>
      <c r="W9" s="1568">
        <f t="shared" si="2"/>
        <v>100</v>
      </c>
      <c r="X9" s="1569"/>
      <c r="Y9" s="3375" t="s">
        <v>537</v>
      </c>
      <c r="Z9" s="1149" t="str">
        <f t="shared" ref="Z9:Z15" si="7">Q9</f>
        <v>用途</v>
      </c>
      <c r="AA9" s="1570">
        <f t="shared" si="3"/>
        <v>1</v>
      </c>
      <c r="AB9" s="1570">
        <f t="shared" si="4"/>
        <v>1</v>
      </c>
      <c r="AC9" s="1570">
        <f t="shared" si="5"/>
        <v>1</v>
      </c>
    </row>
    <row r="10" spans="1:29" s="1337" customFormat="1" ht="27">
      <c r="A10" s="2939"/>
      <c r="B10" s="2944" t="s">
        <v>2762</v>
      </c>
      <c r="C10" s="860" t="s">
        <v>3188</v>
      </c>
      <c r="D10" s="254">
        <v>100</v>
      </c>
      <c r="E10" s="861" t="s">
        <v>3188</v>
      </c>
      <c r="F10" s="862">
        <f>SUMIF(65:65,E10,66:66)-SUMIF(65:65,C10,66:66)+100</f>
        <v>100</v>
      </c>
      <c r="G10" s="860" t="s">
        <v>3188</v>
      </c>
      <c r="H10" s="254">
        <f>SUMIF(65:65,G10,66:66)-SUMIF(65:65,C10,66:66)+100</f>
        <v>100</v>
      </c>
      <c r="I10" s="860" t="s">
        <v>3188</v>
      </c>
      <c r="J10" s="254">
        <f>SUMIF(65:65,I10,66:66)-SUMIF(65:65,C10,66:66)+100</f>
        <v>100</v>
      </c>
      <c r="K10" s="863"/>
      <c r="L10" s="2136"/>
      <c r="M10" s="2176"/>
      <c r="N10" s="2176"/>
      <c r="O10" s="2137"/>
      <c r="P10" s="3418"/>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75" thickBot="1">
      <c r="A11" s="2940"/>
      <c r="B11" s="2944" t="s">
        <v>2763</v>
      </c>
      <c r="C11" s="532">
        <f>'比较法-住宅、综合'!C13</f>
        <v>1.2</v>
      </c>
      <c r="D11" s="254">
        <v>100</v>
      </c>
      <c r="E11" s="533">
        <v>1.01</v>
      </c>
      <c r="F11" s="862">
        <f>LOOKUP(E11,68:68,69:69)-LOOKUP(C11,68:68,69:69)+100</f>
        <v>100</v>
      </c>
      <c r="G11" s="532">
        <v>1</v>
      </c>
      <c r="H11" s="254">
        <f>LOOKUP(G11,68:68,69:69)-LOOKUP(C11,68:68,69:69)+100</f>
        <v>100</v>
      </c>
      <c r="I11" s="532">
        <v>1.05</v>
      </c>
      <c r="J11" s="254">
        <f>LOOKUP(I11,68:68,69:69)-LOOKUP(C11,68:68,69:69)+100</f>
        <v>100</v>
      </c>
      <c r="K11" s="863">
        <v>3</v>
      </c>
      <c r="L11" s="2138"/>
      <c r="M11" s="2132"/>
      <c r="N11" s="2132"/>
      <c r="O11" s="2139"/>
      <c r="P11" s="3418"/>
      <c r="Q11" s="1150" t="str">
        <f t="shared" si="6"/>
        <v>容积率</v>
      </c>
      <c r="R11" s="1567" t="s">
        <v>11</v>
      </c>
      <c r="S11" s="1568">
        <f t="shared" si="0"/>
        <v>100</v>
      </c>
      <c r="T11" s="1567" t="s">
        <v>11</v>
      </c>
      <c r="U11" s="1568">
        <f t="shared" si="1"/>
        <v>100</v>
      </c>
      <c r="V11" s="1567" t="s">
        <v>11</v>
      </c>
      <c r="W11" s="1568">
        <f t="shared" si="2"/>
        <v>100</v>
      </c>
      <c r="X11" s="1569"/>
      <c r="Y11" s="3375"/>
      <c r="Z11" s="1149" t="str">
        <f t="shared" si="7"/>
        <v>容积率</v>
      </c>
      <c r="AA11" s="1570">
        <f t="shared" si="3"/>
        <v>1</v>
      </c>
      <c r="AB11" s="1570">
        <f t="shared" si="4"/>
        <v>1</v>
      </c>
      <c r="AC11" s="1570">
        <f t="shared" si="5"/>
        <v>1</v>
      </c>
    </row>
    <row r="12" spans="1:29" s="1219" customFormat="1" ht="15" hidden="1">
      <c r="A12" s="2941"/>
      <c r="B12" s="2947">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18"/>
      <c r="Q12" s="1150">
        <f t="shared" si="6"/>
        <v>111</v>
      </c>
      <c r="R12" s="1567" t="s">
        <v>11</v>
      </c>
      <c r="S12" s="1568">
        <f t="shared" si="0"/>
        <v>100</v>
      </c>
      <c r="T12" s="1567" t="s">
        <v>11</v>
      </c>
      <c r="U12" s="1568">
        <f t="shared" si="1"/>
        <v>100</v>
      </c>
      <c r="V12" s="1567" t="s">
        <v>11</v>
      </c>
      <c r="W12" s="1568">
        <f t="shared" si="2"/>
        <v>100</v>
      </c>
      <c r="X12" s="1569"/>
      <c r="Y12" s="3375"/>
      <c r="Z12" s="1149">
        <f t="shared" si="7"/>
        <v>111</v>
      </c>
      <c r="AA12" s="1570">
        <f>D12/F12</f>
        <v>1</v>
      </c>
      <c r="AB12" s="1570">
        <f>D12/H12</f>
        <v>1</v>
      </c>
      <c r="AC12" s="1570">
        <f>D12/J12</f>
        <v>1</v>
      </c>
    </row>
    <row r="13" spans="1:29" ht="15" hidden="1">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18"/>
      <c r="Q13" s="1150">
        <f t="shared" si="6"/>
        <v>111</v>
      </c>
      <c r="R13" s="1567" t="s">
        <v>11</v>
      </c>
      <c r="S13" s="1568">
        <f t="shared" si="0"/>
        <v>100</v>
      </c>
      <c r="T13" s="1567" t="s">
        <v>11</v>
      </c>
      <c r="U13" s="1568">
        <f t="shared" si="1"/>
        <v>100</v>
      </c>
      <c r="V13" s="1567" t="s">
        <v>11</v>
      </c>
      <c r="W13" s="1568">
        <f t="shared" si="2"/>
        <v>100</v>
      </c>
      <c r="X13" s="1569"/>
      <c r="Y13" s="3375"/>
      <c r="Z13" s="1149">
        <f t="shared" si="7"/>
        <v>111</v>
      </c>
      <c r="AA13" s="1570">
        <f t="shared" si="3"/>
        <v>1</v>
      </c>
      <c r="AB13" s="1570">
        <f t="shared" si="4"/>
        <v>1</v>
      </c>
      <c r="AC13" s="1570">
        <f t="shared" si="5"/>
        <v>1</v>
      </c>
    </row>
    <row r="14" spans="1:29" ht="15.75" hidden="1"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18"/>
      <c r="Q14" s="1150">
        <f t="shared" si="6"/>
        <v>111</v>
      </c>
      <c r="R14" s="1567" t="s">
        <v>11</v>
      </c>
      <c r="S14" s="1568">
        <f t="shared" si="0"/>
        <v>100</v>
      </c>
      <c r="T14" s="1567" t="s">
        <v>11</v>
      </c>
      <c r="U14" s="1568">
        <f t="shared" si="1"/>
        <v>100</v>
      </c>
      <c r="V14" s="1567" t="s">
        <v>11</v>
      </c>
      <c r="W14" s="1568">
        <f t="shared" si="2"/>
        <v>100</v>
      </c>
      <c r="X14" s="1569"/>
      <c r="Y14" s="3375"/>
      <c r="Z14" s="1149">
        <f t="shared" si="7"/>
        <v>111</v>
      </c>
      <c r="AA14" s="1570">
        <f t="shared" si="3"/>
        <v>1</v>
      </c>
      <c r="AB14" s="1570">
        <f t="shared" si="4"/>
        <v>1</v>
      </c>
      <c r="AC14" s="1570">
        <f t="shared" si="5"/>
        <v>1</v>
      </c>
    </row>
    <row r="15" spans="1:29" ht="99.75">
      <c r="A15" s="2934" t="s">
        <v>2759</v>
      </c>
      <c r="B15" s="166" t="s">
        <v>295</v>
      </c>
      <c r="C15" s="866" t="str">
        <f>估价对象房地状况!C3</f>
        <v>估价对象周边居住用地比例、居住小区规模和社区发展完善程度，综合评价居住社区成熟度一般</v>
      </c>
      <c r="D15" s="548">
        <v>100</v>
      </c>
      <c r="E15" s="549"/>
      <c r="F15" s="3226">
        <f>SUMIF(76:76,E16,77:77)-SUMIF(76:76,C16,77:77)+100</f>
        <v>102</v>
      </c>
      <c r="G15" s="551"/>
      <c r="H15" s="3225">
        <f>SUMIF(76:76,G16,77:77)-SUMIF(76:76,C16,77:77)+100</f>
        <v>100</v>
      </c>
      <c r="I15" s="549"/>
      <c r="J15" s="3225">
        <f>SUMIF(76:76,I16,77:77)-SUMIF(76:76,C16,77:77)+100</f>
        <v>100</v>
      </c>
      <c r="K15" s="867">
        <f>'比较法-住宅、综合'!K17</f>
        <v>2</v>
      </c>
      <c r="L15" s="2140"/>
      <c r="M15" s="2132"/>
      <c r="N15" s="2132"/>
      <c r="O15" s="2139"/>
      <c r="P15" s="3420" t="s">
        <v>541</v>
      </c>
      <c r="Q15" s="1571" t="str">
        <f t="shared" si="6"/>
        <v>居住社区成熟度</v>
      </c>
      <c r="R15" s="1572" t="s">
        <v>11</v>
      </c>
      <c r="S15" s="1573">
        <f t="shared" si="0"/>
        <v>102</v>
      </c>
      <c r="T15" s="1572" t="s">
        <v>11</v>
      </c>
      <c r="U15" s="1573">
        <f t="shared" si="1"/>
        <v>100</v>
      </c>
      <c r="V15" s="1572" t="s">
        <v>11</v>
      </c>
      <c r="W15" s="1573">
        <f t="shared" si="2"/>
        <v>100</v>
      </c>
      <c r="X15" s="1566"/>
      <c r="Y15" s="3420" t="s">
        <v>541</v>
      </c>
      <c r="Z15" s="1574" t="str">
        <f t="shared" si="7"/>
        <v>居住社区成熟度</v>
      </c>
      <c r="AA15" s="1575">
        <f t="shared" si="3"/>
        <v>0.98039215686274506</v>
      </c>
      <c r="AB15" s="1575">
        <f t="shared" si="4"/>
        <v>1</v>
      </c>
      <c r="AC15" s="1575">
        <f t="shared" si="5"/>
        <v>1</v>
      </c>
    </row>
    <row r="16" spans="1:29" ht="15">
      <c r="A16" s="531"/>
      <c r="B16" s="868"/>
      <c r="C16" s="3222" t="s">
        <v>3149</v>
      </c>
      <c r="D16" s="554"/>
      <c r="E16" s="3223" t="s">
        <v>3151</v>
      </c>
      <c r="F16" s="556"/>
      <c r="G16" s="3224" t="s">
        <v>3149</v>
      </c>
      <c r="H16" s="558"/>
      <c r="I16" s="3223" t="s">
        <v>3149</v>
      </c>
      <c r="J16" s="554"/>
      <c r="K16" s="869"/>
      <c r="L16" s="2140"/>
      <c r="M16" s="2132"/>
      <c r="N16" s="2132"/>
      <c r="O16" s="2139"/>
      <c r="P16" s="3421"/>
      <c r="Q16" s="1571"/>
      <c r="R16" s="1572"/>
      <c r="S16" s="1573"/>
      <c r="T16" s="1572"/>
      <c r="U16" s="1573"/>
      <c r="V16" s="1572"/>
      <c r="W16" s="1573"/>
      <c r="X16" s="1566"/>
      <c r="Y16" s="3421"/>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3231">
        <f>SUMIF(78:78,E18,79:79)-SUMIF(78:78,C18,79:79)+100</f>
        <v>102</v>
      </c>
      <c r="G17" s="563"/>
      <c r="H17" s="3230">
        <f>SUMIF(78:78,G18,79:79)-SUMIF(78:78,C18,79:79)+100</f>
        <v>102</v>
      </c>
      <c r="I17" s="561"/>
      <c r="J17" s="3230">
        <f>SUMIF(78:78,I18,79:79)-SUMIF(78:78,C18,79:79)+100</f>
        <v>102</v>
      </c>
      <c r="K17" s="867">
        <f>'比较法-住宅、综合'!K23</f>
        <v>2</v>
      </c>
      <c r="L17" s="2140"/>
      <c r="M17" s="2132"/>
      <c r="N17" s="2132"/>
      <c r="O17" s="2139"/>
      <c r="P17" s="3421"/>
      <c r="Q17" s="1571" t="str">
        <f>B17</f>
        <v>交通便捷度</v>
      </c>
      <c r="R17" s="1572" t="s">
        <v>11</v>
      </c>
      <c r="S17" s="1573">
        <f>F17</f>
        <v>102</v>
      </c>
      <c r="T17" s="1572" t="s">
        <v>11</v>
      </c>
      <c r="U17" s="1573">
        <f>H17</f>
        <v>102</v>
      </c>
      <c r="V17" s="1572" t="s">
        <v>11</v>
      </c>
      <c r="W17" s="1573">
        <f>J17</f>
        <v>102</v>
      </c>
      <c r="X17" s="1566"/>
      <c r="Y17" s="3421"/>
      <c r="Z17" s="1574" t="str">
        <f>Q17</f>
        <v>交通便捷度</v>
      </c>
      <c r="AA17" s="1575">
        <f t="shared" si="3"/>
        <v>0.98039215686274506</v>
      </c>
      <c r="AB17" s="1575">
        <f t="shared" si="4"/>
        <v>0.98039215686274506</v>
      </c>
      <c r="AC17" s="1575">
        <f t="shared" si="5"/>
        <v>0.98039215686274506</v>
      </c>
    </row>
    <row r="18" spans="1:29" ht="15">
      <c r="A18" s="531"/>
      <c r="B18" s="594"/>
      <c r="C18" s="3227" t="str">
        <f>'比较法-住宅、综合'!C24</f>
        <v>一般</v>
      </c>
      <c r="D18" s="558"/>
      <c r="E18" s="3228" t="s">
        <v>3151</v>
      </c>
      <c r="F18" s="562"/>
      <c r="G18" s="3229" t="s">
        <v>3151</v>
      </c>
      <c r="H18" s="554"/>
      <c r="I18" s="3228" t="s">
        <v>3151</v>
      </c>
      <c r="J18" s="554"/>
      <c r="K18" s="869"/>
      <c r="L18" s="2140"/>
      <c r="M18" s="2132"/>
      <c r="N18" s="2132"/>
      <c r="O18" s="2139"/>
      <c r="P18" s="3421"/>
      <c r="Q18" s="1571"/>
      <c r="R18" s="1572"/>
      <c r="S18" s="1573"/>
      <c r="T18" s="1572"/>
      <c r="U18" s="1573"/>
      <c r="V18" s="1572"/>
      <c r="W18" s="1573"/>
      <c r="X18" s="1566"/>
      <c r="Y18" s="3421"/>
      <c r="Z18" s="1574"/>
      <c r="AA18" s="1575">
        <v>1</v>
      </c>
      <c r="AB18" s="1575">
        <v>1</v>
      </c>
      <c r="AC18" s="1575">
        <v>1</v>
      </c>
    </row>
    <row r="19" spans="1:29" ht="42.75">
      <c r="A19" s="531"/>
      <c r="B19" s="2622" t="s">
        <v>2549</v>
      </c>
      <c r="C19" s="871" t="str">
        <f>估价对象房地状况!C7</f>
        <v>估价对象所在区域公共配套设施齐备情况</v>
      </c>
      <c r="D19" s="564">
        <v>100</v>
      </c>
      <c r="E19" s="569"/>
      <c r="F19" s="3232">
        <f>SUMIF(80:80,E20,81:81)-SUMIF(80:80,C20,81:81)+100</f>
        <v>102</v>
      </c>
      <c r="G19" s="571"/>
      <c r="H19" s="3233">
        <f>SUMIF(80:80,G20,81:81)-SUMIF(80:80,C20,81:81)+100</f>
        <v>102</v>
      </c>
      <c r="I19" s="569"/>
      <c r="J19" s="3233">
        <f>SUMIF(80:80,I20,81:81)-SUMIF(80:80,C20,81:81)+100</f>
        <v>100</v>
      </c>
      <c r="K19" s="867">
        <f>'比较法-住宅、综合'!K29</f>
        <v>2</v>
      </c>
      <c r="L19" s="2140"/>
      <c r="M19" s="2132"/>
      <c r="N19" s="2132"/>
      <c r="O19" s="2139"/>
      <c r="P19" s="3421"/>
      <c r="Q19" s="1571" t="str">
        <f>B19</f>
        <v>公共配套设施</v>
      </c>
      <c r="R19" s="1572" t="s">
        <v>11</v>
      </c>
      <c r="S19" s="1573">
        <f>F19</f>
        <v>102</v>
      </c>
      <c r="T19" s="1572" t="s">
        <v>11</v>
      </c>
      <c r="U19" s="1573">
        <f>H19</f>
        <v>102</v>
      </c>
      <c r="V19" s="1572" t="s">
        <v>11</v>
      </c>
      <c r="W19" s="1573">
        <f>J19</f>
        <v>100</v>
      </c>
      <c r="X19" s="1566"/>
      <c r="Y19" s="3421"/>
      <c r="Z19" s="1574" t="str">
        <f>Q19</f>
        <v>公共配套设施</v>
      </c>
      <c r="AA19" s="1575">
        <f t="shared" si="3"/>
        <v>0.98039215686274506</v>
      </c>
      <c r="AB19" s="1575">
        <f t="shared" si="4"/>
        <v>0.98039215686274506</v>
      </c>
      <c r="AC19" s="1575">
        <f t="shared" si="5"/>
        <v>1</v>
      </c>
    </row>
    <row r="20" spans="1:29" ht="15">
      <c r="A20" s="531"/>
      <c r="B20" s="594"/>
      <c r="C20" s="3222" t="str">
        <f>'比较法-住宅、综合'!C30</f>
        <v>一般</v>
      </c>
      <c r="D20" s="554"/>
      <c r="E20" s="3223" t="s">
        <v>3151</v>
      </c>
      <c r="F20" s="556"/>
      <c r="G20" s="3224" t="s">
        <v>3151</v>
      </c>
      <c r="H20" s="554"/>
      <c r="I20" s="3223" t="s">
        <v>3149</v>
      </c>
      <c r="J20" s="554"/>
      <c r="K20" s="869"/>
      <c r="L20" s="2140"/>
      <c r="M20" s="2132"/>
      <c r="N20" s="2132"/>
      <c r="O20" s="2139"/>
      <c r="P20" s="3421"/>
      <c r="Q20" s="1571"/>
      <c r="R20" s="1572"/>
      <c r="S20" s="1573"/>
      <c r="T20" s="1572"/>
      <c r="U20" s="1573"/>
      <c r="V20" s="1572"/>
      <c r="W20" s="1573"/>
      <c r="X20" s="1566"/>
      <c r="Y20" s="3421"/>
      <c r="Z20" s="1574"/>
      <c r="AA20" s="1575">
        <v>1</v>
      </c>
      <c r="AB20" s="1575">
        <v>1</v>
      </c>
      <c r="AC20" s="1575">
        <v>1</v>
      </c>
    </row>
    <row r="21" spans="1:29" ht="28.5">
      <c r="A21" s="531"/>
      <c r="B21" s="2615" t="s">
        <v>2561</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40"/>
      <c r="M21" s="2132"/>
      <c r="N21" s="2132"/>
      <c r="O21" s="2139"/>
      <c r="P21" s="3421"/>
      <c r="Q21" s="2601" t="str">
        <f>B21</f>
        <v>基础设施水平</v>
      </c>
      <c r="R21" s="1572" t="s">
        <v>11</v>
      </c>
      <c r="S21" s="1573">
        <f>F21</f>
        <v>100</v>
      </c>
      <c r="T21" s="1572" t="s">
        <v>11</v>
      </c>
      <c r="U21" s="1573">
        <f>H21</f>
        <v>100</v>
      </c>
      <c r="V21" s="1572" t="s">
        <v>11</v>
      </c>
      <c r="W21" s="1573">
        <f>J21</f>
        <v>100</v>
      </c>
      <c r="X21" s="2603"/>
      <c r="Y21" s="3421"/>
      <c r="Z21" s="2602" t="str">
        <f>Q21</f>
        <v>基础设施水平</v>
      </c>
      <c r="AA21" s="1575">
        <f t="shared" ref="AA21" si="8">D21/F21</f>
        <v>1</v>
      </c>
      <c r="AB21" s="1575">
        <f t="shared" ref="AB21" si="9">D21/H21</f>
        <v>1</v>
      </c>
      <c r="AC21" s="1575">
        <f t="shared" ref="AC21" si="10">D21/J21</f>
        <v>1</v>
      </c>
    </row>
    <row r="22" spans="1:29" ht="15">
      <c r="A22" s="531"/>
      <c r="B22" s="921"/>
      <c r="C22" s="872" t="s">
        <v>3173</v>
      </c>
      <c r="D22" s="554"/>
      <c r="E22" s="575" t="s">
        <v>3173</v>
      </c>
      <c r="F22" s="556"/>
      <c r="G22" s="575" t="s">
        <v>3173</v>
      </c>
      <c r="H22" s="554"/>
      <c r="I22" s="575" t="s">
        <v>3173</v>
      </c>
      <c r="J22" s="554"/>
      <c r="K22" s="2621"/>
      <c r="L22" s="2140"/>
      <c r="M22" s="2132"/>
      <c r="N22" s="2132"/>
      <c r="O22" s="2139"/>
      <c r="P22" s="3421"/>
      <c r="Q22" s="2601"/>
      <c r="R22" s="1572"/>
      <c r="S22" s="1573"/>
      <c r="T22" s="1572"/>
      <c r="U22" s="1573"/>
      <c r="V22" s="1572"/>
      <c r="W22" s="1573"/>
      <c r="X22" s="2603"/>
      <c r="Y22" s="3421"/>
      <c r="Z22" s="2602"/>
      <c r="AA22" s="1575">
        <v>1</v>
      </c>
      <c r="AB22" s="1575">
        <v>1</v>
      </c>
      <c r="AC22" s="157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40"/>
      <c r="M23" s="2132"/>
      <c r="N23" s="2132"/>
      <c r="O23" s="2139"/>
      <c r="P23" s="3421"/>
      <c r="Q23" s="1571" t="str">
        <f>B23</f>
        <v>自然及人文环境</v>
      </c>
      <c r="R23" s="1572" t="s">
        <v>11</v>
      </c>
      <c r="S23" s="1573">
        <f>F23</f>
        <v>100</v>
      </c>
      <c r="T23" s="1572" t="s">
        <v>11</v>
      </c>
      <c r="U23" s="1573">
        <f>H23</f>
        <v>100</v>
      </c>
      <c r="V23" s="1572" t="s">
        <v>11</v>
      </c>
      <c r="W23" s="1573">
        <f>J23</f>
        <v>100</v>
      </c>
      <c r="X23" s="1566"/>
      <c r="Y23" s="3421"/>
      <c r="Z23" s="1574" t="str">
        <f>Q23</f>
        <v>自然及人文环境</v>
      </c>
      <c r="AA23" s="1575">
        <f t="shared" si="3"/>
        <v>1</v>
      </c>
      <c r="AB23" s="1575">
        <f t="shared" si="4"/>
        <v>1</v>
      </c>
      <c r="AC23" s="1575">
        <f t="shared" si="5"/>
        <v>1</v>
      </c>
    </row>
    <row r="24" spans="1:29" ht="15">
      <c r="A24" s="531"/>
      <c r="B24" s="594"/>
      <c r="C24" s="575" t="s">
        <v>3152</v>
      </c>
      <c r="D24" s="554"/>
      <c r="E24" s="555" t="s">
        <v>3152</v>
      </c>
      <c r="F24" s="556"/>
      <c r="G24" s="557" t="s">
        <v>3152</v>
      </c>
      <c r="H24" s="554"/>
      <c r="I24" s="555" t="s">
        <v>3152</v>
      </c>
      <c r="J24" s="554"/>
      <c r="K24" s="869"/>
      <c r="L24" s="2140"/>
      <c r="M24" s="2132"/>
      <c r="N24" s="2132"/>
      <c r="O24" s="2139"/>
      <c r="P24" s="3421"/>
      <c r="Q24" s="1571"/>
      <c r="R24" s="1572"/>
      <c r="S24" s="1573"/>
      <c r="T24" s="1572"/>
      <c r="U24" s="1573"/>
      <c r="V24" s="1572"/>
      <c r="W24" s="1573"/>
      <c r="X24" s="1566"/>
      <c r="Y24" s="3421"/>
      <c r="Z24" s="1574"/>
      <c r="AA24" s="1575">
        <v>1</v>
      </c>
      <c r="AB24" s="1575">
        <v>1</v>
      </c>
      <c r="AC24" s="1575">
        <v>1</v>
      </c>
    </row>
    <row r="25" spans="1:29" ht="15" hidden="1">
      <c r="A25" s="531"/>
      <c r="B25" s="1893" t="s">
        <v>2258</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21"/>
      <c r="Q25" s="1571" t="str">
        <f t="shared" ref="Q25:Q46" si="11">B25</f>
        <v>楼层-1</v>
      </c>
      <c r="R25" s="1572" t="s">
        <v>11</v>
      </c>
      <c r="S25" s="1573">
        <f>F25</f>
        <v>100</v>
      </c>
      <c r="T25" s="1572" t="s">
        <v>11</v>
      </c>
      <c r="U25" s="1573">
        <f>H25</f>
        <v>100</v>
      </c>
      <c r="V25" s="1572" t="s">
        <v>11</v>
      </c>
      <c r="W25" s="1573">
        <f>J25</f>
        <v>100</v>
      </c>
      <c r="X25" s="1566"/>
      <c r="Y25" s="3421"/>
      <c r="Z25" s="1574" t="str">
        <f>Q25</f>
        <v>楼层-1</v>
      </c>
      <c r="AA25" s="1575">
        <f t="shared" si="3"/>
        <v>1</v>
      </c>
      <c r="AB25" s="1575">
        <f t="shared" si="4"/>
        <v>1</v>
      </c>
      <c r="AC25" s="1575">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21"/>
      <c r="Q26" s="1571" t="str">
        <f t="shared" si="11"/>
        <v>朝向</v>
      </c>
      <c r="R26" s="1572" t="s">
        <v>11</v>
      </c>
      <c r="S26" s="1573">
        <f>F26</f>
        <v>100</v>
      </c>
      <c r="T26" s="1572" t="s">
        <v>11</v>
      </c>
      <c r="U26" s="1573">
        <f>H26</f>
        <v>100</v>
      </c>
      <c r="V26" s="1572" t="s">
        <v>11</v>
      </c>
      <c r="W26" s="1573">
        <f>J26</f>
        <v>100</v>
      </c>
      <c r="X26" s="1566"/>
      <c r="Y26" s="3421"/>
      <c r="Z26" s="1574" t="str">
        <f>Q26</f>
        <v>朝向</v>
      </c>
      <c r="AA26" s="1575">
        <f t="shared" si="3"/>
        <v>1</v>
      </c>
      <c r="AB26" s="1575">
        <f t="shared" si="4"/>
        <v>1</v>
      </c>
      <c r="AC26" s="1575">
        <f t="shared" si="5"/>
        <v>1</v>
      </c>
    </row>
    <row r="27" spans="1:29" s="1219" customFormat="1" ht="15.75" thickBot="1">
      <c r="A27" s="535"/>
      <c r="B27" s="536" t="s">
        <v>725</v>
      </c>
      <c r="C27" s="3234" t="str">
        <f>'比较法-住宅、综合'!C35</f>
        <v>村内道路</v>
      </c>
      <c r="D27" s="874">
        <v>100</v>
      </c>
      <c r="E27" s="3208" t="s">
        <v>3189</v>
      </c>
      <c r="F27" s="875">
        <f>SUMIF(90:90,E27,91:91)-SUMIF(90:90,C27,91:91)+100</f>
        <v>103</v>
      </c>
      <c r="G27" s="3209" t="s">
        <v>3232</v>
      </c>
      <c r="H27" s="874">
        <f>SUMIF(90:90,G27,91:91)-SUMIF(90:90,C27,91:91)+100</f>
        <v>102</v>
      </c>
      <c r="I27" s="3208" t="s">
        <v>3189</v>
      </c>
      <c r="J27" s="874">
        <f>SUMIF(90:90,I27,91:91)-SUMIF(90:90,C27,91:91)+100</f>
        <v>103</v>
      </c>
      <c r="K27" s="864"/>
      <c r="L27" s="2133"/>
      <c r="M27" s="2134"/>
      <c r="N27" s="2134"/>
      <c r="O27" s="2135"/>
      <c r="P27" s="3421"/>
      <c r="Q27" s="1150" t="str">
        <f t="shared" si="11"/>
        <v>道路级别</v>
      </c>
      <c r="R27" s="1567" t="s">
        <v>11</v>
      </c>
      <c r="S27" s="1568">
        <f>F27</f>
        <v>103</v>
      </c>
      <c r="T27" s="1567" t="s">
        <v>11</v>
      </c>
      <c r="U27" s="1568">
        <f>H27</f>
        <v>102</v>
      </c>
      <c r="V27" s="1567" t="s">
        <v>11</v>
      </c>
      <c r="W27" s="1568">
        <f>J27</f>
        <v>103</v>
      </c>
      <c r="X27" s="1569"/>
      <c r="Y27" s="3421"/>
      <c r="Z27" s="1149" t="str">
        <f>Q27</f>
        <v>道路级别</v>
      </c>
      <c r="AA27" s="1575">
        <f>D27/F27</f>
        <v>0.970873786407767</v>
      </c>
      <c r="AB27" s="1575">
        <f>D27/H27</f>
        <v>0.98039215686274506</v>
      </c>
      <c r="AC27" s="1575">
        <f>D27/J27</f>
        <v>0.970873786407767</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2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1"/>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21"/>
      <c r="Q29" s="1571">
        <f t="shared" si="11"/>
        <v>111</v>
      </c>
      <c r="R29" s="1572" t="s">
        <v>11</v>
      </c>
      <c r="S29" s="1573">
        <f t="shared" si="12"/>
        <v>100</v>
      </c>
      <c r="T29" s="1572" t="s">
        <v>11</v>
      </c>
      <c r="U29" s="1573">
        <f t="shared" si="13"/>
        <v>100</v>
      </c>
      <c r="V29" s="1572" t="s">
        <v>11</v>
      </c>
      <c r="W29" s="1573">
        <f t="shared" si="14"/>
        <v>100</v>
      </c>
      <c r="X29" s="1566"/>
      <c r="Y29" s="3421"/>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21"/>
      <c r="Q30" s="1571">
        <f t="shared" si="11"/>
        <v>111</v>
      </c>
      <c r="R30" s="1572" t="s">
        <v>11</v>
      </c>
      <c r="S30" s="1573">
        <f t="shared" si="12"/>
        <v>100</v>
      </c>
      <c r="T30" s="1572" t="s">
        <v>11</v>
      </c>
      <c r="U30" s="1573">
        <f t="shared" si="13"/>
        <v>100</v>
      </c>
      <c r="V30" s="1572" t="s">
        <v>11</v>
      </c>
      <c r="W30" s="1573">
        <f t="shared" si="14"/>
        <v>100</v>
      </c>
      <c r="X30" s="1566"/>
      <c r="Y30" s="3421"/>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21"/>
      <c r="Q31" s="1571">
        <f t="shared" si="11"/>
        <v>111</v>
      </c>
      <c r="R31" s="1572" t="s">
        <v>11</v>
      </c>
      <c r="S31" s="1573">
        <f t="shared" si="12"/>
        <v>100</v>
      </c>
      <c r="T31" s="1572" t="s">
        <v>11</v>
      </c>
      <c r="U31" s="1573">
        <f t="shared" si="13"/>
        <v>100</v>
      </c>
      <c r="V31" s="1572" t="s">
        <v>11</v>
      </c>
      <c r="W31" s="1573">
        <f t="shared" si="14"/>
        <v>100</v>
      </c>
      <c r="X31" s="1566"/>
      <c r="Y31" s="3421"/>
      <c r="Z31" s="1574">
        <f t="shared" si="15"/>
        <v>111</v>
      </c>
      <c r="AA31" s="1575">
        <f t="shared" si="3"/>
        <v>1</v>
      </c>
      <c r="AB31" s="1575">
        <f t="shared" si="4"/>
        <v>1</v>
      </c>
      <c r="AC31" s="1575">
        <f t="shared" si="5"/>
        <v>1</v>
      </c>
    </row>
    <row r="32" spans="1:29" ht="15">
      <c r="A32" s="2931" t="s">
        <v>2760</v>
      </c>
      <c r="B32" s="172" t="s">
        <v>726</v>
      </c>
      <c r="C32" s="877" t="s">
        <v>3241</v>
      </c>
      <c r="D32" s="596">
        <v>100</v>
      </c>
      <c r="E32" s="878" t="s">
        <v>3240</v>
      </c>
      <c r="F32" s="574">
        <f>SUMIF(100:100,E32,101:101)-SUMIF(100:100,C32,101:101)+100</f>
        <v>95</v>
      </c>
      <c r="G32" s="877" t="s">
        <v>3242</v>
      </c>
      <c r="H32" s="596">
        <f>SUMIF(100:100,G32,101:101)-SUMIF(100:100,C32,101:101)+100</f>
        <v>105</v>
      </c>
      <c r="I32" s="878" t="s">
        <v>3241</v>
      </c>
      <c r="J32" s="539">
        <f>SUMIF(100:100,I32,101:101)-SUMIF(100:100,C32,101:101)+100</f>
        <v>100</v>
      </c>
      <c r="K32" s="863">
        <v>5</v>
      </c>
      <c r="L32" s="2140"/>
      <c r="M32" s="2132"/>
      <c r="N32" s="2132"/>
      <c r="O32" s="2139"/>
      <c r="P32" s="3422" t="s">
        <v>551</v>
      </c>
      <c r="Q32" s="1571" t="str">
        <f t="shared" si="11"/>
        <v>建筑类型</v>
      </c>
      <c r="R32" s="1572" t="s">
        <v>11</v>
      </c>
      <c r="S32" s="1573">
        <f t="shared" si="12"/>
        <v>95</v>
      </c>
      <c r="T32" s="1572" t="s">
        <v>11</v>
      </c>
      <c r="U32" s="1573">
        <f t="shared" si="13"/>
        <v>105</v>
      </c>
      <c r="V32" s="1572" t="s">
        <v>11</v>
      </c>
      <c r="W32" s="1573">
        <f t="shared" si="14"/>
        <v>100</v>
      </c>
      <c r="X32" s="1566"/>
      <c r="Y32" s="3423" t="s">
        <v>551</v>
      </c>
      <c r="Z32" s="1574" t="str">
        <f t="shared" si="15"/>
        <v>建筑类型</v>
      </c>
      <c r="AA32" s="1575">
        <f t="shared" si="3"/>
        <v>1.0526315789473684</v>
      </c>
      <c r="AB32" s="1575">
        <f t="shared" si="4"/>
        <v>0.95238095238095233</v>
      </c>
      <c r="AC32" s="1575">
        <f t="shared" si="5"/>
        <v>1</v>
      </c>
    </row>
    <row r="33" spans="1:29" s="1338" customFormat="1" ht="15">
      <c r="A33" s="602"/>
      <c r="B33" s="526" t="s">
        <v>727</v>
      </c>
      <c r="C33" s="879">
        <f>'数据-基础表'!B3</f>
        <v>104990.39999999999</v>
      </c>
      <c r="D33" s="254">
        <v>100</v>
      </c>
      <c r="E33" s="533">
        <v>158435</v>
      </c>
      <c r="F33" s="862">
        <f>LOOKUP(E33,103:103,104:104)-LOOKUP(C33,103:103,104:104)+100</f>
        <v>101</v>
      </c>
      <c r="G33" s="532">
        <v>172000</v>
      </c>
      <c r="H33" s="254">
        <f>LOOKUP(G33,103:103,104:104)-LOOKUP(C33,103:103,104:104)+100</f>
        <v>101</v>
      </c>
      <c r="I33" s="532">
        <v>426800</v>
      </c>
      <c r="J33" s="254">
        <f>LOOKUP(I33,103:103,104:104)-LOOKUP(C33,103:103,104:104)+100</f>
        <v>103</v>
      </c>
      <c r="K33" s="864"/>
      <c r="L33" s="2138"/>
      <c r="M33" s="2169"/>
      <c r="N33" s="2169"/>
      <c r="O33" s="2141"/>
      <c r="P33" s="3423"/>
      <c r="Q33" s="1604" t="str">
        <f t="shared" si="11"/>
        <v>项目建筑规模</v>
      </c>
      <c r="R33" s="1576" t="s">
        <v>11</v>
      </c>
      <c r="S33" s="1577">
        <f t="shared" si="12"/>
        <v>101</v>
      </c>
      <c r="T33" s="1576" t="s">
        <v>11</v>
      </c>
      <c r="U33" s="1577">
        <f t="shared" si="13"/>
        <v>101</v>
      </c>
      <c r="V33" s="1576" t="s">
        <v>11</v>
      </c>
      <c r="W33" s="1577">
        <f t="shared" si="14"/>
        <v>103</v>
      </c>
      <c r="X33" s="1578"/>
      <c r="Y33" s="3423"/>
      <c r="Z33" s="1579" t="str">
        <f t="shared" si="15"/>
        <v>项目建筑规模</v>
      </c>
      <c r="AA33" s="1575">
        <f t="shared" si="3"/>
        <v>0.99009900990099009</v>
      </c>
      <c r="AB33" s="1575">
        <f t="shared" si="4"/>
        <v>0.99009900990099009</v>
      </c>
      <c r="AC33" s="1575">
        <f t="shared" si="5"/>
        <v>0.970873786407767</v>
      </c>
    </row>
    <row r="34" spans="1:29" ht="15">
      <c r="A34" s="593"/>
      <c r="B34" s="526" t="s">
        <v>728</v>
      </c>
      <c r="C34" s="880" t="s">
        <v>3193</v>
      </c>
      <c r="D34" s="539">
        <v>100</v>
      </c>
      <c r="E34" s="881" t="s">
        <v>3193</v>
      </c>
      <c r="F34" s="574">
        <f>SUMIF(105:105,E34,106:106)-SUMIF(105:105,C34,106:106)+100</f>
        <v>100</v>
      </c>
      <c r="G34" s="880" t="s">
        <v>3193</v>
      </c>
      <c r="H34" s="539">
        <f>SUMIF(105:105,G34,106:106)-SUMIF(105:105,C34,106:106)+100</f>
        <v>100</v>
      </c>
      <c r="I34" s="881" t="s">
        <v>3193</v>
      </c>
      <c r="J34" s="539">
        <f>SUMIF(105:105,I34,106:106)-SUMIF(105:105,C34,106:106)+100</f>
        <v>100</v>
      </c>
      <c r="K34" s="863"/>
      <c r="L34" s="2140"/>
      <c r="M34" s="2132"/>
      <c r="N34" s="2132"/>
      <c r="O34" s="2139"/>
      <c r="P34" s="3423"/>
      <c r="Q34" s="1571" t="str">
        <f t="shared" si="11"/>
        <v>建筑结构</v>
      </c>
      <c r="R34" s="1572" t="s">
        <v>11</v>
      </c>
      <c r="S34" s="1573">
        <f t="shared" si="12"/>
        <v>100</v>
      </c>
      <c r="T34" s="1572" t="s">
        <v>11</v>
      </c>
      <c r="U34" s="1573">
        <f t="shared" si="13"/>
        <v>100</v>
      </c>
      <c r="V34" s="1572" t="s">
        <v>11</v>
      </c>
      <c r="W34" s="1573">
        <f t="shared" si="14"/>
        <v>100</v>
      </c>
      <c r="X34" s="1566"/>
      <c r="Y34" s="3423"/>
      <c r="Z34" s="1574" t="str">
        <f t="shared" si="15"/>
        <v>建筑结构</v>
      </c>
      <c r="AA34" s="1575">
        <f t="shared" si="3"/>
        <v>1</v>
      </c>
      <c r="AB34" s="1575">
        <f t="shared" si="4"/>
        <v>1</v>
      </c>
      <c r="AC34" s="1575">
        <f t="shared" si="5"/>
        <v>1</v>
      </c>
    </row>
    <row r="35" spans="1:29" ht="15">
      <c r="A35" s="593"/>
      <c r="B35" s="526" t="s">
        <v>729</v>
      </c>
      <c r="C35" s="598" t="s">
        <v>3198</v>
      </c>
      <c r="D35" s="539">
        <v>100</v>
      </c>
      <c r="E35" s="873" t="s">
        <v>3198</v>
      </c>
      <c r="F35" s="574">
        <f>SUMIF(107:107,E35,108:108)-SUMIF(107:107,C35,108:108)+100</f>
        <v>100</v>
      </c>
      <c r="G35" s="598" t="s">
        <v>3198</v>
      </c>
      <c r="H35" s="539">
        <f>SUMIF(107:107,G35,108:108)-SUMIF(107:107,C35,108:108)+100</f>
        <v>100</v>
      </c>
      <c r="I35" s="873" t="s">
        <v>3198</v>
      </c>
      <c r="J35" s="539">
        <f>SUMIF(107:107,I35,108:108)-SUMIF(107:107,C35,108:108)+100</f>
        <v>100</v>
      </c>
      <c r="K35" s="863">
        <v>3</v>
      </c>
      <c r="L35" s="2140"/>
      <c r="M35" s="2132"/>
      <c r="N35" s="2132"/>
      <c r="O35" s="2139"/>
      <c r="P35" s="3423"/>
      <c r="Q35" s="1571" t="str">
        <f t="shared" si="11"/>
        <v>建筑品质</v>
      </c>
      <c r="R35" s="1572" t="s">
        <v>11</v>
      </c>
      <c r="S35" s="1573">
        <f t="shared" si="12"/>
        <v>100</v>
      </c>
      <c r="T35" s="1572" t="s">
        <v>11</v>
      </c>
      <c r="U35" s="1573">
        <f t="shared" si="13"/>
        <v>100</v>
      </c>
      <c r="V35" s="1572" t="s">
        <v>11</v>
      </c>
      <c r="W35" s="1573">
        <f t="shared" si="14"/>
        <v>100</v>
      </c>
      <c r="X35" s="1566"/>
      <c r="Y35" s="3423"/>
      <c r="Z35" s="1574" t="str">
        <f t="shared" si="15"/>
        <v>建筑品质</v>
      </c>
      <c r="AA35" s="1575">
        <f t="shared" si="3"/>
        <v>1</v>
      </c>
      <c r="AB35" s="1575">
        <f t="shared" si="4"/>
        <v>1</v>
      </c>
      <c r="AC35" s="1575">
        <f t="shared" si="5"/>
        <v>1</v>
      </c>
    </row>
    <row r="36" spans="1:29" ht="15">
      <c r="A36" s="593"/>
      <c r="B36" s="526" t="s">
        <v>730</v>
      </c>
      <c r="C36" s="598" t="s">
        <v>3201</v>
      </c>
      <c r="D36" s="539">
        <v>100</v>
      </c>
      <c r="E36" s="873" t="s">
        <v>3201</v>
      </c>
      <c r="F36" s="574">
        <f>SUMIF(109:109,E36,110:110)-SUMIF(109:109,C36,110:110)+100</f>
        <v>100</v>
      </c>
      <c r="G36" s="598" t="s">
        <v>3201</v>
      </c>
      <c r="H36" s="539">
        <f>SUMIF(109:109,G36,110:110)-SUMIF(109:109,C36,110:110)+100</f>
        <v>100</v>
      </c>
      <c r="I36" s="873" t="s">
        <v>3201</v>
      </c>
      <c r="J36" s="539">
        <f>SUMIF(109:109,I36,110:110)-SUMIF(109:109,C36,110:110)+100</f>
        <v>100</v>
      </c>
      <c r="K36" s="863"/>
      <c r="L36" s="2140"/>
      <c r="M36" s="2132"/>
      <c r="N36" s="2132"/>
      <c r="O36" s="2139"/>
      <c r="P36" s="3423"/>
      <c r="Q36" s="1571" t="str">
        <f t="shared" si="11"/>
        <v>公共部分装修</v>
      </c>
      <c r="R36" s="1572" t="s">
        <v>11</v>
      </c>
      <c r="S36" s="1573">
        <f t="shared" si="12"/>
        <v>100</v>
      </c>
      <c r="T36" s="1572" t="s">
        <v>11</v>
      </c>
      <c r="U36" s="1573">
        <f t="shared" si="13"/>
        <v>100</v>
      </c>
      <c r="V36" s="1572" t="s">
        <v>11</v>
      </c>
      <c r="W36" s="1573">
        <f t="shared" si="14"/>
        <v>100</v>
      </c>
      <c r="X36" s="1566"/>
      <c r="Y36" s="3423"/>
      <c r="Z36" s="1574" t="str">
        <f t="shared" si="15"/>
        <v>公共部分装修</v>
      </c>
      <c r="AA36" s="1575">
        <f t="shared" si="3"/>
        <v>1</v>
      </c>
      <c r="AB36" s="1575">
        <f t="shared" si="4"/>
        <v>1</v>
      </c>
      <c r="AC36" s="1575">
        <f t="shared" si="5"/>
        <v>1</v>
      </c>
    </row>
    <row r="37" spans="1:29" s="1219" customFormat="1" ht="15" hidden="1">
      <c r="A37" s="599"/>
      <c r="B37" s="526" t="s">
        <v>731</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3"/>
      <c r="M37" s="2134"/>
      <c r="N37" s="2134"/>
      <c r="O37" s="2135"/>
      <c r="P37" s="3423"/>
      <c r="Q37" s="1150" t="str">
        <f t="shared" si="11"/>
        <v>成新度</v>
      </c>
      <c r="R37" s="1567" t="s">
        <v>11</v>
      </c>
      <c r="S37" s="1568">
        <f t="shared" si="12"/>
        <v>100</v>
      </c>
      <c r="T37" s="1567" t="s">
        <v>11</v>
      </c>
      <c r="U37" s="1568">
        <f t="shared" si="13"/>
        <v>100</v>
      </c>
      <c r="V37" s="1567" t="s">
        <v>11</v>
      </c>
      <c r="W37" s="1568">
        <f t="shared" si="14"/>
        <v>100</v>
      </c>
      <c r="X37" s="1569"/>
      <c r="Y37" s="3423"/>
      <c r="Z37" s="1149" t="str">
        <f t="shared" si="15"/>
        <v>成新度</v>
      </c>
      <c r="AA37" s="1570">
        <f t="shared" si="3"/>
        <v>1</v>
      </c>
      <c r="AB37" s="1570">
        <f t="shared" si="4"/>
        <v>1</v>
      </c>
      <c r="AC37" s="1570">
        <f t="shared" si="5"/>
        <v>1</v>
      </c>
    </row>
    <row r="38" spans="1:29" ht="15">
      <c r="A38" s="593"/>
      <c r="B38" s="526" t="s">
        <v>732</v>
      </c>
      <c r="C38" s="598" t="s">
        <v>3206</v>
      </c>
      <c r="D38" s="539">
        <v>100</v>
      </c>
      <c r="E38" s="873" t="s">
        <v>3206</v>
      </c>
      <c r="F38" s="574">
        <f>SUMIF(114:114,E38,115:115)-SUMIF(114:114,C38,115:115)+100</f>
        <v>100</v>
      </c>
      <c r="G38" s="598" t="s">
        <v>3206</v>
      </c>
      <c r="H38" s="539">
        <f>SUMIF(114:114,G38,115:115)-SUMIF(114:114,C38,115:115)+100</f>
        <v>100</v>
      </c>
      <c r="I38" s="873" t="s">
        <v>3206</v>
      </c>
      <c r="J38" s="539">
        <f>SUMIF(114:114,I38,115:115)-SUMIF(114:114,C38,115:115)+100</f>
        <v>100</v>
      </c>
      <c r="K38" s="863"/>
      <c r="L38" s="2140"/>
      <c r="M38" s="2132"/>
      <c r="N38" s="2132"/>
      <c r="O38" s="2139"/>
      <c r="P38" s="3423" t="s">
        <v>551</v>
      </c>
      <c r="Q38" s="1571" t="str">
        <f t="shared" si="11"/>
        <v>物业管理</v>
      </c>
      <c r="R38" s="1572" t="s">
        <v>11</v>
      </c>
      <c r="S38" s="1573">
        <f t="shared" si="12"/>
        <v>100</v>
      </c>
      <c r="T38" s="1572" t="s">
        <v>11</v>
      </c>
      <c r="U38" s="1573">
        <f t="shared" si="13"/>
        <v>100</v>
      </c>
      <c r="V38" s="1572" t="s">
        <v>11</v>
      </c>
      <c r="W38" s="1573">
        <f t="shared" si="14"/>
        <v>100</v>
      </c>
      <c r="X38" s="1566"/>
      <c r="Y38" s="3423" t="s">
        <v>551</v>
      </c>
      <c r="Z38" s="1574" t="str">
        <f t="shared" si="15"/>
        <v>物业管理</v>
      </c>
      <c r="AA38" s="1575">
        <f t="shared" si="3"/>
        <v>1</v>
      </c>
      <c r="AB38" s="1575">
        <f t="shared" si="4"/>
        <v>1</v>
      </c>
      <c r="AC38" s="1575">
        <f t="shared" si="5"/>
        <v>1</v>
      </c>
    </row>
    <row r="39" spans="1:29" ht="15">
      <c r="A39" s="593"/>
      <c r="B39" s="1893" t="s">
        <v>2567</v>
      </c>
      <c r="C39" s="598" t="s">
        <v>3153</v>
      </c>
      <c r="D39" s="539">
        <v>100</v>
      </c>
      <c r="E39" s="873" t="s">
        <v>3153</v>
      </c>
      <c r="F39" s="574">
        <f>SUMIF(116:116,E39,117:117)-SUMIF(116:116,C39,117:117)+100</f>
        <v>100</v>
      </c>
      <c r="G39" s="598" t="s">
        <v>3153</v>
      </c>
      <c r="H39" s="539">
        <f>SUMIF(116:116,G39,117:117)-SUMIF(116:116,C39,117:117)+100</f>
        <v>100</v>
      </c>
      <c r="I39" s="873" t="s">
        <v>3153</v>
      </c>
      <c r="J39" s="539">
        <f>SUMIF(116:116,I39,117:117)-SUMIF(116:116,C39,117:117)+100</f>
        <v>100</v>
      </c>
      <c r="K39" s="863">
        <f>'比较法-住宅、综合'!K43</f>
        <v>1</v>
      </c>
      <c r="L39" s="2140"/>
      <c r="M39" s="2132"/>
      <c r="N39" s="2132"/>
      <c r="O39" s="2139"/>
      <c r="P39" s="3423"/>
      <c r="Q39" s="1571" t="str">
        <f t="shared" si="11"/>
        <v>市政基础设施</v>
      </c>
      <c r="R39" s="1572" t="s">
        <v>11</v>
      </c>
      <c r="S39" s="1573">
        <f t="shared" si="12"/>
        <v>100</v>
      </c>
      <c r="T39" s="1572" t="s">
        <v>11</v>
      </c>
      <c r="U39" s="1573">
        <f t="shared" si="13"/>
        <v>100</v>
      </c>
      <c r="V39" s="1572" t="s">
        <v>11</v>
      </c>
      <c r="W39" s="1573">
        <f t="shared" si="14"/>
        <v>100</v>
      </c>
      <c r="X39" s="1566"/>
      <c r="Y39" s="3423"/>
      <c r="Z39" s="1574" t="str">
        <f t="shared" si="15"/>
        <v>市政基础设施</v>
      </c>
      <c r="AA39" s="1575">
        <f t="shared" si="3"/>
        <v>1</v>
      </c>
      <c r="AB39" s="1575">
        <f t="shared" si="4"/>
        <v>1</v>
      </c>
      <c r="AC39" s="1575">
        <f t="shared" si="5"/>
        <v>1</v>
      </c>
    </row>
    <row r="40" spans="1:29" ht="15" hidden="1">
      <c r="A40" s="593"/>
      <c r="B40" s="526" t="s">
        <v>733</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23"/>
      <c r="Q40" s="1571" t="str">
        <f t="shared" si="11"/>
        <v>房型</v>
      </c>
      <c r="R40" s="1572" t="s">
        <v>11</v>
      </c>
      <c r="S40" s="1573">
        <f t="shared" si="12"/>
        <v>100</v>
      </c>
      <c r="T40" s="1572" t="s">
        <v>11</v>
      </c>
      <c r="U40" s="1573">
        <f t="shared" si="13"/>
        <v>100</v>
      </c>
      <c r="V40" s="1572" t="s">
        <v>11</v>
      </c>
      <c r="W40" s="1573">
        <f t="shared" si="14"/>
        <v>100</v>
      </c>
      <c r="X40" s="1566"/>
      <c r="Y40" s="3423"/>
      <c r="Z40" s="1574" t="str">
        <f t="shared" si="15"/>
        <v>房型</v>
      </c>
      <c r="AA40" s="1575">
        <f t="shared" si="3"/>
        <v>1</v>
      </c>
      <c r="AB40" s="1575">
        <f t="shared" si="4"/>
        <v>1</v>
      </c>
      <c r="AC40" s="1575">
        <f t="shared" si="5"/>
        <v>1</v>
      </c>
    </row>
    <row r="41" spans="1:29" s="1338" customFormat="1" ht="28.5" hidden="1">
      <c r="A41" s="602"/>
      <c r="B41" s="526" t="s">
        <v>734</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23"/>
      <c r="Q41" s="1604" t="str">
        <f t="shared" si="11"/>
        <v>单套/主力户型建筑面积</v>
      </c>
      <c r="R41" s="1576" t="s">
        <v>11</v>
      </c>
      <c r="S41" s="1577">
        <f t="shared" si="12"/>
        <v>100</v>
      </c>
      <c r="T41" s="1576" t="s">
        <v>11</v>
      </c>
      <c r="U41" s="1577">
        <f t="shared" si="13"/>
        <v>100</v>
      </c>
      <c r="V41" s="1576" t="s">
        <v>11</v>
      </c>
      <c r="W41" s="1577">
        <f t="shared" si="14"/>
        <v>100</v>
      </c>
      <c r="X41" s="1578"/>
      <c r="Y41" s="3423"/>
      <c r="Z41" s="1579" t="str">
        <f t="shared" si="15"/>
        <v>单套/主力户型建筑面积</v>
      </c>
      <c r="AA41" s="1575">
        <f t="shared" si="3"/>
        <v>1</v>
      </c>
      <c r="AB41" s="1575">
        <f t="shared" si="4"/>
        <v>1</v>
      </c>
      <c r="AC41" s="1575">
        <f t="shared" si="5"/>
        <v>1</v>
      </c>
    </row>
    <row r="42" spans="1:29" ht="15.75" thickBot="1">
      <c r="A42" s="593"/>
      <c r="B42" s="526" t="s">
        <v>735</v>
      </c>
      <c r="C42" s="598" t="s">
        <v>3204</v>
      </c>
      <c r="D42" s="539">
        <v>100</v>
      </c>
      <c r="E42" s="873" t="s">
        <v>3204</v>
      </c>
      <c r="F42" s="574">
        <f>SUMIF(122:122,E42,123:123)-SUMIF(122:122,C42,123:123)+100</f>
        <v>100</v>
      </c>
      <c r="G42" s="598" t="s">
        <v>3204</v>
      </c>
      <c r="H42" s="539">
        <f>SUMIF(122:122,G42,123:123)-SUMIF(122:122,C42,123:123)+100</f>
        <v>100</v>
      </c>
      <c r="I42" s="873" t="s">
        <v>3204</v>
      </c>
      <c r="J42" s="539">
        <f>SUMIF(122:122,I42,123:123)-SUMIF(122:122,C42,123:123)+100</f>
        <v>100</v>
      </c>
      <c r="K42" s="863"/>
      <c r="L42" s="2140"/>
      <c r="M42" s="2132"/>
      <c r="N42" s="2132"/>
      <c r="O42" s="2139"/>
      <c r="P42" s="3423"/>
      <c r="Q42" s="1571" t="str">
        <f t="shared" si="11"/>
        <v>内部装修</v>
      </c>
      <c r="R42" s="1572" t="s">
        <v>11</v>
      </c>
      <c r="S42" s="1573">
        <f t="shared" si="12"/>
        <v>100</v>
      </c>
      <c r="T42" s="1572" t="s">
        <v>11</v>
      </c>
      <c r="U42" s="1573">
        <f t="shared" si="13"/>
        <v>100</v>
      </c>
      <c r="V42" s="1572" t="s">
        <v>11</v>
      </c>
      <c r="W42" s="1573">
        <f t="shared" si="14"/>
        <v>100</v>
      </c>
      <c r="X42" s="1566"/>
      <c r="Y42" s="3423"/>
      <c r="Z42" s="1574" t="str">
        <f t="shared" si="15"/>
        <v>内部装修</v>
      </c>
      <c r="AA42" s="1575">
        <f t="shared" si="3"/>
        <v>1</v>
      </c>
      <c r="AB42" s="1575">
        <f t="shared" si="4"/>
        <v>1</v>
      </c>
      <c r="AC42" s="1575">
        <f t="shared" si="5"/>
        <v>1</v>
      </c>
    </row>
    <row r="43" spans="1:29" ht="27.75" hidden="1" thickBot="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23"/>
      <c r="Q43" s="1571" t="str">
        <f t="shared" si="11"/>
        <v>内部装修维护情况</v>
      </c>
      <c r="R43" s="1572" t="s">
        <v>11</v>
      </c>
      <c r="S43" s="1573">
        <f t="shared" si="12"/>
        <v>100</v>
      </c>
      <c r="T43" s="1572" t="s">
        <v>11</v>
      </c>
      <c r="U43" s="1573">
        <f t="shared" si="13"/>
        <v>100</v>
      </c>
      <c r="V43" s="1572" t="s">
        <v>11</v>
      </c>
      <c r="W43" s="1573">
        <f t="shared" si="14"/>
        <v>100</v>
      </c>
      <c r="X43" s="1566"/>
      <c r="Y43" s="3423"/>
      <c r="Z43" s="1574" t="str">
        <f t="shared" si="15"/>
        <v>内部装修维护情况</v>
      </c>
      <c r="AA43" s="1575">
        <f t="shared" si="3"/>
        <v>1</v>
      </c>
      <c r="AB43" s="1575">
        <f t="shared" si="4"/>
        <v>1</v>
      </c>
      <c r="AC43" s="1575">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23"/>
      <c r="Q44" s="1150">
        <f t="shared" si="11"/>
        <v>111</v>
      </c>
      <c r="R44" s="1567" t="s">
        <v>11</v>
      </c>
      <c r="S44" s="1568">
        <f t="shared" si="12"/>
        <v>100</v>
      </c>
      <c r="T44" s="1567" t="s">
        <v>11</v>
      </c>
      <c r="U44" s="1568">
        <f t="shared" si="13"/>
        <v>100</v>
      </c>
      <c r="V44" s="1567" t="s">
        <v>11</v>
      </c>
      <c r="W44" s="1568">
        <f t="shared" si="14"/>
        <v>100</v>
      </c>
      <c r="X44" s="1569"/>
      <c r="Y44" s="3423"/>
      <c r="Z44" s="1149">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23"/>
      <c r="Q45" s="1571">
        <f t="shared" si="11"/>
        <v>111</v>
      </c>
      <c r="R45" s="1572" t="s">
        <v>11</v>
      </c>
      <c r="S45" s="1573">
        <f t="shared" si="12"/>
        <v>100</v>
      </c>
      <c r="T45" s="1572" t="s">
        <v>11</v>
      </c>
      <c r="U45" s="1573">
        <f t="shared" si="13"/>
        <v>100</v>
      </c>
      <c r="V45" s="1572" t="s">
        <v>11</v>
      </c>
      <c r="W45" s="1573">
        <f t="shared" si="14"/>
        <v>100</v>
      </c>
      <c r="X45" s="1566"/>
      <c r="Y45" s="3423"/>
      <c r="Z45" s="1574">
        <f t="shared" si="15"/>
        <v>111</v>
      </c>
      <c r="AA45" s="1575">
        <f t="shared" si="3"/>
        <v>1</v>
      </c>
      <c r="AB45" s="1575">
        <f t="shared" si="4"/>
        <v>1</v>
      </c>
      <c r="AC45" s="157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501"/>
      <c r="Q46" s="1571">
        <f t="shared" si="11"/>
        <v>111</v>
      </c>
      <c r="R46" s="1572" t="s">
        <v>10</v>
      </c>
      <c r="S46" s="1573">
        <f t="shared" si="12"/>
        <v>100</v>
      </c>
      <c r="T46" s="1572" t="s">
        <v>10</v>
      </c>
      <c r="U46" s="1573">
        <f t="shared" si="13"/>
        <v>100</v>
      </c>
      <c r="V46" s="1572" t="s">
        <v>10</v>
      </c>
      <c r="W46" s="1573">
        <f t="shared" si="14"/>
        <v>100</v>
      </c>
      <c r="X46" s="1566"/>
      <c r="Y46" s="3501"/>
      <c r="Z46" s="1574">
        <f t="shared" si="15"/>
        <v>111</v>
      </c>
      <c r="AA46" s="1575">
        <f t="shared" si="3"/>
        <v>1</v>
      </c>
      <c r="AB46" s="1575">
        <f t="shared" si="4"/>
        <v>1</v>
      </c>
      <c r="AC46" s="1575">
        <f t="shared" si="5"/>
        <v>1</v>
      </c>
    </row>
    <row r="47" spans="1:29" ht="15">
      <c r="A47" s="606" t="s">
        <v>737</v>
      </c>
      <c r="B47" s="886"/>
      <c r="C47" s="2649" t="s">
        <v>9</v>
      </c>
      <c r="D47" s="2650"/>
      <c r="E47" s="2651">
        <v>11764</v>
      </c>
      <c r="F47" s="2652"/>
      <c r="G47" s="2653">
        <v>13549</v>
      </c>
      <c r="H47" s="2654"/>
      <c r="I47" s="2651">
        <v>11917</v>
      </c>
      <c r="J47" s="2654"/>
      <c r="K47" s="1605"/>
      <c r="L47" s="2142"/>
      <c r="M47" s="2143"/>
      <c r="N47" s="2132"/>
      <c r="O47" s="2143"/>
      <c r="P47" s="3418" t="str">
        <f>A47</f>
        <v>成交单价（元/平方米）</v>
      </c>
      <c r="Q47" s="3418"/>
      <c r="R47" s="3500">
        <f>E47</f>
        <v>11764</v>
      </c>
      <c r="S47" s="3500"/>
      <c r="T47" s="3500">
        <f>G47</f>
        <v>13549</v>
      </c>
      <c r="U47" s="3500"/>
      <c r="V47" s="3500">
        <f>I47</f>
        <v>11917</v>
      </c>
      <c r="W47" s="3500"/>
      <c r="X47" s="1558"/>
      <c r="Y47" s="1580"/>
      <c r="Z47" s="1558"/>
      <c r="AA47" s="1558"/>
      <c r="AB47" s="1558"/>
      <c r="AC47" s="1558"/>
    </row>
    <row r="48" spans="1:29" ht="15.75" thickBot="1">
      <c r="A48" s="614" t="s">
        <v>2765</v>
      </c>
      <c r="B48" s="887"/>
      <c r="C48" s="2655">
        <f>R49</f>
        <v>11423</v>
      </c>
      <c r="D48" s="2656"/>
      <c r="E48" s="2657">
        <f>R48</f>
        <v>11217</v>
      </c>
      <c r="F48" s="2657"/>
      <c r="G48" s="2655">
        <f>T48</f>
        <v>12039</v>
      </c>
      <c r="H48" s="2656"/>
      <c r="I48" s="2657">
        <f>V48</f>
        <v>11013</v>
      </c>
      <c r="J48" s="2656"/>
      <c r="K48" s="1606"/>
      <c r="L48" s="2142"/>
      <c r="M48" s="2143"/>
      <c r="N48" s="2143"/>
      <c r="O48" s="2143"/>
      <c r="P48" s="3418" t="str">
        <f>A48</f>
        <v>比较价格（元/平方米）</v>
      </c>
      <c r="Q48" s="3418"/>
      <c r="R48" s="3500">
        <f>IF(F1="售价",ROUND(PRODUCT(R47,AA7:AA46),0),ROUND(PRODUCT(R47,AA7:AA46),1))</f>
        <v>11217</v>
      </c>
      <c r="S48" s="3500"/>
      <c r="T48" s="3500">
        <f>IF(F1="售价",ROUND(PRODUCT(T47,AB7:AB46),0),ROUND(PRODUCT(T47,AB7:AB46),1))</f>
        <v>12039</v>
      </c>
      <c r="U48" s="3500"/>
      <c r="V48" s="3500">
        <f>IF(F1="售价",ROUND(PRODUCT(V47,AC7:AC46),0),ROUND(PRODUCT(V47,AC7:AC46),1))</f>
        <v>11013</v>
      </c>
      <c r="W48" s="3500"/>
      <c r="X48" s="1558"/>
      <c r="Y48" s="1558"/>
      <c r="Z48" s="1558"/>
      <c r="AA48" s="1558"/>
      <c r="AB48" s="1558"/>
      <c r="AC48" s="1558"/>
    </row>
    <row r="49" spans="1:29" ht="15.75" thickBot="1">
      <c r="A49" s="620" t="s">
        <v>2938</v>
      </c>
      <c r="B49" s="621"/>
      <c r="C49" s="2658">
        <f>R49</f>
        <v>11423</v>
      </c>
      <c r="D49" s="2658"/>
      <c r="E49" s="2658"/>
      <c r="F49" s="2658"/>
      <c r="G49" s="2658"/>
      <c r="H49" s="2658"/>
      <c r="I49" s="2658"/>
      <c r="J49" s="2658"/>
      <c r="K49" s="1607"/>
      <c r="L49" s="2142"/>
      <c r="M49" s="2143"/>
      <c r="N49" s="2143"/>
      <c r="O49" s="2143"/>
      <c r="P49" s="3441" t="str">
        <f>A49</f>
        <v>估价对象XX用房的比较价格（楼面单价，元/平方米）</v>
      </c>
      <c r="Q49" s="3442"/>
      <c r="R49" s="3499">
        <f>IF(F1="售价",ROUND(AVERAGE(R48:V48),0),ROUND(AVERAGE(R48:V48),1))</f>
        <v>11423</v>
      </c>
      <c r="S49" s="3499"/>
      <c r="T49" s="3499"/>
      <c r="U49" s="3499"/>
      <c r="V49" s="3499"/>
      <c r="W49" s="3499"/>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558</v>
      </c>
      <c r="D52" s="624"/>
      <c r="E52" s="625">
        <f>IF(E47&lt;E48,E48/E47-1,E47/E48-1)</f>
        <v>4.8765267005438151E-2</v>
      </c>
      <c r="F52" s="626" t="str">
        <f>IF(OR(E52&gt;=0.3,E52&lt;=-0.3),"超过30%","")</f>
        <v/>
      </c>
      <c r="G52" s="625">
        <f>IF(G47&lt;G48,G48/G47-1,G47/G48-1)</f>
        <v>0.12542569980895424</v>
      </c>
      <c r="H52" s="626" t="str">
        <f>IF(OR(G52&gt;=0.3,G52&lt;=-0.3),"超过30%","")</f>
        <v/>
      </c>
      <c r="I52" s="625">
        <f>IF(I47&lt;I48,I48/I47-1,I47/I48-1)</f>
        <v>8.2084808862253666E-2</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559</v>
      </c>
      <c r="D53" s="627"/>
      <c r="E53" s="625">
        <f>IF(E48&lt;G48,G48/E48-1,E48/G48-1)</f>
        <v>7.3281626103236075E-2</v>
      </c>
      <c r="F53" s="626" t="str">
        <f>IF(OR(E53&gt;=0.2,E53&lt;=-0.2),"超过20%","")</f>
        <v/>
      </c>
      <c r="G53" s="625">
        <f>IF(G48&lt;I48,I48/G48-1,G48/I48-1)</f>
        <v>9.3162625987469383E-2</v>
      </c>
      <c r="H53" s="626" t="str">
        <f>IF(OR(G53&gt;=0.2,G53&lt;=-0.2),"超过20%","")</f>
        <v/>
      </c>
      <c r="I53" s="625">
        <f>IF(I48&lt;E48,E48/I48-1,I48/E48-1)</f>
        <v>1.8523563061836112E-2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560</v>
      </c>
      <c r="D54" s="627"/>
      <c r="E54" s="625">
        <f>IF(E47&lt;G47,G47/E47-1,E47/G47-1)</f>
        <v>0.15173410404624277</v>
      </c>
      <c r="F54" s="626" t="str">
        <f>IF(OR(E54&gt;=0.3,E54&lt;=-0.3),"超过30%","")</f>
        <v/>
      </c>
      <c r="G54" s="625">
        <f>IF(G47&lt;I47,I47/G47-1,G47/I47-1)</f>
        <v>0.13694721825962919</v>
      </c>
      <c r="H54" s="626" t="str">
        <f>IF(OR(G54&gt;=0.3,G54&lt;=-0.3),"超过30%","")</f>
        <v/>
      </c>
      <c r="I54" s="625">
        <f>IF(I47&lt;E47,E47/I47-1,I47/E47-1)</f>
        <v>1.3005780346820872E-2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575</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4" t="s">
        <v>530</v>
      </c>
      <c r="B58" s="645"/>
      <c r="C58" s="2828"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576</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532</v>
      </c>
      <c r="B61" s="647"/>
      <c r="C61" s="659" t="s">
        <v>577</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578</v>
      </c>
      <c r="B63" s="664" t="s">
        <v>535</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539</v>
      </c>
      <c r="C67" s="681" t="str">
        <f>C68&amp;"（含）"&amp;"-"&amp;D68</f>
        <v>0（含）-1.5</v>
      </c>
      <c r="D67" s="681" t="str">
        <f t="shared" ref="D67:L67" si="18">D68&amp;"（含）"&amp;"-"&amp;E68</f>
        <v>1.5（含）-3</v>
      </c>
      <c r="E67" s="681" t="str">
        <f t="shared" si="18"/>
        <v>3（含）-4.5</v>
      </c>
      <c r="F67" s="681" t="str">
        <f t="shared" si="18"/>
        <v>4.5（含）-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1.5</v>
      </c>
      <c r="E68" s="540">
        <v>3</v>
      </c>
      <c r="F68" s="540">
        <v>4.5</v>
      </c>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4"/>
      <c r="O69" s="2164"/>
      <c r="P69" s="2163"/>
      <c r="Q69" s="2156"/>
      <c r="R69" s="2143"/>
      <c r="S69" s="2143"/>
      <c r="T69" s="2143"/>
      <c r="U69" s="2143"/>
      <c r="V69" s="2143"/>
      <c r="W69" s="2143"/>
      <c r="X69" s="2143"/>
      <c r="Y69" s="2143"/>
      <c r="Z69" s="2143"/>
      <c r="AA69" s="2143"/>
      <c r="AB69" s="2143"/>
      <c r="AC69" s="2143"/>
    </row>
    <row r="70" spans="1:29" s="1338" customFormat="1" ht="15.75" hidden="1"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hidden="1"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hidden="1"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hidden="1"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hidden="1"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hidden="1"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ht="15" thickTop="1">
      <c r="A76" s="663" t="s">
        <v>540</v>
      </c>
      <c r="B76" s="664" t="s">
        <v>579</v>
      </c>
      <c r="C76" s="702" t="s">
        <v>580</v>
      </c>
      <c r="D76" s="702" t="s">
        <v>581</v>
      </c>
      <c r="E76" s="702" t="s">
        <v>582</v>
      </c>
      <c r="F76" s="702" t="s">
        <v>583</v>
      </c>
      <c r="G76" s="702" t="s">
        <v>584</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98</v>
      </c>
      <c r="E77" s="678">
        <f>D77-$K15</f>
        <v>96</v>
      </c>
      <c r="F77" s="678">
        <f>E77-$K15</f>
        <v>94</v>
      </c>
      <c r="G77" s="678">
        <f>F77-$K15</f>
        <v>92</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587</v>
      </c>
      <c r="C78" s="707" t="s">
        <v>580</v>
      </c>
      <c r="D78" s="707" t="s">
        <v>581</v>
      </c>
      <c r="E78" s="707" t="s">
        <v>582</v>
      </c>
      <c r="F78" s="707" t="s">
        <v>583</v>
      </c>
      <c r="G78" s="707" t="s">
        <v>584</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98</v>
      </c>
      <c r="E79" s="678">
        <f>D79-$K17</f>
        <v>96</v>
      </c>
      <c r="F79" s="678">
        <f>E79-$K17</f>
        <v>94</v>
      </c>
      <c r="G79" s="678">
        <f>F79-$K17</f>
        <v>92</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2560</v>
      </c>
      <c r="C80" s="707" t="s">
        <v>580</v>
      </c>
      <c r="D80" s="707" t="s">
        <v>581</v>
      </c>
      <c r="E80" s="707" t="s">
        <v>582</v>
      </c>
      <c r="F80" s="707" t="s">
        <v>583</v>
      </c>
      <c r="G80" s="707" t="s">
        <v>584</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98</v>
      </c>
      <c r="E81" s="678">
        <f>D81-$K19</f>
        <v>96</v>
      </c>
      <c r="F81" s="678">
        <f>E81-$K19</f>
        <v>94</v>
      </c>
      <c r="G81" s="678">
        <f>F81-$K19</f>
        <v>92</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2561</v>
      </c>
      <c r="C82" s="2620" t="s">
        <v>2562</v>
      </c>
      <c r="D82" s="2620" t="s">
        <v>2563</v>
      </c>
      <c r="E82" s="2620" t="s">
        <v>2564</v>
      </c>
      <c r="F82" s="2620" t="s">
        <v>2565</v>
      </c>
      <c r="G82" s="2620" t="s">
        <v>2566</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99</v>
      </c>
      <c r="E83" s="678">
        <f>D83-$K21</f>
        <v>98</v>
      </c>
      <c r="F83" s="678">
        <f>E83-$K21</f>
        <v>97</v>
      </c>
      <c r="G83" s="678">
        <f>F83-$K21</f>
        <v>96</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745</v>
      </c>
      <c r="C84" s="707" t="s">
        <v>580</v>
      </c>
      <c r="D84" s="707" t="s">
        <v>581</v>
      </c>
      <c r="E84" s="707" t="s">
        <v>582</v>
      </c>
      <c r="F84" s="707" t="s">
        <v>583</v>
      </c>
      <c r="G84" s="707" t="s">
        <v>584</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98</v>
      </c>
      <c r="E85" s="678">
        <f>D85-$K23</f>
        <v>96</v>
      </c>
      <c r="F85" s="678">
        <f>E85-$K23</f>
        <v>94</v>
      </c>
      <c r="G85" s="678">
        <f>F85-$K23</f>
        <v>92</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hidden="1" thickTop="1">
      <c r="A86" s="708"/>
      <c r="B86" s="1894" t="s">
        <v>2259</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hidden="1" thickTop="1">
      <c r="A88" s="708"/>
      <c r="B88" s="672" t="s">
        <v>747</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3204" t="s">
        <v>3154</v>
      </c>
      <c r="D90" s="3204" t="s">
        <v>3155</v>
      </c>
      <c r="E90" s="3204" t="s">
        <v>3157</v>
      </c>
      <c r="F90" s="3204" t="s">
        <v>3158</v>
      </c>
      <c r="G90" s="3204" t="s">
        <v>3159</v>
      </c>
      <c r="H90" s="3205" t="s">
        <v>3161</v>
      </c>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v>100</v>
      </c>
      <c r="D91" s="691">
        <v>99</v>
      </c>
      <c r="E91" s="691">
        <v>98</v>
      </c>
      <c r="F91" s="691">
        <v>97</v>
      </c>
      <c r="G91" s="691">
        <v>96</v>
      </c>
      <c r="H91" s="692">
        <v>95</v>
      </c>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hidden="1"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hidden="1"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hidden="1"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hidden="1"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hidden="1"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hidden="1"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hidden="1"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hidden="1"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15" thickTop="1">
      <c r="A100" s="663" t="s">
        <v>552</v>
      </c>
      <c r="B100" s="664" t="s">
        <v>748</v>
      </c>
      <c r="C100" s="3203" t="s">
        <v>3190</v>
      </c>
      <c r="D100" s="3203" t="s">
        <v>3191</v>
      </c>
      <c r="E100" s="3203" t="s">
        <v>3192</v>
      </c>
      <c r="F100" s="3203" t="s">
        <v>3225</v>
      </c>
      <c r="G100" s="3203" t="s">
        <v>3226</v>
      </c>
      <c r="H100" s="3203" t="s">
        <v>3227</v>
      </c>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749</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200000(含)-250000</v>
      </c>
      <c r="H102" s="707" t="str">
        <f t="shared" si="23"/>
        <v>250000(含)-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v>0</v>
      </c>
      <c r="D103" s="729">
        <v>50000</v>
      </c>
      <c r="E103" s="729">
        <v>100000</v>
      </c>
      <c r="F103" s="729">
        <v>150000</v>
      </c>
      <c r="G103" s="729">
        <v>200000</v>
      </c>
      <c r="H103" s="729">
        <v>250000</v>
      </c>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v>100</v>
      </c>
      <c r="D104" s="670">
        <v>101</v>
      </c>
      <c r="E104" s="670">
        <v>102</v>
      </c>
      <c r="F104" s="670">
        <v>103</v>
      </c>
      <c r="G104" s="670">
        <v>104</v>
      </c>
      <c r="H104" s="670">
        <v>105</v>
      </c>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750</v>
      </c>
      <c r="C105" s="3204" t="s">
        <v>3194</v>
      </c>
      <c r="D105" s="3204" t="s">
        <v>3195</v>
      </c>
      <c r="E105" s="3205" t="s">
        <v>3196</v>
      </c>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3205" t="s">
        <v>3197</v>
      </c>
      <c r="D107" s="3205" t="s">
        <v>3199</v>
      </c>
      <c r="E107" s="3205" t="s">
        <v>3200</v>
      </c>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3204" t="s">
        <v>3202</v>
      </c>
      <c r="D109" s="3204" t="s">
        <v>3203</v>
      </c>
      <c r="E109" s="3204" t="s">
        <v>3205</v>
      </c>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754</v>
      </c>
      <c r="C114" s="3204" t="s">
        <v>3207</v>
      </c>
      <c r="D114" s="3204" t="s">
        <v>3208</v>
      </c>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2559</v>
      </c>
      <c r="C116" s="3204" t="s">
        <v>3209</v>
      </c>
      <c r="D116" s="3204" t="s">
        <v>3210</v>
      </c>
      <c r="E116" s="3204" t="s">
        <v>3211</v>
      </c>
      <c r="F116" s="3204" t="s">
        <v>3212</v>
      </c>
      <c r="G116" s="3204" t="s">
        <v>3213</v>
      </c>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hidden="1" thickTop="1">
      <c r="A118" s="734"/>
      <c r="B118" s="672" t="s">
        <v>755</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hidden="1"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hidden="1" thickTop="1">
      <c r="A120" s="727"/>
      <c r="B120" s="672" t="s">
        <v>734</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hidden="1"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756</v>
      </c>
      <c r="C122" s="3204" t="s">
        <v>3202</v>
      </c>
      <c r="D122" s="3204" t="s">
        <v>3203</v>
      </c>
      <c r="E122" s="3204" t="s">
        <v>3205</v>
      </c>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hidden="1" thickTop="1">
      <c r="A124" s="734"/>
      <c r="B124" s="672" t="s">
        <v>757</v>
      </c>
      <c r="C124" s="707" t="s">
        <v>580</v>
      </c>
      <c r="D124" s="707" t="s">
        <v>581</v>
      </c>
      <c r="E124" s="707" t="s">
        <v>582</v>
      </c>
      <c r="F124" s="707" t="s">
        <v>583</v>
      </c>
      <c r="G124" s="707" t="s">
        <v>584</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hidden="1"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hidden="1"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hidden="1"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hidden="1"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hidden="1"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2274</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2275</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2276</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J22" sqref="J22"/>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1727</v>
      </c>
      <c r="B1" s="737"/>
      <c r="C1" s="772" t="s">
        <v>3115</v>
      </c>
      <c r="D1" s="3156" t="s">
        <v>3215</v>
      </c>
      <c r="E1" s="2409" t="s">
        <v>2375</v>
      </c>
      <c r="F1" s="2410">
        <f ca="1">J53</f>
        <v>34.4</v>
      </c>
      <c r="G1" s="773">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1728</v>
      </c>
      <c r="B2" s="774">
        <f ca="1">C40+J29+L46</f>
        <v>4786</v>
      </c>
      <c r="C2" s="2055"/>
      <c r="D2" s="2053"/>
      <c r="E2" s="2054"/>
      <c r="F2" s="2054"/>
      <c r="G2" s="1589"/>
      <c r="H2" s="2055"/>
      <c r="I2" s="2055"/>
      <c r="J2" s="2055"/>
      <c r="K2" s="2056"/>
      <c r="L2" s="2055"/>
      <c r="M2" s="2055"/>
    </row>
    <row r="3" spans="1:33" ht="18" customHeight="1" thickBot="1">
      <c r="A3" s="832" t="s">
        <v>1729</v>
      </c>
      <c r="B3" s="833">
        <f ca="1">IF(ISERROR(B2*10000/F43),0,ROUND(B2*10000/F43,0))</f>
        <v>9117</v>
      </c>
      <c r="C3" s="2055"/>
      <c r="D3" s="2053"/>
      <c r="E3" s="2054"/>
      <c r="F3" s="2054"/>
      <c r="G3" s="1589"/>
      <c r="H3" s="775" t="s">
        <v>696</v>
      </c>
      <c r="I3" s="1362"/>
      <c r="J3" s="1362"/>
      <c r="K3" s="1590"/>
      <c r="L3" s="1362"/>
      <c r="M3" s="1362"/>
    </row>
    <row r="4" spans="1:33" ht="18" customHeight="1">
      <c r="A4" s="776" t="s">
        <v>1730</v>
      </c>
      <c r="B4" s="777" t="s">
        <v>1731</v>
      </c>
      <c r="C4" s="777" t="s">
        <v>1732</v>
      </c>
      <c r="D4" s="777" t="s">
        <v>634</v>
      </c>
      <c r="E4" s="778" t="s">
        <v>1733</v>
      </c>
      <c r="F4" s="779"/>
      <c r="G4" s="1591"/>
      <c r="H4" s="776" t="s">
        <v>1734</v>
      </c>
      <c r="I4" s="777" t="s">
        <v>1735</v>
      </c>
      <c r="J4" s="777" t="s">
        <v>1736</v>
      </c>
      <c r="K4" s="777" t="s">
        <v>1737</v>
      </c>
      <c r="L4" s="778" t="s">
        <v>1738</v>
      </c>
      <c r="M4" s="779"/>
    </row>
    <row r="5" spans="1:33" ht="18" customHeight="1">
      <c r="A5" s="780">
        <v>1</v>
      </c>
      <c r="B5" s="781" t="s">
        <v>2460</v>
      </c>
      <c r="C5" s="55">
        <f ca="1">C6+C10+C12</f>
        <v>283</v>
      </c>
      <c r="D5" s="2518" t="s">
        <v>2463</v>
      </c>
      <c r="E5" s="2512"/>
      <c r="F5" s="2513"/>
      <c r="G5" s="1591"/>
      <c r="H5" s="780">
        <v>1</v>
      </c>
      <c r="I5" s="781" t="s">
        <v>2460</v>
      </c>
      <c r="J5" s="55">
        <f ca="1">J6+J10+J12</f>
        <v>0</v>
      </c>
      <c r="K5" s="2518" t="s">
        <v>2463</v>
      </c>
      <c r="L5" s="2512"/>
      <c r="M5" s="2513"/>
    </row>
    <row r="6" spans="1:33" ht="18" customHeight="1">
      <c r="A6" s="1829" t="s">
        <v>1826</v>
      </c>
      <c r="B6" s="3481" t="s">
        <v>2465</v>
      </c>
      <c r="C6" s="782">
        <f ca="1">ROUND(F6*F8*F7*(1-F9)/10000,0)</f>
        <v>283</v>
      </c>
      <c r="D6" s="2519" t="s">
        <v>2464</v>
      </c>
      <c r="E6" s="783" t="s">
        <v>1740</v>
      </c>
      <c r="F6" s="784">
        <f ca="1">INDIRECT("'数据-取费表'!u"&amp;$G$1)</f>
        <v>60</v>
      </c>
      <c r="G6" s="1591"/>
      <c r="H6" s="2526" t="s">
        <v>2471</v>
      </c>
      <c r="I6" s="3481" t="s">
        <v>2465</v>
      </c>
      <c r="J6" s="782">
        <f ca="1">ROUND(M6*M8*M7*(1-M9)/10000,0)</f>
        <v>0</v>
      </c>
      <c r="K6" s="340" t="s">
        <v>1739</v>
      </c>
      <c r="L6" s="783" t="s">
        <v>1740</v>
      </c>
      <c r="M6" s="784">
        <f ca="1">INDIRECT("'数据-取费表'!z"&amp;$G$1)</f>
        <v>0</v>
      </c>
    </row>
    <row r="7" spans="1:33" ht="18" customHeight="1">
      <c r="A7" s="2522"/>
      <c r="B7" s="3482"/>
      <c r="C7" s="787"/>
      <c r="D7" s="788"/>
      <c r="E7" s="783" t="s">
        <v>1741</v>
      </c>
      <c r="F7" s="784">
        <f ca="1">IF(INDIRECT("'数据-取费表'!ah"&amp;$G$1)="",INDIRECT("'数据-取费表'!k"&amp;$G$1),INDIRECT("'数据-取费表'!ah"&amp;$G$1))</f>
        <v>5249.5199999999895</v>
      </c>
      <c r="G7" s="1591"/>
      <c r="H7" s="2511"/>
      <c r="I7" s="3482"/>
      <c r="J7" s="787"/>
      <c r="K7" s="788"/>
      <c r="L7" s="783" t="s">
        <v>1741</v>
      </c>
      <c r="M7" s="784">
        <f ca="1">F7</f>
        <v>5249.5199999999895</v>
      </c>
    </row>
    <row r="8" spans="1:33" ht="18" customHeight="1">
      <c r="A8" s="2515"/>
      <c r="B8" s="3483"/>
      <c r="C8" s="787"/>
      <c r="D8" s="788"/>
      <c r="E8" s="783" t="s">
        <v>1742</v>
      </c>
      <c r="F8" s="784">
        <f ca="1">INDIRECT("'数据-取费表'!ai"&amp;$G$1)</f>
        <v>12</v>
      </c>
      <c r="G8" s="1591"/>
      <c r="H8" s="2511"/>
      <c r="I8" s="3483"/>
      <c r="J8" s="787"/>
      <c r="K8" s="788"/>
      <c r="L8" s="783" t="s">
        <v>1742</v>
      </c>
      <c r="M8" s="784">
        <f ca="1">INDIRECT("'数据-取费表'!ai"&amp;$G$1)</f>
        <v>12</v>
      </c>
    </row>
    <row r="9" spans="1:33" ht="18" customHeight="1">
      <c r="A9" s="785"/>
      <c r="B9" s="3484"/>
      <c r="C9" s="787"/>
      <c r="D9" s="788"/>
      <c r="E9" s="783" t="s">
        <v>1743</v>
      </c>
      <c r="F9" s="793">
        <f ca="1">INDIRECT("'数据-取费表'!w"&amp;$G$1)</f>
        <v>0.25</v>
      </c>
      <c r="G9" s="1591"/>
      <c r="H9" s="2527"/>
      <c r="I9" s="3483"/>
      <c r="J9" s="787"/>
      <c r="K9" s="788"/>
      <c r="L9" s="794" t="s">
        <v>1743</v>
      </c>
      <c r="M9" s="795">
        <f ca="1">INDIRECT("'数据-取费表'!ab"&amp;$G$1)</f>
        <v>0</v>
      </c>
    </row>
    <row r="10" spans="1:33" ht="18" customHeight="1">
      <c r="A10" s="1829" t="s">
        <v>2469</v>
      </c>
      <c r="B10" s="2516" t="s">
        <v>2461</v>
      </c>
      <c r="C10" s="798">
        <f ca="1">ROUND(IF(F10="押一",F6*F8*F7/12*F11,IF(F10="押二",F6*F8*F7/12*2*F11,IF(F10="押三",F6*F8*F7/12*3*F11,C11*F11)))/10000,0)</f>
        <v>0</v>
      </c>
      <c r="D10" s="2523" t="s">
        <v>2468</v>
      </c>
      <c r="E10" s="2520" t="s">
        <v>2466</v>
      </c>
      <c r="F10" s="2643" t="s">
        <v>3214</v>
      </c>
      <c r="G10" s="1591"/>
      <c r="H10" s="2583" t="s">
        <v>2472</v>
      </c>
      <c r="I10" s="2588" t="s">
        <v>2461</v>
      </c>
      <c r="J10" s="782">
        <f ca="1">ROUND(IF(M10="押一",M6*M8*M7/12*M11,IF(M10="押二",M6*M8*M7/12*2*M11,IF(M10="押三",M6*M8*M7/12*3*M11,J11*M11)))/10000,0)</f>
        <v>0</v>
      </c>
      <c r="K10" s="2523" t="s">
        <v>2468</v>
      </c>
      <c r="L10" s="2520" t="s">
        <v>2466</v>
      </c>
      <c r="M10" s="2643"/>
    </row>
    <row r="11" spans="1:33" ht="18" customHeight="1">
      <c r="A11" s="789"/>
      <c r="B11" s="2517" t="s">
        <v>2576</v>
      </c>
      <c r="C11" s="2521"/>
      <c r="D11" s="788"/>
      <c r="E11" s="2520" t="s">
        <v>2467</v>
      </c>
      <c r="F11" s="795">
        <f ca="1">'数据-取费表'!B39</f>
        <v>1.4999999999999999E-2</v>
      </c>
      <c r="G11" s="1591"/>
      <c r="H11" s="2584"/>
      <c r="I11" s="2517" t="s">
        <v>2576</v>
      </c>
      <c r="J11" s="2521"/>
      <c r="K11" s="2585"/>
      <c r="L11" s="2520" t="s">
        <v>2467</v>
      </c>
      <c r="M11" s="2514">
        <f ca="1">'数据-取费表'!B39</f>
        <v>1.4999999999999999E-2</v>
      </c>
    </row>
    <row r="12" spans="1:33" ht="18" customHeight="1" thickBot="1">
      <c r="A12" s="2559" t="s">
        <v>2470</v>
      </c>
      <c r="B12" s="2560" t="s">
        <v>2462</v>
      </c>
      <c r="C12" s="2561"/>
      <c r="D12" s="2562"/>
      <c r="E12" s="2563"/>
      <c r="F12" s="2564"/>
      <c r="G12" s="1591"/>
      <c r="H12" s="2573" t="s">
        <v>2473</v>
      </c>
      <c r="I12" s="2586" t="s">
        <v>2462</v>
      </c>
      <c r="J12" s="2587"/>
      <c r="K12" s="2562"/>
      <c r="L12" s="2563"/>
      <c r="M12" s="2576"/>
    </row>
    <row r="13" spans="1:33" ht="18" customHeight="1" thickTop="1">
      <c r="A13" s="1828">
        <v>2</v>
      </c>
      <c r="B13" s="1826" t="s">
        <v>1744</v>
      </c>
      <c r="C13" s="791">
        <f ca="1">ROUND(C29*F13,0)</f>
        <v>1856</v>
      </c>
      <c r="D13" s="1833" t="s">
        <v>2299</v>
      </c>
      <c r="E13" s="1833" t="s">
        <v>1746</v>
      </c>
      <c r="F13" s="2558">
        <f ca="1">INDIRECT("'数据-取费表'!y"&amp;$G$1)</f>
        <v>1</v>
      </c>
      <c r="G13" s="1591"/>
      <c r="H13" s="1828">
        <v>2</v>
      </c>
      <c r="I13" s="1826" t="s">
        <v>1744</v>
      </c>
      <c r="J13" s="1818">
        <f ca="1">ROUND(J14*J15,0)</f>
        <v>0</v>
      </c>
      <c r="K13" s="1820" t="s">
        <v>1745</v>
      </c>
      <c r="L13" s="2574"/>
      <c r="M13" s="2575"/>
    </row>
    <row r="14" spans="1:33" ht="18" customHeight="1">
      <c r="A14" s="1647" t="s">
        <v>1886</v>
      </c>
      <c r="B14" s="783" t="s">
        <v>646</v>
      </c>
      <c r="C14" s="803">
        <f ca="1">INDIRECT("'数据-取费表'!m"&amp;$G$1)+INDIRECT("'数据-取费表'!t"&amp;$G$1)</f>
        <v>1155</v>
      </c>
      <c r="D14" s="1977" t="s">
        <v>1747</v>
      </c>
      <c r="E14" s="1978"/>
      <c r="F14" s="804"/>
      <c r="G14" s="1591"/>
      <c r="H14" s="1648" t="s">
        <v>1832</v>
      </c>
      <c r="I14" s="2229" t="s">
        <v>2831</v>
      </c>
      <c r="J14" s="53">
        <f ca="1">C29</f>
        <v>1856</v>
      </c>
      <c r="K14" s="26"/>
      <c r="L14" s="800"/>
      <c r="M14" s="801"/>
    </row>
    <row r="15" spans="1:33" s="2062" customFormat="1" ht="18" customHeight="1" thickBot="1">
      <c r="A15" s="1647" t="s">
        <v>1887</v>
      </c>
      <c r="B15" s="783" t="s">
        <v>648</v>
      </c>
      <c r="C15" s="53">
        <f ca="1">ROUND(C14*F15,0)</f>
        <v>58</v>
      </c>
      <c r="D15" s="805" t="s">
        <v>1748</v>
      </c>
      <c r="E15" s="805" t="s">
        <v>1749</v>
      </c>
      <c r="F15" s="806">
        <f>'数据-取费表'!B33</f>
        <v>0.05</v>
      </c>
      <c r="G15" s="1592"/>
      <c r="H15" s="2573" t="s">
        <v>1891</v>
      </c>
      <c r="I15" s="2568" t="s">
        <v>1746</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1888</v>
      </c>
      <c r="B16" s="783" t="s">
        <v>651</v>
      </c>
      <c r="C16" s="53">
        <f ca="1">ROUND(INDIRECT("'数据-取费表'!m"&amp;$G$1)*F16,0)</f>
        <v>0</v>
      </c>
      <c r="D16" s="783" t="s">
        <v>1748</v>
      </c>
      <c r="E16" s="783" t="s">
        <v>1749</v>
      </c>
      <c r="F16" s="808">
        <f ca="1">IF(INDIRECT("'数据-取费表'!c"&amp;$G$1)="住宅",'数据-取费表'!B34,0)</f>
        <v>0</v>
      </c>
      <c r="G16" s="1591"/>
      <c r="H16" s="1828" t="s">
        <v>1750</v>
      </c>
      <c r="I16" s="1826" t="s">
        <v>1751</v>
      </c>
      <c r="J16" s="791">
        <f ca="1">ROUND(J17+J22+J23+J24,0)</f>
        <v>48</v>
      </c>
      <c r="K16" s="1820" t="s">
        <v>1752</v>
      </c>
      <c r="L16" s="2508"/>
      <c r="M16" s="2513"/>
    </row>
    <row r="17" spans="1:33" s="2062" customFormat="1" ht="18" customHeight="1">
      <c r="A17" s="1647" t="s">
        <v>1889</v>
      </c>
      <c r="B17" s="783" t="s">
        <v>654</v>
      </c>
      <c r="C17" s="53">
        <f ca="1">ROUND(F17*(F43+INDIRECT("'数据-取费表'!S"&amp;$G$1))/10000,0)</f>
        <v>105</v>
      </c>
      <c r="D17" s="783" t="s">
        <v>1753</v>
      </c>
      <c r="E17" s="783" t="s">
        <v>1754</v>
      </c>
      <c r="F17" s="56">
        <f>'数据-取费表'!B35</f>
        <v>200</v>
      </c>
      <c r="G17" s="1592"/>
      <c r="H17" s="1648" t="s">
        <v>1832</v>
      </c>
      <c r="I17" s="783" t="s">
        <v>657</v>
      </c>
      <c r="J17" s="53">
        <f ca="1">ROUND(IF(项目基本情况!B11="自然人",J5*M17,J18+J19+J20),0)</f>
        <v>20</v>
      </c>
      <c r="K17" s="2507" t="s">
        <v>1755</v>
      </c>
      <c r="L17" s="2506" t="s">
        <v>1756</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1890</v>
      </c>
      <c r="B18" s="783" t="s">
        <v>660</v>
      </c>
      <c r="C18" s="53">
        <f ca="1">ROUND(C14*F18,0)</f>
        <v>17</v>
      </c>
      <c r="D18" s="783" t="s">
        <v>1748</v>
      </c>
      <c r="E18" s="783" t="s">
        <v>1749</v>
      </c>
      <c r="F18" s="808">
        <f>'数据-取费表'!B36</f>
        <v>1.4999999999999999E-2</v>
      </c>
      <c r="G18" s="1592"/>
      <c r="H18" s="1647" t="s">
        <v>1886</v>
      </c>
      <c r="I18" s="783" t="s">
        <v>1757</v>
      </c>
      <c r="J18" s="53">
        <f ca="1">ROUND(J5*M18/1.05,1)</f>
        <v>0</v>
      </c>
      <c r="K18" s="2506" t="s">
        <v>1758</v>
      </c>
      <c r="L18" s="783" t="s">
        <v>1749</v>
      </c>
      <c r="M18" s="808">
        <f>'数据-取费表'!B41</f>
        <v>6.2719999999999998E-2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1832</v>
      </c>
      <c r="B19" s="783" t="s">
        <v>663</v>
      </c>
      <c r="C19" s="53">
        <f ca="1">SUM(C14:C18)</f>
        <v>1335</v>
      </c>
      <c r="D19" s="260" t="s">
        <v>1759</v>
      </c>
      <c r="E19" s="1980"/>
      <c r="F19" s="56"/>
      <c r="G19" s="1591"/>
      <c r="H19" s="1647" t="s">
        <v>1887</v>
      </c>
      <c r="I19" s="783" t="s">
        <v>1760</v>
      </c>
      <c r="J19" s="53">
        <f ca="1">IF(K19="按租金收入计税",ROUND(J5*M19,1),ROUND(C29*F33*0.7,1))</f>
        <v>15.6</v>
      </c>
      <c r="K19" s="810" t="s">
        <v>666</v>
      </c>
      <c r="L19" s="783" t="s">
        <v>1749</v>
      </c>
      <c r="M19" s="808">
        <f>IF(K19="按租金收入计税",'数据-取费表'!B51,'数据-取费表'!B50)</f>
        <v>1.2E-2</v>
      </c>
    </row>
    <row r="20" spans="1:33" s="2062" customFormat="1" ht="18" customHeight="1">
      <c r="A20" s="1648" t="s">
        <v>1891</v>
      </c>
      <c r="B20" s="783" t="s">
        <v>667</v>
      </c>
      <c r="C20" s="53">
        <f ca="1">ROUND(C19*F20,0)</f>
        <v>27</v>
      </c>
      <c r="D20" s="811" t="s">
        <v>1761</v>
      </c>
      <c r="E20" s="783" t="s">
        <v>1749</v>
      </c>
      <c r="F20" s="808">
        <f>'数据-取费表'!B37</f>
        <v>0.02</v>
      </c>
      <c r="G20" s="1592"/>
      <c r="H20" s="1650" t="s">
        <v>1882</v>
      </c>
      <c r="I20" s="340" t="s">
        <v>1762</v>
      </c>
      <c r="J20" s="54">
        <f ca="1">ROUND(M20*M21/10000,0)</f>
        <v>4</v>
      </c>
      <c r="K20" s="813" t="s">
        <v>1763</v>
      </c>
      <c r="L20" s="783" t="s">
        <v>1764</v>
      </c>
      <c r="M20" s="639">
        <f>'数据-取费表'!B52</f>
        <v>10</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1892</v>
      </c>
      <c r="B21" s="783" t="s">
        <v>1765</v>
      </c>
      <c r="C21" s="53" t="s">
        <v>1766</v>
      </c>
      <c r="D21" s="811" t="s">
        <v>2300</v>
      </c>
      <c r="E21" s="783" t="s">
        <v>1767</v>
      </c>
      <c r="F21" s="808">
        <f>'数据-取费表'!B38</f>
        <v>0.02</v>
      </c>
      <c r="G21" s="1592"/>
      <c r="H21" s="2528"/>
      <c r="I21" s="792"/>
      <c r="J21" s="69"/>
      <c r="K21" s="815"/>
      <c r="L21" s="783" t="s">
        <v>1768</v>
      </c>
      <c r="M21" s="784">
        <f ca="1">INDIRECT("'数据-取费表'!r"&amp;$G$1)</f>
        <v>4374.6000000000004</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1893</v>
      </c>
      <c r="B22" s="783" t="s">
        <v>1769</v>
      </c>
      <c r="C22" s="53"/>
      <c r="D22" s="2594" t="str">
        <f>IF(F23&lt;=1,"单利计息。","复利计息。")&amp;"建造成本、管理费用、销售费用产生的利息。"</f>
        <v>复利计息。建造成本、管理费用、销售费用产生的利息。</v>
      </c>
      <c r="E22" s="1980"/>
      <c r="F22" s="56"/>
      <c r="G22" s="1591"/>
      <c r="H22" s="1648" t="s">
        <v>1891</v>
      </c>
      <c r="I22" s="783" t="s">
        <v>1770</v>
      </c>
      <c r="J22" s="53">
        <f ca="1">ROUND(J14*M22,0)</f>
        <v>28</v>
      </c>
      <c r="K22" s="2506" t="s">
        <v>1771</v>
      </c>
      <c r="L22" s="783" t="s">
        <v>1749</v>
      </c>
      <c r="M22" s="816">
        <f ca="1">INDIRECT("'数据-取费表'!Ak"&amp;$G$1)</f>
        <v>1.4999999999999999E-2</v>
      </c>
    </row>
    <row r="23" spans="1:33" s="2062" customFormat="1" ht="18" customHeight="1">
      <c r="A23" s="1647" t="s">
        <v>1833</v>
      </c>
      <c r="B23" s="783" t="s">
        <v>2538</v>
      </c>
      <c r="C23" s="53">
        <f ca="1">ROUND(IF('数据-取费表'!B22&lt;=1,(C19+C20)*F24*F23/2,(C19+C20)*(POWER((1+F24),F23/2)-1)),0)</f>
        <v>65</v>
      </c>
      <c r="D23" s="2593" t="str">
        <f>IF(F23&lt;=1,"(建造成本+管理费用)×利率×(建设周期÷2)","(建造成本+管理费用)×((1+利率)^(建设周期÷2)-1)")</f>
        <v>(建造成本+管理费用)×((1+利率)^(建设周期÷2)-1)</v>
      </c>
      <c r="E23" s="783" t="s">
        <v>1772</v>
      </c>
      <c r="F23" s="639">
        <f>'数据-取费表'!B20</f>
        <v>2</v>
      </c>
      <c r="G23" s="1592"/>
      <c r="H23" s="1648" t="s">
        <v>1892</v>
      </c>
      <c r="I23" s="783" t="s">
        <v>680</v>
      </c>
      <c r="J23" s="53">
        <f ca="1">ROUND(J13*M23,0)</f>
        <v>0</v>
      </c>
      <c r="K23" s="2506" t="s">
        <v>1773</v>
      </c>
      <c r="L23" s="783" t="s">
        <v>1749</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1834</v>
      </c>
      <c r="B24" s="783" t="s">
        <v>1774</v>
      </c>
      <c r="C24" s="53">
        <f ca="1">ROUND(IF('数据-取费表'!B22&lt;=1,F21*F24*F23/2,F21*(POWER((1+F24),F23/2)-1)),4)</f>
        <v>1E-3</v>
      </c>
      <c r="D24" s="2593" t="str">
        <f>IF(F23&lt;=1,"销售费用×利率×(建设周期÷2)","销售费用×((1+利率)^(建设周期÷2)-1)")</f>
        <v>销售费用×((1+利率)^(建设周期÷2)-1)</v>
      </c>
      <c r="E24" s="783" t="s">
        <v>1775</v>
      </c>
      <c r="F24" s="818">
        <f ca="1">'数据-取费表'!B40</f>
        <v>4.7500000000000001E-2</v>
      </c>
      <c r="G24" s="1592"/>
      <c r="H24" s="2573" t="s">
        <v>1893</v>
      </c>
      <c r="I24" s="2568" t="s">
        <v>667</v>
      </c>
      <c r="J24" s="2566">
        <f ca="1">ROUND(J5*M24,0)</f>
        <v>0</v>
      </c>
      <c r="K24" s="2567" t="s">
        <v>1776</v>
      </c>
      <c r="L24" s="2568" t="s">
        <v>1749</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1842</v>
      </c>
      <c r="B25" s="783" t="s">
        <v>685</v>
      </c>
      <c r="C25" s="53"/>
      <c r="D25" s="260" t="s">
        <v>1777</v>
      </c>
      <c r="E25" s="1980"/>
      <c r="F25" s="56"/>
      <c r="G25" s="1591"/>
      <c r="H25" s="1828" t="s">
        <v>1778</v>
      </c>
      <c r="I25" s="3034" t="s">
        <v>2827</v>
      </c>
      <c r="J25" s="791">
        <f ca="1">J5-J16</f>
        <v>-48</v>
      </c>
      <c r="K25" s="2570" t="s">
        <v>1779</v>
      </c>
      <c r="L25" s="2571"/>
      <c r="M25" s="2572"/>
    </row>
    <row r="26" spans="1:33" ht="18" customHeight="1">
      <c r="A26" s="1647" t="s">
        <v>1833</v>
      </c>
      <c r="B26" s="783" t="s">
        <v>2439</v>
      </c>
      <c r="C26" s="53">
        <f ca="1">ROUND((C19+C20)*F26,0)</f>
        <v>272</v>
      </c>
      <c r="D26" s="811" t="s">
        <v>1780</v>
      </c>
      <c r="E26" s="794" t="s">
        <v>1781</v>
      </c>
      <c r="F26" s="793">
        <f ca="1">INDIRECT("'数据-取费表'!q"&amp;$G$1)</f>
        <v>0.2</v>
      </c>
      <c r="G26" s="1591"/>
      <c r="H26" s="2524" t="s">
        <v>1782</v>
      </c>
      <c r="I26" s="2230" t="s">
        <v>2832</v>
      </c>
      <c r="J26" s="782">
        <f ca="1">IF(J5&lt;&gt;0,ROUND(J25*(1-((1+M28)/(1+M26))^M27)/(M26-M28),0),0)</f>
        <v>0</v>
      </c>
      <c r="K26" s="813" t="s">
        <v>1783</v>
      </c>
      <c r="L26" s="783" t="s">
        <v>2420</v>
      </c>
      <c r="M26" s="793">
        <f ca="1">INDIRECT("'数据-取费表'!I"&amp;$G$1)</f>
        <v>5.5E-2</v>
      </c>
    </row>
    <row r="27" spans="1:33" ht="18" customHeight="1">
      <c r="A27" s="1647" t="s">
        <v>1834</v>
      </c>
      <c r="B27" s="783" t="s">
        <v>687</v>
      </c>
      <c r="C27" s="53">
        <f ca="1">ROUND(F21*F26,4)</f>
        <v>4.0000000000000001E-3</v>
      </c>
      <c r="D27" s="811" t="s">
        <v>1784</v>
      </c>
      <c r="E27" s="805"/>
      <c r="F27" s="806"/>
      <c r="G27" s="1591"/>
      <c r="H27" s="2525"/>
      <c r="I27" s="786"/>
      <c r="J27" s="787"/>
      <c r="K27" s="820" t="s">
        <v>1785</v>
      </c>
      <c r="L27" s="783" t="s">
        <v>1786</v>
      </c>
      <c r="M27" s="821">
        <f ca="1">INDIRECT("'数据-取费表'!ag"&amp;$G$1)</f>
        <v>0</v>
      </c>
    </row>
    <row r="28" spans="1:33" s="2062" customFormat="1" ht="18" customHeight="1">
      <c r="A28" s="1649" t="s">
        <v>1843</v>
      </c>
      <c r="B28" s="783" t="s">
        <v>688</v>
      </c>
      <c r="C28" s="53">
        <f>ROUND(F28/(1+'数据-取费表'!C42),4)</f>
        <v>5.9400000000000001E-2</v>
      </c>
      <c r="D28" s="811" t="s">
        <v>2301</v>
      </c>
      <c r="E28" s="783" t="s">
        <v>1787</v>
      </c>
      <c r="F28" s="808">
        <f>'数据-取费表'!B41</f>
        <v>6.2719999999999998E-2</v>
      </c>
      <c r="G28" s="1592"/>
      <c r="H28" s="1828"/>
      <c r="I28" s="790"/>
      <c r="J28" s="791"/>
      <c r="K28" s="815"/>
      <c r="L28" s="783" t="s">
        <v>1788</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2302</v>
      </c>
      <c r="C29" s="2566">
        <f ca="1">ROUND((C19+C20+C23+C26)/(1-F21-C24-C27-C28),0)</f>
        <v>1856</v>
      </c>
      <c r="D29" s="2567"/>
      <c r="E29" s="2568"/>
      <c r="F29" s="2569"/>
      <c r="G29" s="1592"/>
      <c r="H29" s="822" t="s">
        <v>1789</v>
      </c>
      <c r="I29" s="823" t="s">
        <v>1790</v>
      </c>
      <c r="J29" s="824">
        <f ca="1">ROUND(J26/(1+F40)^F41,0)</f>
        <v>0</v>
      </c>
      <c r="K29" s="825" t="s">
        <v>1791</v>
      </c>
      <c r="L29" s="826"/>
      <c r="M29" s="827">
        <f ca="1">INDIRECT("'数据-取费表'!k"&amp;$G$1)</f>
        <v>5249.5199999999895</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1895</v>
      </c>
      <c r="B30" s="1826" t="s">
        <v>1792</v>
      </c>
      <c r="C30" s="791">
        <f ca="1">ROUND(C31+C36+C37+C38,0)</f>
        <v>70</v>
      </c>
      <c r="D30" s="1820" t="s">
        <v>1793</v>
      </c>
      <c r="E30" s="2508"/>
      <c r="F30" s="2513"/>
      <c r="G30" s="2060"/>
      <c r="H30" s="2063"/>
      <c r="I30" s="2064"/>
      <c r="J30" s="2065"/>
      <c r="K30" s="2066"/>
      <c r="L30" s="2067"/>
      <c r="M30" s="2068"/>
    </row>
    <row r="31" spans="1:33" ht="18" customHeight="1">
      <c r="A31" s="1648" t="s">
        <v>1832</v>
      </c>
      <c r="B31" s="783" t="s">
        <v>657</v>
      </c>
      <c r="C31" s="53">
        <f ca="1">ROUND(IF(项目基本情况!B11="自然人",C5*F31,C32+C33+C34),1)</f>
        <v>36.9</v>
      </c>
      <c r="D31" s="1977" t="s">
        <v>1794</v>
      </c>
      <c r="E31" s="1975" t="s">
        <v>1795</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1833</v>
      </c>
      <c r="B32" s="783" t="s">
        <v>1796</v>
      </c>
      <c r="C32" s="53">
        <f ca="1">ROUND(C5*F32/1.05,1)</f>
        <v>16.899999999999999</v>
      </c>
      <c r="D32" s="1975" t="s">
        <v>1797</v>
      </c>
      <c r="E32" s="783" t="s">
        <v>1798</v>
      </c>
      <c r="F32" s="808">
        <f>'数据-取费表'!B41</f>
        <v>6.2719999999999998E-2</v>
      </c>
      <c r="G32" s="2060"/>
      <c r="H32" s="2069"/>
      <c r="I32" s="2070"/>
      <c r="J32" s="2071"/>
      <c r="K32" s="2072"/>
      <c r="L32" s="2073"/>
      <c r="M32" s="2074"/>
    </row>
    <row r="33" spans="1:18" ht="18" customHeight="1">
      <c r="A33" s="1647" t="s">
        <v>1834</v>
      </c>
      <c r="B33" s="783" t="s">
        <v>1799</v>
      </c>
      <c r="C33" s="53">
        <f ca="1">IF(D33="按租金收入计税",ROUND(C5*F33,1),IF(D33="按房产原值计税",ROUND(C29*F33*0.7,1),INDIRECT("'数据-取费表'!Aj"&amp;$G$1)))</f>
        <v>15.6</v>
      </c>
      <c r="D33" s="810" t="s">
        <v>1682</v>
      </c>
      <c r="E33" s="783" t="s">
        <v>1798</v>
      </c>
      <c r="F33" s="808">
        <f>IF(D33="按租金收入计税",'数据-取费表'!B51,'数据-取费表'!B50)</f>
        <v>1.2E-2</v>
      </c>
      <c r="G33" s="2060"/>
      <c r="H33" s="2075"/>
      <c r="I33" s="2075"/>
      <c r="J33" s="2075"/>
      <c r="K33" s="2076"/>
      <c r="L33" s="2075"/>
      <c r="M33" s="2075"/>
    </row>
    <row r="34" spans="1:18" ht="18" customHeight="1">
      <c r="A34" s="1650" t="s">
        <v>1835</v>
      </c>
      <c r="B34" s="340" t="s">
        <v>1800</v>
      </c>
      <c r="C34" s="54">
        <f ca="1">ROUND(F34*F35/10000,1)</f>
        <v>4.4000000000000004</v>
      </c>
      <c r="D34" s="813" t="s">
        <v>1801</v>
      </c>
      <c r="E34" s="783" t="s">
        <v>1802</v>
      </c>
      <c r="F34" s="639">
        <f>'数据-取费表'!B52</f>
        <v>10</v>
      </c>
      <c r="G34" s="2060"/>
      <c r="H34" s="2063"/>
      <c r="I34" s="834" t="s">
        <v>1815</v>
      </c>
      <c r="J34" s="835"/>
      <c r="K34" s="2078"/>
      <c r="L34" s="2077"/>
      <c r="M34" s="2077"/>
    </row>
    <row r="35" spans="1:18" ht="18" customHeight="1">
      <c r="A35" s="814"/>
      <c r="B35" s="792"/>
      <c r="C35" s="69"/>
      <c r="D35" s="815"/>
      <c r="E35" s="783" t="s">
        <v>1803</v>
      </c>
      <c r="F35" s="784">
        <f ca="1">INDIRECT("'数据-取费表'!r"&amp;$G$1)</f>
        <v>4374.6000000000004</v>
      </c>
      <c r="G35" s="2060"/>
      <c r="H35" s="2063"/>
      <c r="I35" s="836" t="s">
        <v>1816</v>
      </c>
      <c r="J35" s="837">
        <f ca="1">ROUND(C13*J36,0)</f>
        <v>158</v>
      </c>
      <c r="K35" s="2076"/>
      <c r="L35" s="2075"/>
      <c r="M35" s="2075"/>
    </row>
    <row r="36" spans="1:18" ht="18" customHeight="1">
      <c r="A36" s="1648" t="s">
        <v>1891</v>
      </c>
      <c r="B36" s="783" t="s">
        <v>1804</v>
      </c>
      <c r="C36" s="53">
        <f ca="1">ROUND(C29*F36,1)</f>
        <v>27.8</v>
      </c>
      <c r="D36" s="1975" t="s">
        <v>1805</v>
      </c>
      <c r="E36" s="783" t="s">
        <v>1798</v>
      </c>
      <c r="F36" s="816">
        <f ca="1">INDIRECT("'数据-取费表'!Ak"&amp;$G$1)</f>
        <v>1.4999999999999999E-2</v>
      </c>
      <c r="G36" s="2060"/>
      <c r="H36" s="2075"/>
      <c r="I36" s="838" t="s">
        <v>1817</v>
      </c>
      <c r="J36" s="839">
        <f ca="1">INDIRECT("'数据-取费表'!j"&amp;$G$1)</f>
        <v>8.5000000000000006E-2</v>
      </c>
      <c r="K36" s="2080"/>
      <c r="L36" s="2075"/>
      <c r="M36" s="2075"/>
    </row>
    <row r="37" spans="1:18" ht="18" customHeight="1">
      <c r="A37" s="1648" t="s">
        <v>1892</v>
      </c>
      <c r="B37" s="783" t="s">
        <v>680</v>
      </c>
      <c r="C37" s="53">
        <f ca="1">ROUND(C13*F37,1)</f>
        <v>2.8</v>
      </c>
      <c r="D37" s="1975" t="s">
        <v>1806</v>
      </c>
      <c r="E37" s="783" t="s">
        <v>1798</v>
      </c>
      <c r="F37" s="817">
        <f ca="1">INDIRECT("'数据-取费表'!Al"&amp;$G$1)</f>
        <v>1.5E-3</v>
      </c>
      <c r="G37" s="2060"/>
      <c r="H37" s="2075"/>
      <c r="I37" s="840" t="s">
        <v>1818</v>
      </c>
      <c r="J37" s="841"/>
      <c r="K37" s="2080"/>
      <c r="L37" s="2075"/>
      <c r="M37" s="2075"/>
    </row>
    <row r="38" spans="1:18" ht="18" customHeight="1" thickBot="1">
      <c r="A38" s="2573" t="s">
        <v>1893</v>
      </c>
      <c r="B38" s="2568" t="s">
        <v>667</v>
      </c>
      <c r="C38" s="2566">
        <f ca="1">ROUND(C5*F38,1)</f>
        <v>2.8</v>
      </c>
      <c r="D38" s="2567" t="s">
        <v>1807</v>
      </c>
      <c r="E38" s="2568" t="s">
        <v>1798</v>
      </c>
      <c r="F38" s="2564">
        <f ca="1">INDIRECT("'数据-取费表'!Am"&amp;$G$1)</f>
        <v>0.01</v>
      </c>
      <c r="G38" s="2060"/>
      <c r="H38" s="2075"/>
      <c r="I38" s="842" t="s">
        <v>1819</v>
      </c>
      <c r="J38" s="843"/>
      <c r="K38" s="2081"/>
      <c r="L38" s="2075"/>
      <c r="M38" s="2075"/>
    </row>
    <row r="39" spans="1:18" ht="24.6" customHeight="1" thickTop="1">
      <c r="A39" s="1828" t="s">
        <v>1896</v>
      </c>
      <c r="B39" s="3034" t="s">
        <v>2827</v>
      </c>
      <c r="C39" s="791">
        <f ca="1">C5-C30</f>
        <v>213</v>
      </c>
      <c r="D39" s="2570" t="s">
        <v>1808</v>
      </c>
      <c r="E39" s="2571"/>
      <c r="F39" s="2572"/>
      <c r="G39" s="2060"/>
      <c r="H39" s="2075"/>
      <c r="I39" s="836" t="s">
        <v>1820</v>
      </c>
      <c r="J39" s="844">
        <f ca="1">ROUND(J35/C39,3)</f>
        <v>0.74199999999999999</v>
      </c>
      <c r="K39" s="2081"/>
      <c r="L39" s="2075"/>
      <c r="M39" s="2075"/>
    </row>
    <row r="40" spans="1:18" ht="18" customHeight="1">
      <c r="A40" s="780" t="s">
        <v>1897</v>
      </c>
      <c r="B40" s="2230" t="s">
        <v>2303</v>
      </c>
      <c r="C40" s="782">
        <f ca="1">ROUND(C39*(1-((1+F42)/(1+F40))^F41)/(F40-F42),0)</f>
        <v>4786</v>
      </c>
      <c r="D40" s="813" t="s">
        <v>1809</v>
      </c>
      <c r="E40" s="783" t="s">
        <v>2420</v>
      </c>
      <c r="F40" s="793">
        <f ca="1">INDIRECT("'数据-取费表'!I"&amp;$G$1)</f>
        <v>5.5E-2</v>
      </c>
      <c r="G40" s="2060"/>
      <c r="H40" s="2060"/>
      <c r="I40" s="836" t="s">
        <v>1821</v>
      </c>
      <c r="J40" s="844">
        <f ca="1">1-J39</f>
        <v>0.25800000000000001</v>
      </c>
      <c r="K40" s="2081"/>
      <c r="L40" s="2060"/>
      <c r="M40" s="2060"/>
    </row>
    <row r="41" spans="1:18" ht="18" customHeight="1">
      <c r="A41" s="785"/>
      <c r="B41" s="786"/>
      <c r="C41" s="787"/>
      <c r="D41" s="820" t="s">
        <v>1810</v>
      </c>
      <c r="E41" s="783" t="s">
        <v>2970</v>
      </c>
      <c r="F41" s="821">
        <f ca="1">IF(INDIRECT("'数据-取费表'!af"&amp;$G$1)=0,INDIRECT("'数据-取费表'!ae"&amp;$G$1),INDIRECT("'数据-取费表'!af"&amp;$G$1))</f>
        <v>34.4</v>
      </c>
      <c r="G41" s="2060"/>
      <c r="H41" s="1986"/>
      <c r="I41" s="842" t="s">
        <v>1822</v>
      </c>
      <c r="J41" s="845"/>
      <c r="K41" s="2080"/>
      <c r="L41" s="1986"/>
      <c r="M41" s="1986"/>
    </row>
    <row r="42" spans="1:18" ht="18" customHeight="1">
      <c r="A42" s="789"/>
      <c r="B42" s="790"/>
      <c r="C42" s="791"/>
      <c r="D42" s="815"/>
      <c r="E42" s="783" t="s">
        <v>1811</v>
      </c>
      <c r="F42" s="793">
        <f ca="1">INDIRECT("'数据-取费表'!v"&amp;$G$1)</f>
        <v>0.03</v>
      </c>
      <c r="G42" s="2060"/>
      <c r="H42" s="1986"/>
      <c r="I42" s="846" t="s">
        <v>1823</v>
      </c>
      <c r="J42" s="844">
        <f ca="1">ROUND(C13/C40,3)</f>
        <v>0.38800000000000001</v>
      </c>
      <c r="K42" s="2080"/>
      <c r="L42" s="1986"/>
      <c r="M42" s="1986"/>
    </row>
    <row r="43" spans="1:18" ht="18" customHeight="1" thickBot="1">
      <c r="A43" s="822" t="s">
        <v>1789</v>
      </c>
      <c r="B43" s="823" t="s">
        <v>1812</v>
      </c>
      <c r="C43" s="824">
        <f ca="1">ROUND(C40*10000/F43,0)</f>
        <v>9117</v>
      </c>
      <c r="D43" s="825" t="s">
        <v>1813</v>
      </c>
      <c r="E43" s="826" t="s">
        <v>1814</v>
      </c>
      <c r="F43" s="827">
        <f ca="1">INDIRECT("'数据-取费表'!k"&amp;$G$1)</f>
        <v>5249.5199999999895</v>
      </c>
      <c r="G43" s="2060"/>
      <c r="H43" s="1986"/>
      <c r="I43" s="846" t="s">
        <v>1824</v>
      </c>
      <c r="J43" s="847">
        <f ca="1">1-J42</f>
        <v>0.61199999999999999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-5566</v>
      </c>
      <c r="D46" s="2083"/>
      <c r="E46" s="2083"/>
      <c r="F46" s="2083"/>
      <c r="I46" s="2376" t="s">
        <v>2343</v>
      </c>
      <c r="J46" s="2377"/>
      <c r="K46" s="2378"/>
      <c r="L46" s="2379" t="str">
        <f ca="1">IF(M47="住宅",0,IF(L48&gt;J51,L60,J60))</f>
        <v>0</v>
      </c>
      <c r="O46" s="2416" t="s">
        <v>2411</v>
      </c>
      <c r="P46" s="1591"/>
      <c r="Q46" s="1603"/>
      <c r="R46" s="1591"/>
    </row>
    <row r="47" spans="1:18" s="2057" customFormat="1" ht="18" customHeight="1" thickBot="1">
      <c r="A47" s="2370">
        <v>1</v>
      </c>
      <c r="B47" s="2371" t="s">
        <v>636</v>
      </c>
      <c r="C47" s="2596">
        <f ca="1">C48+C52+C54</f>
        <v>0</v>
      </c>
      <c r="D47" s="2083"/>
      <c r="E47" s="2083"/>
      <c r="F47" s="2083"/>
      <c r="I47" s="2380" t="s">
        <v>2344</v>
      </c>
      <c r="J47" s="2385" t="s">
        <v>3193</v>
      </c>
      <c r="K47" s="2386" t="s">
        <v>2350</v>
      </c>
      <c r="L47" s="2387">
        <f ca="1">INDIRECT("'数据-取费表'!d"&amp;$G$1)</f>
        <v>40</v>
      </c>
      <c r="M47" s="1603" t="str">
        <f>IF(ISNUMBER(FIND("住宅",C1)),"住宅","非住宅")</f>
        <v>非住宅</v>
      </c>
      <c r="O47" s="2417" t="s">
        <v>2376</v>
      </c>
      <c r="P47" s="2418" t="s">
        <v>2377</v>
      </c>
      <c r="Q47" s="2419" t="s">
        <v>2378</v>
      </c>
      <c r="R47" s="2418" t="s">
        <v>2379</v>
      </c>
    </row>
    <row r="48" spans="1:18" s="2057" customFormat="1" ht="18" customHeight="1" thickBot="1">
      <c r="A48" s="2665" t="s">
        <v>2540</v>
      </c>
      <c r="B48" s="2666" t="s">
        <v>2541</v>
      </c>
      <c r="C48" s="2372">
        <f ca="1">ROUND(F48*F50*F49*(1-F51)/10000,0)</f>
        <v>0</v>
      </c>
      <c r="D48" s="2373" t="s">
        <v>637</v>
      </c>
      <c r="E48" s="2374" t="s">
        <v>2298</v>
      </c>
      <c r="F48" s="2375"/>
      <c r="G48" s="2088"/>
      <c r="I48" s="2381" t="s">
        <v>2345</v>
      </c>
      <c r="J48" s="2388" t="s">
        <v>2351</v>
      </c>
      <c r="K48" s="2389" t="s">
        <v>2352</v>
      </c>
      <c r="L48" s="2390">
        <f ca="1">INDIRECT("'数据-取费表'!f"&amp;$G$1)</f>
        <v>36.4</v>
      </c>
      <c r="O48" s="2420" t="s">
        <v>2380</v>
      </c>
      <c r="P48" s="2421" t="s">
        <v>2406</v>
      </c>
      <c r="Q48" s="2422">
        <f ca="1">C40+J29</f>
        <v>4786</v>
      </c>
      <c r="R48" s="2421" t="s">
        <v>2381</v>
      </c>
    </row>
    <row r="49" spans="1:18" s="2057" customFormat="1" ht="18" customHeight="1" thickBot="1">
      <c r="A49" s="785"/>
      <c r="B49" s="786"/>
      <c r="C49" s="787"/>
      <c r="D49" s="788"/>
      <c r="E49" s="783" t="s">
        <v>1741</v>
      </c>
      <c r="F49" s="784">
        <f ca="1">F7</f>
        <v>5249.5199999999895</v>
      </c>
      <c r="G49" s="2088"/>
      <c r="H49" s="2091"/>
      <c r="I49" s="2381" t="s">
        <v>2346</v>
      </c>
      <c r="J49" s="2391"/>
      <c r="K49" s="2392" t="s">
        <v>2353</v>
      </c>
      <c r="L49" s="2393"/>
      <c r="O49" s="2420" t="s">
        <v>2382</v>
      </c>
      <c r="P49" s="2421" t="s">
        <v>2407</v>
      </c>
      <c r="Q49" s="2422" t="str">
        <f ca="1">J60</f>
        <v>0</v>
      </c>
      <c r="R49" s="2421" t="s">
        <v>2383</v>
      </c>
    </row>
    <row r="50" spans="1:18" s="2057" customFormat="1" ht="18" customHeight="1" thickBot="1">
      <c r="A50" s="785"/>
      <c r="B50" s="786"/>
      <c r="C50" s="787"/>
      <c r="D50" s="788"/>
      <c r="E50" s="783" t="s">
        <v>1742</v>
      </c>
      <c r="F50" s="784">
        <f ca="1">F8</f>
        <v>12</v>
      </c>
      <c r="G50" s="2093"/>
      <c r="H50" s="2091"/>
      <c r="I50" s="2381" t="s">
        <v>2347</v>
      </c>
      <c r="J50" s="2394">
        <f>SUMPRODUCT((I63:I65=J47)*(J62:L62=J48)*(J63:L65))</f>
        <v>60</v>
      </c>
      <c r="K50" s="2392" t="s">
        <v>2354</v>
      </c>
      <c r="L50" s="2393"/>
      <c r="O50" s="2423" t="s">
        <v>2384</v>
      </c>
      <c r="P50" s="2421" t="s">
        <v>2408</v>
      </c>
      <c r="Q50" s="2422">
        <f ca="1">C29</f>
        <v>1856</v>
      </c>
      <c r="R50" s="2421" t="s">
        <v>2381</v>
      </c>
    </row>
    <row r="51" spans="1:18" s="2057" customFormat="1" ht="18" customHeight="1" thickBot="1">
      <c r="A51" s="785"/>
      <c r="B51" s="786"/>
      <c r="C51" s="787"/>
      <c r="D51" s="788"/>
      <c r="E51" s="783" t="s">
        <v>641</v>
      </c>
      <c r="F51" s="2369"/>
      <c r="H51" s="2091"/>
      <c r="I51" s="2382" t="s">
        <v>2348</v>
      </c>
      <c r="J51" s="2395">
        <f>IF(J49="",J50,J49+J50-YEAR('数据-取费表'!B2))</f>
        <v>60</v>
      </c>
      <c r="K51" s="2381" t="s">
        <v>2355</v>
      </c>
      <c r="L51" s="2396">
        <f ca="1">ROUND(-PV(INDIRECT("'数据-取费表'!h"&amp;$G$1),L48,(C39-C13*J36),0),0)</f>
        <v>918</v>
      </c>
      <c r="O51" s="2423" t="s">
        <v>2385</v>
      </c>
      <c r="P51" s="2421" t="s">
        <v>2386</v>
      </c>
      <c r="Q51" s="2424" t="e">
        <f ca="1">J58</f>
        <v>#VALUE!</v>
      </c>
      <c r="R51" s="2425"/>
    </row>
    <row r="52" spans="1:18" s="2057" customFormat="1" ht="18" customHeight="1" thickBot="1">
      <c r="A52" s="780" t="s">
        <v>2539</v>
      </c>
      <c r="B52" s="2516" t="s">
        <v>2461</v>
      </c>
      <c r="C52" s="798">
        <f ca="1">ROUND(IF(F52="押一",F48*F50*F49/12*F11,IF(F52="押二",F48*F50*F49/12*2*F11,IF(F52="押三",F48*F50*F49/12*3*F11,C53*F11)))/10000,0)</f>
        <v>0</v>
      </c>
      <c r="D52" s="2523" t="s">
        <v>2468</v>
      </c>
      <c r="E52" s="2520" t="s">
        <v>2466</v>
      </c>
      <c r="F52" s="2643"/>
      <c r="I52" s="2383" t="s">
        <v>2422</v>
      </c>
      <c r="J52" s="2397"/>
      <c r="K52" s="2383" t="s">
        <v>2421</v>
      </c>
      <c r="L52" s="2397"/>
      <c r="O52" s="2423" t="s">
        <v>2387</v>
      </c>
      <c r="P52" s="2421" t="s">
        <v>2388</v>
      </c>
      <c r="Q52" s="2424">
        <f>J52</f>
        <v>0</v>
      </c>
      <c r="R52" s="2425"/>
    </row>
    <row r="53" spans="1:18" s="2057" customFormat="1" ht="39.75" customHeight="1" thickBot="1">
      <c r="A53" s="785"/>
      <c r="B53" s="2517" t="s">
        <v>2576</v>
      </c>
      <c r="C53" s="2521"/>
      <c r="D53" s="2523"/>
      <c r="E53" s="2520"/>
      <c r="F53" s="799"/>
      <c r="I53" s="2384" t="s">
        <v>2349</v>
      </c>
      <c r="J53" s="2398">
        <f ca="1">IF(M47="住宅",J51,IF(D1="——",MIN(J51,L48),IF(D1="土地（套用方法）",MIN(J51,L48-'数据-取费表'!B20))))</f>
        <v>34.4</v>
      </c>
      <c r="K53" s="3502" t="s">
        <v>2972</v>
      </c>
      <c r="L53" s="3503"/>
      <c r="O53" s="2423" t="s">
        <v>2389</v>
      </c>
      <c r="P53" s="2421" t="s">
        <v>2390</v>
      </c>
      <c r="Q53" s="2422">
        <f ca="1">J53</f>
        <v>34.4</v>
      </c>
      <c r="R53" s="2421" t="s">
        <v>2391</v>
      </c>
    </row>
    <row r="54" spans="1:18" s="2057" customFormat="1" ht="18" customHeight="1" thickBot="1">
      <c r="A54" s="2559" t="s">
        <v>2470</v>
      </c>
      <c r="B54" s="2560" t="s">
        <v>2462</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2392</v>
      </c>
      <c r="P54" s="2421" t="s">
        <v>2409</v>
      </c>
      <c r="Q54" s="2422">
        <f ca="1">Q48+Q49</f>
        <v>4786</v>
      </c>
      <c r="R54" s="2425" t="s">
        <v>2393</v>
      </c>
    </row>
    <row r="55" spans="1:18" s="2057" customFormat="1" ht="18" customHeight="1" thickTop="1" thickBot="1">
      <c r="A55" s="796">
        <v>2</v>
      </c>
      <c r="B55" s="797" t="s">
        <v>645</v>
      </c>
      <c r="C55" s="798">
        <f ca="1">C13</f>
        <v>1856</v>
      </c>
      <c r="D55" s="794"/>
      <c r="E55" s="794"/>
      <c r="F55" s="799"/>
      <c r="I55" s="3127" t="s">
        <v>2356</v>
      </c>
      <c r="J55" s="3126" t="e">
        <f ca="1">ROUND(IF(J47="钢混",J57/J50,1-(1-2%)*(J50-J57)/J50),3)</f>
        <v>#VALUE!</v>
      </c>
      <c r="K55" s="2399" t="s">
        <v>2357</v>
      </c>
      <c r="L55" s="2400"/>
      <c r="O55" s="2426" t="s">
        <v>2412</v>
      </c>
      <c r="P55" s="1591"/>
      <c r="Q55" s="1603"/>
      <c r="R55" s="1591"/>
    </row>
    <row r="56" spans="1:18" s="2057" customFormat="1" ht="42.75" customHeight="1" thickBot="1">
      <c r="A56" s="1649"/>
      <c r="B56" s="2229" t="s">
        <v>2304</v>
      </c>
      <c r="C56" s="53">
        <f ca="1">C29</f>
        <v>1856</v>
      </c>
      <c r="D56" s="2662"/>
      <c r="E56" s="783"/>
      <c r="F56" s="808"/>
      <c r="I56" s="2401" t="s">
        <v>2358</v>
      </c>
      <c r="J56" s="3150" t="s">
        <v>1680</v>
      </c>
      <c r="K56" s="2381" t="s">
        <v>2363</v>
      </c>
      <c r="L56" s="2390" t="str">
        <f ca="1">IF(L48&lt;J51,"——",L48-J51)</f>
        <v>——</v>
      </c>
      <c r="O56" s="2417" t="s">
        <v>2376</v>
      </c>
      <c r="P56" s="2418" t="s">
        <v>2377</v>
      </c>
      <c r="Q56" s="2419" t="s">
        <v>2378</v>
      </c>
      <c r="R56" s="2418" t="s">
        <v>2379</v>
      </c>
    </row>
    <row r="57" spans="1:18" s="2057" customFormat="1" ht="28.5" customHeight="1" thickBot="1">
      <c r="A57" s="796" t="s">
        <v>1750</v>
      </c>
      <c r="B57" s="797" t="s">
        <v>652</v>
      </c>
      <c r="C57" s="798">
        <f ca="1">ROUND(C58+C63+C64+C65,0)</f>
        <v>51</v>
      </c>
      <c r="D57" s="26" t="s">
        <v>1752</v>
      </c>
      <c r="E57" s="2663"/>
      <c r="F57" s="56"/>
      <c r="I57" s="2402" t="s">
        <v>2359</v>
      </c>
      <c r="J57" s="2404" t="str">
        <f ca="1">IF(OR(M47="住宅",J51&lt;L48,J56="是"),"——",J51-L48)</f>
        <v>——</v>
      </c>
      <c r="K57" s="2381" t="s">
        <v>2364</v>
      </c>
      <c r="L57" s="2390" t="str">
        <f ca="1">IF(L48&lt;J51,"——",IF(L55="比较法",L49,IF(L55="基准地价",L50,L51)))</f>
        <v>——</v>
      </c>
      <c r="O57" s="2420" t="s">
        <v>2380</v>
      </c>
      <c r="P57" s="2421" t="s">
        <v>2410</v>
      </c>
      <c r="Q57" s="2422">
        <f ca="1">C40+J29</f>
        <v>4786</v>
      </c>
      <c r="R57" s="2421" t="s">
        <v>2381</v>
      </c>
    </row>
    <row r="58" spans="1:18" s="2057" customFormat="1" ht="28.5" customHeight="1" thickBot="1">
      <c r="A58" s="1648" t="s">
        <v>1826</v>
      </c>
      <c r="B58" s="783" t="s">
        <v>657</v>
      </c>
      <c r="C58" s="53">
        <f ca="1">ROUND(IF(项目基本情况!B11="自然人",C47*F58,C59+C60+C61),1)</f>
        <v>20</v>
      </c>
      <c r="D58" s="2661" t="s">
        <v>658</v>
      </c>
      <c r="E58" s="2662" t="s">
        <v>691</v>
      </c>
      <c r="F58" s="809" t="str">
        <f ca="1">IF(项目基本情况!B11="企业","",IF(INDIRECT("'数据-取费表'!c"&amp;$G$1)="住宅",5%,IF(F48*F49*F50/12/(1+'数据-取费表'!C42)&gt;20000,12%,7%)))</f>
        <v/>
      </c>
      <c r="I58" s="2402" t="s">
        <v>2360</v>
      </c>
      <c r="J58" s="3128" t="e">
        <f ca="1">IF(J55&lt;0.4,0.4,J55)</f>
        <v>#VALUE!</v>
      </c>
      <c r="K58" s="2381" t="s">
        <v>2365</v>
      </c>
      <c r="L58" s="2390" t="e">
        <f ca="1">ROUND(POWER(1+L52,L47-L48)*(POWER(1+L52,L48)-1)/(POWER(1+L52,L47)-1),4)</f>
        <v>#DIV/0!</v>
      </c>
      <c r="O58" s="2420" t="s">
        <v>2382</v>
      </c>
      <c r="P58" s="2421" t="s">
        <v>2413</v>
      </c>
      <c r="Q58" s="2422">
        <f ca="1">L60</f>
        <v>0</v>
      </c>
      <c r="R58" s="2425" t="s">
        <v>2415</v>
      </c>
    </row>
    <row r="59" spans="1:18" s="2057" customFormat="1" ht="28.5" customHeight="1" thickBot="1">
      <c r="A59" s="1647" t="s">
        <v>1833</v>
      </c>
      <c r="B59" s="783" t="s">
        <v>661</v>
      </c>
      <c r="C59" s="53">
        <f ca="1">ROUND(C47*F59/1.05,1)</f>
        <v>0</v>
      </c>
      <c r="D59" s="2662" t="s">
        <v>1758</v>
      </c>
      <c r="E59" s="783" t="s">
        <v>1749</v>
      </c>
      <c r="F59" s="808">
        <f t="shared" ref="F59:F65" si="0">F32</f>
        <v>6.2719999999999998E-2</v>
      </c>
      <c r="I59" s="2402" t="s">
        <v>2361</v>
      </c>
      <c r="J59" s="2404"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2384</v>
      </c>
      <c r="P59" s="2421" t="s">
        <v>2414</v>
      </c>
      <c r="Q59" s="2422">
        <f>IF(L55="比较法",L49,IF(L55="基准地价",L50,0))</f>
        <v>0</v>
      </c>
      <c r="R59" s="2421" t="s">
        <v>2381</v>
      </c>
    </row>
    <row r="60" spans="1:18" s="2057" customFormat="1" ht="18" customHeight="1" thickBot="1">
      <c r="A60" s="1647" t="s">
        <v>1834</v>
      </c>
      <c r="B60" s="783" t="s">
        <v>1760</v>
      </c>
      <c r="C60" s="53">
        <f ca="1">IF(D60="按租金收入计税",ROUND(C47*F60,1),IF(D60="按房产原值计税",ROUND(C56*F60*0.7,1),INDIRECT("'数据-取费表'!Aj"&amp;$G$1)))</f>
        <v>15.6</v>
      </c>
      <c r="D60" s="2662" t="str">
        <f>D33</f>
        <v>按房产原值计税</v>
      </c>
      <c r="E60" s="783" t="s">
        <v>1749</v>
      </c>
      <c r="F60" s="808">
        <f t="shared" si="0"/>
        <v>1.2E-2</v>
      </c>
      <c r="I60" s="2403" t="s">
        <v>2362</v>
      </c>
      <c r="J60" s="2405" t="str">
        <f ca="1">IF(OR(M47="住宅",J51&lt;L48,J56="是"),"0",ROUND(J59/(1+J52)^J53,0))</f>
        <v>0</v>
      </c>
      <c r="K60" s="2406" t="s">
        <v>2367</v>
      </c>
      <c r="L60" s="2405">
        <f ca="1">IF(OR(M47="住宅",L48&lt;J51),0,ROUND(L57*(L58/L59-1),0))</f>
        <v>0</v>
      </c>
      <c r="O60" s="2423" t="s">
        <v>2385</v>
      </c>
      <c r="P60" s="2421" t="s">
        <v>2394</v>
      </c>
      <c r="Q60" s="2424">
        <f>L52</f>
        <v>0</v>
      </c>
      <c r="R60" s="2425"/>
    </row>
    <row r="61" spans="1:18" s="2057" customFormat="1" ht="18" customHeight="1" thickBot="1">
      <c r="A61" s="1650" t="s">
        <v>1835</v>
      </c>
      <c r="B61" s="340" t="s">
        <v>669</v>
      </c>
      <c r="C61" s="54">
        <f ca="1">ROUND(F61*F62/10000,1)</f>
        <v>4.4000000000000004</v>
      </c>
      <c r="D61" s="813" t="s">
        <v>670</v>
      </c>
      <c r="E61" s="783" t="s">
        <v>671</v>
      </c>
      <c r="F61" s="639">
        <f t="shared" si="0"/>
        <v>10</v>
      </c>
      <c r="K61" s="2084"/>
      <c r="O61" s="2423" t="s">
        <v>2387</v>
      </c>
      <c r="P61" s="2421" t="s">
        <v>2395</v>
      </c>
      <c r="Q61" s="2422" t="e">
        <f ca="1">L58</f>
        <v>#DIV/0!</v>
      </c>
      <c r="R61" s="2425" t="s">
        <v>2396</v>
      </c>
    </row>
    <row r="62" spans="1:18" s="2057" customFormat="1" ht="15.75" thickBot="1">
      <c r="A62" s="814"/>
      <c r="B62" s="792"/>
      <c r="C62" s="69"/>
      <c r="D62" s="815"/>
      <c r="E62" s="783" t="s">
        <v>675</v>
      </c>
      <c r="F62" s="784">
        <f t="shared" ca="1" si="0"/>
        <v>4374.6000000000004</v>
      </c>
      <c r="I62" s="2407" t="s">
        <v>2368</v>
      </c>
      <c r="J62" s="2408" t="s">
        <v>2369</v>
      </c>
      <c r="K62" s="2408" t="s">
        <v>2370</v>
      </c>
      <c r="L62" s="2408" t="s">
        <v>2351</v>
      </c>
      <c r="M62" s="3129" t="s">
        <v>2947</v>
      </c>
      <c r="O62" s="2423" t="s">
        <v>2389</v>
      </c>
      <c r="P62" s="2421" t="str">
        <f>K59</f>
        <v>建设期及建筑物耐用年限下的土地年期修正系数Kn</v>
      </c>
      <c r="Q62" s="2422" t="e">
        <f ca="1">L59</f>
        <v>#DIV/0!</v>
      </c>
      <c r="R62" s="2425" t="s">
        <v>2398</v>
      </c>
    </row>
    <row r="63" spans="1:18" s="2057" customFormat="1" ht="15.75" thickBot="1">
      <c r="A63" s="1648" t="s">
        <v>1891</v>
      </c>
      <c r="B63" s="783" t="s">
        <v>677</v>
      </c>
      <c r="C63" s="53">
        <f ca="1">ROUND(C56*F63,1)</f>
        <v>27.8</v>
      </c>
      <c r="D63" s="2662" t="s">
        <v>1805</v>
      </c>
      <c r="E63" s="783" t="s">
        <v>1749</v>
      </c>
      <c r="F63" s="816">
        <f t="shared" ca="1" si="0"/>
        <v>1.4999999999999999E-2</v>
      </c>
      <c r="I63" s="2407" t="s">
        <v>2371</v>
      </c>
      <c r="J63" s="2408">
        <v>70</v>
      </c>
      <c r="K63" s="2408">
        <v>50</v>
      </c>
      <c r="L63" s="2408">
        <v>80</v>
      </c>
      <c r="M63" s="3130">
        <v>0.02</v>
      </c>
      <c r="O63" s="2420" t="s">
        <v>2392</v>
      </c>
      <c r="P63" s="2421" t="s">
        <v>2409</v>
      </c>
      <c r="Q63" s="2422">
        <f ca="1">Q57+Q58</f>
        <v>4786</v>
      </c>
      <c r="R63" s="2425" t="s">
        <v>2393</v>
      </c>
    </row>
    <row r="64" spans="1:18" s="2057" customFormat="1" ht="16.5" thickBot="1">
      <c r="A64" s="1648" t="s">
        <v>1892</v>
      </c>
      <c r="B64" s="783" t="s">
        <v>680</v>
      </c>
      <c r="C64" s="53">
        <f ca="1">ROUND(C55*F64,1)</f>
        <v>2.8</v>
      </c>
      <c r="D64" s="2662" t="s">
        <v>681</v>
      </c>
      <c r="E64" s="783" t="s">
        <v>1749</v>
      </c>
      <c r="F64" s="817">
        <f t="shared" ca="1" si="0"/>
        <v>1.5E-3</v>
      </c>
      <c r="I64" s="2407" t="s">
        <v>2372</v>
      </c>
      <c r="J64" s="2408">
        <v>50</v>
      </c>
      <c r="K64" s="2408">
        <v>35</v>
      </c>
      <c r="L64" s="2408">
        <v>60</v>
      </c>
      <c r="M64" s="3131">
        <v>0</v>
      </c>
      <c r="O64" s="2426" t="s">
        <v>2416</v>
      </c>
      <c r="P64" s="1591"/>
      <c r="Q64" s="1603"/>
      <c r="R64" s="1591"/>
    </row>
    <row r="65" spans="1:18" s="2057" customFormat="1" ht="15.75" thickBot="1">
      <c r="A65" s="1648" t="s">
        <v>1893</v>
      </c>
      <c r="B65" s="783" t="s">
        <v>667</v>
      </c>
      <c r="C65" s="53">
        <f ca="1">ROUND(C47*F65,1)</f>
        <v>0</v>
      </c>
      <c r="D65" s="2662" t="s">
        <v>684</v>
      </c>
      <c r="E65" s="783" t="s">
        <v>1749</v>
      </c>
      <c r="F65" s="793">
        <f t="shared" ca="1" si="0"/>
        <v>0.01</v>
      </c>
      <c r="I65" s="2407" t="s">
        <v>2373</v>
      </c>
      <c r="J65" s="2408">
        <v>40</v>
      </c>
      <c r="K65" s="2408">
        <v>30</v>
      </c>
      <c r="L65" s="2408">
        <v>50</v>
      </c>
      <c r="M65" s="3130">
        <v>0.02</v>
      </c>
      <c r="O65" s="2417" t="s">
        <v>2376</v>
      </c>
      <c r="P65" s="2418" t="s">
        <v>2377</v>
      </c>
      <c r="Q65" s="2419" t="s">
        <v>2378</v>
      </c>
      <c r="R65" s="2418" t="s">
        <v>2379</v>
      </c>
    </row>
    <row r="66" spans="1:18" s="2057" customFormat="1" ht="24.75" thickBot="1">
      <c r="A66" s="796" t="s">
        <v>1778</v>
      </c>
      <c r="B66" s="3035" t="s">
        <v>2827</v>
      </c>
      <c r="C66" s="798">
        <f ca="1">C47-C57</f>
        <v>-51</v>
      </c>
      <c r="D66" s="2661" t="s">
        <v>701</v>
      </c>
      <c r="E66" s="2660"/>
      <c r="F66" s="819"/>
      <c r="K66" s="2084"/>
      <c r="O66" s="2420" t="s">
        <v>2380</v>
      </c>
      <c r="P66" s="2421" t="s">
        <v>2410</v>
      </c>
      <c r="Q66" s="2422">
        <f ca="1">C40+J29</f>
        <v>4786</v>
      </c>
      <c r="R66" s="2421" t="s">
        <v>2381</v>
      </c>
    </row>
    <row r="67" spans="1:18" s="2057" customFormat="1" ht="20.25" thickBot="1">
      <c r="A67" s="780" t="s">
        <v>1782</v>
      </c>
      <c r="B67" s="2230" t="s">
        <v>2303</v>
      </c>
      <c r="C67" s="782">
        <f ca="1">ROUND(C66*(1-((1+F69)/(1+F67))^F68)/(F67-F69),0)</f>
        <v>-780</v>
      </c>
      <c r="D67" s="813" t="s">
        <v>705</v>
      </c>
      <c r="E67" s="783" t="s">
        <v>706</v>
      </c>
      <c r="F67" s="793">
        <f ca="1">F40</f>
        <v>5.5E-2</v>
      </c>
      <c r="K67" s="2084"/>
      <c r="O67" s="2420" t="s">
        <v>2382</v>
      </c>
      <c r="P67" s="2421" t="s">
        <v>2413</v>
      </c>
      <c r="Q67" s="2422">
        <f ca="1">L60</f>
        <v>0</v>
      </c>
      <c r="R67" s="2425" t="s">
        <v>2415</v>
      </c>
    </row>
    <row r="68" spans="1:18" ht="21.75" thickBot="1">
      <c r="A68" s="785"/>
      <c r="B68" s="786"/>
      <c r="C68" s="787"/>
      <c r="D68" s="820" t="s">
        <v>1810</v>
      </c>
      <c r="E68" s="783" t="s">
        <v>1786</v>
      </c>
      <c r="F68" s="821">
        <f ca="1">F41</f>
        <v>34.4</v>
      </c>
      <c r="O68" s="2423" t="s">
        <v>2384</v>
      </c>
      <c r="P68" s="2421" t="s">
        <v>2414</v>
      </c>
      <c r="Q68" s="2427">
        <f ca="1">L51</f>
        <v>918</v>
      </c>
      <c r="R68" s="2428" t="s">
        <v>2417</v>
      </c>
    </row>
    <row r="69" spans="1:18" ht="20.25" thickBot="1">
      <c r="A69" s="789"/>
      <c r="B69" s="790"/>
      <c r="C69" s="791"/>
      <c r="D69" s="815"/>
      <c r="E69" s="783" t="s">
        <v>711</v>
      </c>
      <c r="F69" s="2369"/>
      <c r="O69" s="2423" t="s">
        <v>2385</v>
      </c>
      <c r="P69" s="2429" t="s">
        <v>2399</v>
      </c>
      <c r="Q69" s="2422">
        <f ca="1">ROUND(Q70-Q71*Q72,0)</f>
        <v>55</v>
      </c>
      <c r="R69" s="2425"/>
    </row>
    <row r="70" spans="1:18" ht="15.75" thickBot="1">
      <c r="A70" s="822" t="s">
        <v>1789</v>
      </c>
      <c r="B70" s="823" t="s">
        <v>1812</v>
      </c>
      <c r="C70" s="824">
        <f ca="1">ROUND(C67*10000/F70,0)</f>
        <v>-1486</v>
      </c>
      <c r="D70" s="825" t="s">
        <v>1813</v>
      </c>
      <c r="E70" s="826" t="s">
        <v>1814</v>
      </c>
      <c r="F70" s="827">
        <f ca="1">F43</f>
        <v>5249.5199999999895</v>
      </c>
      <c r="O70" s="2423" t="s">
        <v>2400</v>
      </c>
      <c r="P70" s="2429" t="s">
        <v>2401</v>
      </c>
      <c r="Q70" s="2422">
        <f ca="1">C39</f>
        <v>213</v>
      </c>
      <c r="R70" s="2421" t="s">
        <v>2381</v>
      </c>
    </row>
    <row r="71" spans="1:18" ht="15.75" thickBot="1">
      <c r="O71" s="2423" t="s">
        <v>2402</v>
      </c>
      <c r="P71" s="2429" t="s">
        <v>2403</v>
      </c>
      <c r="Q71" s="2422">
        <f ca="1">C13</f>
        <v>1856</v>
      </c>
      <c r="R71" s="2421" t="s">
        <v>2381</v>
      </c>
    </row>
    <row r="72" spans="1:18" ht="15.75" thickBot="1">
      <c r="O72" s="2423" t="s">
        <v>2404</v>
      </c>
      <c r="P72" s="2429" t="s">
        <v>2405</v>
      </c>
      <c r="Q72" s="2424">
        <f ca="1">J36</f>
        <v>8.5000000000000006E-2</v>
      </c>
      <c r="R72" s="2425"/>
    </row>
    <row r="73" spans="1:18" ht="15.75" thickBot="1">
      <c r="O73" s="2423" t="s">
        <v>2387</v>
      </c>
      <c r="P73" s="2421" t="s">
        <v>2394</v>
      </c>
      <c r="Q73" s="2424">
        <f>L52</f>
        <v>0</v>
      </c>
      <c r="R73" s="2425"/>
    </row>
    <row r="74" spans="1:18" ht="20.25" thickBot="1">
      <c r="O74" s="2423" t="s">
        <v>2389</v>
      </c>
      <c r="P74" s="2421" t="s">
        <v>2395</v>
      </c>
      <c r="Q74" s="2422" t="e">
        <f ca="1">L58</f>
        <v>#DIV/0!</v>
      </c>
      <c r="R74" s="2425" t="s">
        <v>2396</v>
      </c>
    </row>
    <row r="75" spans="1:18" ht="15.75" thickBot="1">
      <c r="O75" s="2423" t="s">
        <v>2418</v>
      </c>
      <c r="P75" s="2421" t="str">
        <f>K59</f>
        <v>建设期及建筑物耐用年限下的土地年期修正系数Kn</v>
      </c>
      <c r="Q75" s="2422" t="e">
        <f ca="1">L59</f>
        <v>#DIV/0!</v>
      </c>
      <c r="R75" s="2425" t="s">
        <v>2398</v>
      </c>
    </row>
    <row r="76" spans="1:18" ht="15.75" thickBot="1">
      <c r="O76" s="2420" t="s">
        <v>2392</v>
      </c>
      <c r="P76" s="2421" t="s">
        <v>2409</v>
      </c>
      <c r="Q76" s="2422">
        <f ca="1">Q66+Q67</f>
        <v>4786</v>
      </c>
      <c r="R76" s="2425"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0" t="s">
        <v>2474</v>
      </c>
      <c r="B1" s="3521"/>
      <c r="C1" s="3522"/>
      <c r="D1" s="3523">
        <f>SUM(I10,I15,I20,I21,I23)</f>
        <v>0</v>
      </c>
      <c r="E1" s="3523"/>
      <c r="F1" s="3523"/>
      <c r="G1" s="3523"/>
      <c r="H1" s="3523"/>
      <c r="I1" s="3524"/>
    </row>
    <row r="2" spans="1:9">
      <c r="A2" s="3510" t="s">
        <v>2475</v>
      </c>
      <c r="B2" s="3511" t="s">
        <v>2476</v>
      </c>
      <c r="C2" s="3511"/>
      <c r="D2" s="2529" t="s">
        <v>2477</v>
      </c>
      <c r="E2" s="2529" t="s">
        <v>2478</v>
      </c>
      <c r="F2" s="2529" t="s">
        <v>2479</v>
      </c>
      <c r="G2" s="2529" t="s">
        <v>2480</v>
      </c>
      <c r="H2" s="2529" t="s">
        <v>2481</v>
      </c>
      <c r="I2" s="2530" t="s">
        <v>2482</v>
      </c>
    </row>
    <row r="3" spans="1:9">
      <c r="A3" s="3510"/>
      <c r="B3" s="3511" t="s">
        <v>2483</v>
      </c>
      <c r="C3" s="3511"/>
      <c r="D3" s="2531"/>
      <c r="E3" s="2529"/>
      <c r="F3" s="2532"/>
      <c r="G3" s="2532"/>
      <c r="H3" s="2533"/>
      <c r="I3" s="2534">
        <f>ROUND(D3*E3*F3*G3*H3/10000,0)</f>
        <v>0</v>
      </c>
    </row>
    <row r="4" spans="1:9">
      <c r="A4" s="3510"/>
      <c r="B4" s="3511" t="s">
        <v>2484</v>
      </c>
      <c r="C4" s="3511"/>
      <c r="D4" s="2531"/>
      <c r="E4" s="2529"/>
      <c r="F4" s="2532"/>
      <c r="G4" s="2532"/>
      <c r="H4" s="2533"/>
      <c r="I4" s="2534">
        <f t="shared" ref="I4:I9" si="0">ROUND(D4*E4*F4*G4*H4/10000,0)</f>
        <v>0</v>
      </c>
    </row>
    <row r="5" spans="1:9">
      <c r="A5" s="3510"/>
      <c r="B5" s="3511" t="s">
        <v>2485</v>
      </c>
      <c r="C5" s="3511"/>
      <c r="D5" s="2531"/>
      <c r="E5" s="2529"/>
      <c r="F5" s="2532"/>
      <c r="G5" s="2532"/>
      <c r="H5" s="2533"/>
      <c r="I5" s="2534">
        <f t="shared" si="0"/>
        <v>0</v>
      </c>
    </row>
    <row r="6" spans="1:9">
      <c r="A6" s="3510"/>
      <c r="B6" s="3511" t="s">
        <v>2486</v>
      </c>
      <c r="C6" s="3511"/>
      <c r="D6" s="2531"/>
      <c r="E6" s="2529"/>
      <c r="F6" s="2532"/>
      <c r="G6" s="2532"/>
      <c r="H6" s="2533"/>
      <c r="I6" s="2534">
        <f t="shared" si="0"/>
        <v>0</v>
      </c>
    </row>
    <row r="7" spans="1:9">
      <c r="A7" s="3510"/>
      <c r="B7" s="3511" t="s">
        <v>2487</v>
      </c>
      <c r="C7" s="3511"/>
      <c r="D7" s="2531"/>
      <c r="E7" s="2529"/>
      <c r="F7" s="2532"/>
      <c r="G7" s="2532"/>
      <c r="H7" s="2533"/>
      <c r="I7" s="2534">
        <f t="shared" si="0"/>
        <v>0</v>
      </c>
    </row>
    <row r="8" spans="1:9">
      <c r="A8" s="3510"/>
      <c r="B8" s="3511" t="s">
        <v>2488</v>
      </c>
      <c r="C8" s="3511"/>
      <c r="D8" s="2531"/>
      <c r="E8" s="2529"/>
      <c r="F8" s="2532"/>
      <c r="G8" s="2532"/>
      <c r="H8" s="2533"/>
      <c r="I8" s="2534">
        <f t="shared" si="0"/>
        <v>0</v>
      </c>
    </row>
    <row r="9" spans="1:9">
      <c r="A9" s="3510"/>
      <c r="B9" s="3511" t="s">
        <v>2489</v>
      </c>
      <c r="C9" s="3511"/>
      <c r="D9" s="2531"/>
      <c r="E9" s="2529"/>
      <c r="F9" s="2532"/>
      <c r="G9" s="2532"/>
      <c r="H9" s="2533"/>
      <c r="I9" s="2534">
        <f t="shared" si="0"/>
        <v>0</v>
      </c>
    </row>
    <row r="10" spans="1:9">
      <c r="A10" s="3510"/>
      <c r="B10" s="3512" t="s">
        <v>2490</v>
      </c>
      <c r="C10" s="3512"/>
      <c r="D10" s="2535">
        <v>527</v>
      </c>
      <c r="E10" s="2535" t="e">
        <f>ROUND(D1*10000/D10/H9,0)</f>
        <v>#DIV/0!</v>
      </c>
      <c r="F10" s="2536"/>
      <c r="G10" s="2536"/>
      <c r="H10" s="2537"/>
      <c r="I10" s="2538">
        <f>SUM(I3:I9)</f>
        <v>0</v>
      </c>
    </row>
    <row r="11" spans="1:9" ht="14.25">
      <c r="A11" s="3510" t="s">
        <v>2491</v>
      </c>
      <c r="B11" s="3511" t="s">
        <v>2492</v>
      </c>
      <c r="C11" s="3511"/>
      <c r="D11" s="2531" t="s">
        <v>2493</v>
      </c>
      <c r="E11" s="2531" t="s">
        <v>2494</v>
      </c>
      <c r="F11" s="2532" t="s">
        <v>2495</v>
      </c>
      <c r="G11" s="2532" t="s">
        <v>2496</v>
      </c>
      <c r="H11" s="2539" t="s">
        <v>2497</v>
      </c>
      <c r="I11" s="2530" t="s">
        <v>2498</v>
      </c>
    </row>
    <row r="12" spans="1:9">
      <c r="A12" s="3510"/>
      <c r="B12" s="3511" t="s">
        <v>2499</v>
      </c>
      <c r="C12" s="3511"/>
      <c r="D12" s="2531"/>
      <c r="E12" s="2531"/>
      <c r="F12" s="2532"/>
      <c r="G12" s="2533"/>
      <c r="H12" s="2540"/>
      <c r="I12" s="2530">
        <f>ROUND(D12*E12*F12*G12/10000,0)</f>
        <v>0</v>
      </c>
    </row>
    <row r="13" spans="1:9">
      <c r="A13" s="3510"/>
      <c r="B13" s="3511" t="s">
        <v>2500</v>
      </c>
      <c r="C13" s="3511"/>
      <c r="D13" s="2531"/>
      <c r="E13" s="2531"/>
      <c r="F13" s="2532"/>
      <c r="G13" s="2533"/>
      <c r="H13" s="2540"/>
      <c r="I13" s="2530">
        <f>ROUND(D13*E13*F13*G13/10000,0)</f>
        <v>0</v>
      </c>
    </row>
    <row r="14" spans="1:9">
      <c r="A14" s="3510"/>
      <c r="B14" s="3511" t="s">
        <v>2501</v>
      </c>
      <c r="C14" s="3511"/>
      <c r="D14" s="2531"/>
      <c r="E14" s="2531"/>
      <c r="F14" s="2532"/>
      <c r="G14" s="2533"/>
      <c r="H14" s="2540"/>
      <c r="I14" s="2530">
        <f>ROUND(D14*E14*F14*G14/10000,0)</f>
        <v>0</v>
      </c>
    </row>
    <row r="15" spans="1:9">
      <c r="A15" s="3510"/>
      <c r="B15" s="3512" t="s">
        <v>2490</v>
      </c>
      <c r="C15" s="3512"/>
      <c r="D15" s="2535"/>
      <c r="E15" s="2535">
        <f>SUM(E12:E14)</f>
        <v>0</v>
      </c>
      <c r="F15" s="2536"/>
      <c r="G15" s="2533"/>
      <c r="H15" s="2540"/>
      <c r="I15" s="2541">
        <f>SUM(I12:I14)</f>
        <v>0</v>
      </c>
    </row>
    <row r="16" spans="1:9" ht="24">
      <c r="A16" s="3510" t="s">
        <v>2502</v>
      </c>
      <c r="B16" s="3511" t="s">
        <v>2503</v>
      </c>
      <c r="C16" s="3511"/>
      <c r="D16" s="2531" t="s">
        <v>2504</v>
      </c>
      <c r="E16" s="2542" t="s">
        <v>2505</v>
      </c>
      <c r="F16" s="2532" t="s">
        <v>2506</v>
      </c>
      <c r="G16" s="2533" t="s">
        <v>2496</v>
      </c>
      <c r="H16" s="2539" t="s">
        <v>2497</v>
      </c>
      <c r="I16" s="2530" t="s">
        <v>2498</v>
      </c>
    </row>
    <row r="17" spans="1:9" ht="14.25">
      <c r="A17" s="3510"/>
      <c r="B17" s="3511" t="s">
        <v>2507</v>
      </c>
      <c r="C17" s="3511"/>
      <c r="D17" s="2531"/>
      <c r="E17" s="2531"/>
      <c r="F17" s="2532"/>
      <c r="G17" s="2533"/>
      <c r="H17" s="2543"/>
      <c r="I17" s="2544">
        <f>ROUND(D17*E17*F17*G17/10000,0)</f>
        <v>0</v>
      </c>
    </row>
    <row r="18" spans="1:9" ht="14.25">
      <c r="A18" s="3510"/>
      <c r="B18" s="3511" t="s">
        <v>2508</v>
      </c>
      <c r="C18" s="3511"/>
      <c r="D18" s="2531"/>
      <c r="E18" s="2531"/>
      <c r="F18" s="2532"/>
      <c r="G18" s="2533"/>
      <c r="H18" s="2543"/>
      <c r="I18" s="2544">
        <f>ROUND(D18*E18*F18*G18/10000,0)</f>
        <v>0</v>
      </c>
    </row>
    <row r="19" spans="1:9" ht="14.25">
      <c r="A19" s="3510"/>
      <c r="B19" s="3511" t="s">
        <v>2509</v>
      </c>
      <c r="C19" s="3511"/>
      <c r="D19" s="2531"/>
      <c r="E19" s="2531"/>
      <c r="F19" s="2532"/>
      <c r="G19" s="2533"/>
      <c r="H19" s="2543"/>
      <c r="I19" s="2544">
        <f>ROUND(D19*E19*F19*G19/10000,0)</f>
        <v>0</v>
      </c>
    </row>
    <row r="20" spans="1:9">
      <c r="A20" s="3510"/>
      <c r="B20" s="3512" t="s">
        <v>2490</v>
      </c>
      <c r="C20" s="3512"/>
      <c r="D20" s="2535">
        <f>SUM(D17:D19)</f>
        <v>0</v>
      </c>
      <c r="E20" s="2535"/>
      <c r="F20" s="2536"/>
      <c r="G20" s="2533"/>
      <c r="H20" s="2540"/>
      <c r="I20" s="2541">
        <f>SUM(I17:I19)</f>
        <v>0</v>
      </c>
    </row>
    <row r="21" spans="1:9">
      <c r="A21" s="3510" t="s">
        <v>2510</v>
      </c>
      <c r="B21" s="3513"/>
      <c r="C21" s="3513"/>
      <c r="D21" s="3513"/>
      <c r="E21" s="3513"/>
      <c r="F21" s="3513"/>
      <c r="G21" s="3513"/>
      <c r="H21" s="2545">
        <v>0.1</v>
      </c>
      <c r="I21" s="2538">
        <f>ROUND(I10*H21,0)</f>
        <v>0</v>
      </c>
    </row>
    <row r="22" spans="1:9" ht="14.25">
      <c r="A22" s="3514" t="s">
        <v>2511</v>
      </c>
      <c r="B22" s="3515"/>
      <c r="C22" s="3516"/>
      <c r="D22" s="2546" t="s">
        <v>2512</v>
      </c>
      <c r="E22" s="2546" t="s">
        <v>2513</v>
      </c>
      <c r="F22" s="2547" t="s">
        <v>2514</v>
      </c>
      <c r="G22" s="2547" t="s">
        <v>2515</v>
      </c>
      <c r="H22" s="2539" t="s">
        <v>2516</v>
      </c>
      <c r="I22" s="2530" t="s">
        <v>2517</v>
      </c>
    </row>
    <row r="23" spans="1:9" ht="14.25" thickBot="1">
      <c r="A23" s="3517"/>
      <c r="B23" s="3518"/>
      <c r="C23" s="3519"/>
      <c r="D23" s="2548"/>
      <c r="E23" s="2548"/>
      <c r="F23" s="2548"/>
      <c r="G23" s="2549"/>
      <c r="H23" s="2550"/>
      <c r="I23" s="2551">
        <f>ROUND(E23*D23*F23*(1-G23)/10000,0)</f>
        <v>0</v>
      </c>
    </row>
    <row r="26" spans="1:9">
      <c r="A26" s="2552" t="s">
        <v>2518</v>
      </c>
      <c r="B26" s="2552"/>
      <c r="C26" s="2552"/>
      <c r="D26" s="2552"/>
      <c r="E26" s="3507">
        <f>C27-C30-C31-C32</f>
        <v>0</v>
      </c>
      <c r="F26" s="3507"/>
      <c r="G26" s="3507"/>
      <c r="H26" s="3068" t="s">
        <v>2848</v>
      </c>
    </row>
    <row r="27" spans="1:9">
      <c r="A27" s="2553">
        <v>1</v>
      </c>
      <c r="B27" s="2554" t="s">
        <v>2519</v>
      </c>
      <c r="C27" s="2554"/>
      <c r="D27" s="2554"/>
      <c r="E27" s="3508"/>
      <c r="F27" s="3508"/>
      <c r="G27" s="3508"/>
    </row>
    <row r="28" spans="1:9">
      <c r="A28" s="2555" t="s">
        <v>2520</v>
      </c>
      <c r="B28" s="2554" t="s">
        <v>2521</v>
      </c>
      <c r="C28" s="2554"/>
      <c r="D28" s="2554"/>
      <c r="E28" s="3508"/>
      <c r="F28" s="3508"/>
      <c r="G28" s="3508"/>
    </row>
    <row r="29" spans="1:9">
      <c r="A29" s="2555" t="s">
        <v>2522</v>
      </c>
      <c r="B29" s="2554" t="s">
        <v>2462</v>
      </c>
      <c r="C29" s="2554"/>
      <c r="D29" s="2554"/>
      <c r="E29" s="2554" t="s">
        <v>2523</v>
      </c>
      <c r="F29" s="2554"/>
      <c r="G29" s="2554"/>
    </row>
    <row r="30" spans="1:9">
      <c r="A30" s="2553">
        <v>2</v>
      </c>
      <c r="B30" s="2554" t="s">
        <v>2524</v>
      </c>
      <c r="C30" s="2554">
        <f>C27*D30</f>
        <v>0</v>
      </c>
      <c r="D30" s="2556">
        <v>0.2</v>
      </c>
      <c r="E30" s="2554" t="s">
        <v>2525</v>
      </c>
      <c r="F30" s="2554"/>
      <c r="G30" s="2554"/>
    </row>
    <row r="31" spans="1:9">
      <c r="A31" s="2553">
        <v>3</v>
      </c>
      <c r="B31" s="2554" t="s">
        <v>2526</v>
      </c>
      <c r="C31" s="2554">
        <f>C25*D31</f>
        <v>0</v>
      </c>
      <c r="D31" s="2556">
        <v>0.15</v>
      </c>
      <c r="E31" s="2554" t="s">
        <v>2527</v>
      </c>
      <c r="F31" s="2554"/>
      <c r="G31" s="2554"/>
    </row>
    <row r="32" spans="1:9">
      <c r="A32" s="2553">
        <v>4</v>
      </c>
      <c r="B32" s="2554" t="s">
        <v>2528</v>
      </c>
      <c r="C32" s="2554">
        <f>C27*D32</f>
        <v>0</v>
      </c>
      <c r="D32" s="2556">
        <v>0.05</v>
      </c>
      <c r="E32" s="3509"/>
      <c r="F32" s="3509"/>
      <c r="G32" s="3509"/>
    </row>
    <row r="33" spans="1:7" hidden="1">
      <c r="A33" s="3504" t="s">
        <v>2529</v>
      </c>
      <c r="B33" s="3505"/>
      <c r="C33" s="3505"/>
      <c r="D33" s="3506"/>
      <c r="E33" s="3507"/>
      <c r="F33" s="3507"/>
      <c r="G33" s="3507"/>
    </row>
    <row r="34" spans="1:7" hidden="1">
      <c r="A34" s="2557">
        <v>1</v>
      </c>
      <c r="B34" s="2554" t="s">
        <v>2530</v>
      </c>
      <c r="C34" s="2554"/>
      <c r="D34" s="2554"/>
      <c r="E34" s="3508"/>
      <c r="F34" s="3508"/>
      <c r="G34" s="3508"/>
    </row>
    <row r="35" spans="1:7" hidden="1">
      <c r="A35" s="2557">
        <v>2</v>
      </c>
      <c r="B35" s="2554" t="s">
        <v>2531</v>
      </c>
      <c r="C35" s="2554"/>
      <c r="D35" s="2554"/>
      <c r="E35" s="3508"/>
      <c r="F35" s="3508"/>
      <c r="G35" s="3508"/>
    </row>
    <row r="36" spans="1:7" hidden="1">
      <c r="A36" s="2557">
        <v>3</v>
      </c>
      <c r="B36" s="2554" t="s">
        <v>2532</v>
      </c>
      <c r="C36" s="2554"/>
      <c r="D36" s="2554"/>
      <c r="E36" s="3508"/>
      <c r="F36" s="3508"/>
      <c r="G36" s="3508"/>
    </row>
    <row r="37" spans="1:7" hidden="1">
      <c r="A37" s="2557">
        <v>4</v>
      </c>
      <c r="B37" s="2554" t="s">
        <v>2533</v>
      </c>
      <c r="C37" s="2554"/>
      <c r="D37" s="2554"/>
      <c r="E37" s="3508"/>
      <c r="F37" s="3508"/>
      <c r="G37" s="3508"/>
    </row>
    <row r="38" spans="1:7" hidden="1">
      <c r="A38" s="3504" t="s">
        <v>2534</v>
      </c>
      <c r="B38" s="3505"/>
      <c r="C38" s="3505"/>
      <c r="D38" s="3506"/>
      <c r="E38" s="3507"/>
      <c r="F38" s="3507"/>
      <c r="G38" s="35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604</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8" t="s">
        <v>1687</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605</v>
      </c>
      <c r="C6" s="744" t="s">
        <v>606</v>
      </c>
      <c r="D6" s="744" t="s">
        <v>607</v>
      </c>
      <c r="E6" s="745" t="s">
        <v>608</v>
      </c>
      <c r="F6" s="745" t="s">
        <v>609</v>
      </c>
      <c r="G6" s="746"/>
    </row>
    <row r="7" spans="1:25" s="2181" customFormat="1" ht="13.5" customHeight="1">
      <c r="A7" s="2491">
        <v>1</v>
      </c>
      <c r="B7" s="747" t="s">
        <v>610</v>
      </c>
      <c r="C7" s="748">
        <f>C8+C9</f>
        <v>0</v>
      </c>
      <c r="D7" s="748"/>
      <c r="E7" s="749"/>
      <c r="F7" s="749"/>
      <c r="G7" s="2501"/>
    </row>
    <row r="8" spans="1:25" s="2181" customFormat="1" ht="13.5" customHeight="1">
      <c r="A8" s="2491" t="s">
        <v>2441</v>
      </c>
      <c r="B8" s="2494" t="s">
        <v>2443</v>
      </c>
      <c r="C8" s="2495"/>
      <c r="D8" s="748"/>
      <c r="E8" s="749"/>
      <c r="F8" s="749"/>
      <c r="G8" s="750"/>
    </row>
    <row r="9" spans="1:25" s="2181" customFormat="1" ht="13.5" customHeight="1">
      <c r="A9" s="2491" t="s">
        <v>2442</v>
      </c>
      <c r="B9" s="2494" t="s">
        <v>2444</v>
      </c>
      <c r="C9" s="2495"/>
      <c r="D9" s="748"/>
      <c r="E9" s="749"/>
      <c r="F9" s="749"/>
      <c r="G9" s="750"/>
    </row>
    <row r="10" spans="1:25" s="2181" customFormat="1" ht="36">
      <c r="A10" s="2491">
        <v>2</v>
      </c>
      <c r="B10" s="747" t="s">
        <v>614</v>
      </c>
      <c r="C10" s="748">
        <f>C11+C14+C15</f>
        <v>0</v>
      </c>
      <c r="D10" s="759">
        <f>'数据-汇总表'!E3</f>
        <v>104990.39999999999</v>
      </c>
      <c r="E10" s="748">
        <f>'数据-取费表'!B31</f>
        <v>100</v>
      </c>
      <c r="F10" s="760"/>
      <c r="G10" s="758" t="s">
        <v>615</v>
      </c>
    </row>
    <row r="11" spans="1:25" s="2181" customFormat="1" ht="13.5" customHeight="1">
      <c r="A11" s="2491" t="s">
        <v>2441</v>
      </c>
      <c r="B11" s="751" t="s">
        <v>611</v>
      </c>
      <c r="C11" s="752">
        <f>'数据-取费表'!B29</f>
        <v>0</v>
      </c>
      <c r="D11" s="753"/>
      <c r="E11" s="752"/>
      <c r="F11" s="754"/>
      <c r="G11" s="2500" t="s">
        <v>2452</v>
      </c>
    </row>
    <row r="12" spans="1:25" s="2181" customFormat="1" ht="13.5" customHeight="1">
      <c r="A12" s="2498" t="s">
        <v>2449</v>
      </c>
      <c r="B12" s="755" t="s">
        <v>612</v>
      </c>
      <c r="C12" s="756">
        <f>ROUND(D12*E12/10000,0)</f>
        <v>449</v>
      </c>
      <c r="D12" s="757">
        <f>'数据-汇总表'!E5</f>
        <v>99740.88</v>
      </c>
      <c r="E12" s="756">
        <f>'数据-取费表'!B27</f>
        <v>45</v>
      </c>
      <c r="F12" s="754"/>
      <c r="G12" s="758"/>
    </row>
    <row r="13" spans="1:25" s="2181" customFormat="1" ht="13.5" customHeight="1">
      <c r="A13" s="2498" t="s">
        <v>2448</v>
      </c>
      <c r="B13" s="755" t="s">
        <v>613</v>
      </c>
      <c r="C13" s="756">
        <f>ROUND(D13*E13/10000,0)</f>
        <v>24</v>
      </c>
      <c r="D13" s="757">
        <f>'数据-汇总表'!E6</f>
        <v>5249.5199999999895</v>
      </c>
      <c r="E13" s="756">
        <f>'数据-取费表'!B28</f>
        <v>45</v>
      </c>
      <c r="F13" s="754"/>
      <c r="G13" s="758"/>
    </row>
    <row r="14" spans="1:25" s="2181" customFormat="1" ht="13.5" customHeight="1">
      <c r="A14" s="2491" t="s">
        <v>2442</v>
      </c>
      <c r="B14" s="2497" t="s">
        <v>2445</v>
      </c>
      <c r="C14" s="2495"/>
      <c r="D14" s="757"/>
      <c r="E14" s="756"/>
      <c r="F14" s="2496"/>
      <c r="G14" s="2499" t="s">
        <v>2450</v>
      </c>
    </row>
    <row r="15" spans="1:25" s="2181" customFormat="1" ht="13.5" customHeight="1">
      <c r="A15" s="2491" t="s">
        <v>2447</v>
      </c>
      <c r="B15" s="2497" t="s">
        <v>2446</v>
      </c>
      <c r="C15" s="2495"/>
      <c r="D15" s="757"/>
      <c r="E15" s="756"/>
      <c r="F15" s="2496"/>
      <c r="G15" s="2499" t="s">
        <v>2451</v>
      </c>
    </row>
    <row r="16" spans="1:25" s="2182" customFormat="1" ht="48">
      <c r="A16" s="2491">
        <v>3</v>
      </c>
      <c r="B16" s="747" t="s">
        <v>616</v>
      </c>
      <c r="C16" s="2495"/>
      <c r="D16" s="759"/>
      <c r="E16" s="748"/>
      <c r="F16" s="760"/>
      <c r="G16" s="758" t="s">
        <v>2453</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7" t="s">
        <v>617</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7" t="s">
        <v>618</v>
      </c>
      <c r="C18" s="748">
        <f>ROUND((C7+C10+C16)*F18,0)</f>
        <v>0</v>
      </c>
      <c r="D18" s="761"/>
      <c r="E18" s="762"/>
      <c r="F18" s="760">
        <f>'数据-取费表'!Q16</f>
        <v>0.2</v>
      </c>
      <c r="G18" s="764"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7" t="s">
        <v>620</v>
      </c>
      <c r="C19" s="748">
        <f ca="1">C7+C10+C16+C17+C18</f>
        <v>0</v>
      </c>
      <c r="D19" s="759"/>
      <c r="E19" s="748"/>
      <c r="F19" s="760"/>
      <c r="G19" s="764"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7" t="s">
        <v>622</v>
      </c>
      <c r="C20" s="748">
        <f ca="1">ROUND(C19*F20,0)</f>
        <v>0</v>
      </c>
      <c r="D20" s="759"/>
      <c r="E20" s="748"/>
      <c r="F20" s="1348"/>
      <c r="G20" s="764"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7" t="s">
        <v>624</v>
      </c>
      <c r="C21" s="748">
        <f ca="1">C19+C20</f>
        <v>0</v>
      </c>
      <c r="D21" s="759"/>
      <c r="E21" s="748"/>
      <c r="F21" s="760"/>
      <c r="G21" s="764"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7" t="s">
        <v>626</v>
      </c>
      <c r="C22" s="748">
        <f ca="1">ROUND(C21*F22,0)</f>
        <v>0</v>
      </c>
      <c r="D22" s="759"/>
      <c r="E22" s="748"/>
      <c r="F22" s="765">
        <f>'数据-取费表'!AP16</f>
        <v>0.94</v>
      </c>
      <c r="G22" s="764"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6" t="s">
        <v>628</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758</v>
      </c>
      <c r="C1" s="503" t="s">
        <v>721</v>
      </c>
      <c r="D1" s="2368"/>
      <c r="E1" s="505"/>
      <c r="F1" s="2831"/>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520</v>
      </c>
      <c r="B3" s="509" t="e">
        <f>C49</f>
        <v>#DIV/0!</v>
      </c>
      <c r="C3" s="851" t="s">
        <v>723</v>
      </c>
      <c r="D3" s="850">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7"/>
    </row>
    <row r="4" spans="1:29" ht="15">
      <c r="A4" s="511" t="s">
        <v>522</v>
      </c>
      <c r="B4" s="512"/>
      <c r="C4" s="3424" t="s">
        <v>523</v>
      </c>
      <c r="D4" s="3425"/>
      <c r="E4" s="3450" t="s">
        <v>524</v>
      </c>
      <c r="F4" s="3451"/>
      <c r="G4" s="3424" t="s">
        <v>525</v>
      </c>
      <c r="H4" s="3425"/>
      <c r="I4" s="3424" t="s">
        <v>526</v>
      </c>
      <c r="J4" s="3425"/>
      <c r="K4" s="513" t="s">
        <v>527</v>
      </c>
      <c r="L4" s="2131"/>
      <c r="M4" s="2132"/>
      <c r="N4" s="2132"/>
      <c r="O4" s="2132"/>
      <c r="P4" s="3426" t="s">
        <v>528</v>
      </c>
      <c r="Q4" s="3427"/>
      <c r="R4" s="3412" t="s">
        <v>524</v>
      </c>
      <c r="S4" s="3413"/>
      <c r="T4" s="3412" t="s">
        <v>525</v>
      </c>
      <c r="U4" s="3413"/>
      <c r="V4" s="3432" t="s">
        <v>526</v>
      </c>
      <c r="W4" s="3432"/>
      <c r="X4" s="1566"/>
      <c r="Y4" s="3412" t="s">
        <v>528</v>
      </c>
      <c r="Z4" s="3413"/>
      <c r="AA4" s="3407" t="s">
        <v>524</v>
      </c>
      <c r="AB4" s="3432" t="s">
        <v>525</v>
      </c>
      <c r="AC4" s="3407" t="s">
        <v>526</v>
      </c>
    </row>
    <row r="5" spans="1:29" ht="15">
      <c r="A5" s="514"/>
      <c r="B5" s="515"/>
      <c r="C5" s="3437" t="s">
        <v>2932</v>
      </c>
      <c r="D5" s="3436"/>
      <c r="E5" s="3452" t="s">
        <v>2933</v>
      </c>
      <c r="F5" s="3453"/>
      <c r="G5" s="3437" t="s">
        <v>2934</v>
      </c>
      <c r="H5" s="3436"/>
      <c r="I5" s="3437" t="s">
        <v>2935</v>
      </c>
      <c r="J5" s="3436"/>
      <c r="K5" s="513"/>
      <c r="L5" s="2131"/>
      <c r="M5" s="2132"/>
      <c r="N5" s="2132"/>
      <c r="O5" s="2132"/>
      <c r="P5" s="3428"/>
      <c r="Q5" s="3429"/>
      <c r="R5" s="3414"/>
      <c r="S5" s="3415"/>
      <c r="T5" s="3414"/>
      <c r="U5" s="3415"/>
      <c r="V5" s="3432"/>
      <c r="W5" s="3432"/>
      <c r="X5" s="1566"/>
      <c r="Y5" s="3414"/>
      <c r="Z5" s="3415"/>
      <c r="AA5" s="3408"/>
      <c r="AB5" s="3432"/>
      <c r="AC5" s="3408"/>
    </row>
    <row r="6" spans="1:29" ht="15.75" thickBot="1">
      <c r="A6" s="516"/>
      <c r="B6" s="517"/>
      <c r="C6" s="3454" t="s">
        <v>2936</v>
      </c>
      <c r="D6" s="3434"/>
      <c r="E6" s="3455" t="s">
        <v>2936</v>
      </c>
      <c r="F6" s="3456"/>
      <c r="G6" s="3454" t="s">
        <v>2936</v>
      </c>
      <c r="H6" s="3434"/>
      <c r="I6" s="3454" t="s">
        <v>2936</v>
      </c>
      <c r="J6" s="3434"/>
      <c r="K6" s="513" t="s">
        <v>529</v>
      </c>
      <c r="L6" s="2131"/>
      <c r="M6" s="2132"/>
      <c r="N6" s="2132"/>
      <c r="O6" s="2132"/>
      <c r="P6" s="3430"/>
      <c r="Q6" s="3431"/>
      <c r="R6" s="3414"/>
      <c r="S6" s="3415"/>
      <c r="T6" s="3416"/>
      <c r="U6" s="3417"/>
      <c r="V6" s="3432"/>
      <c r="W6" s="3432"/>
      <c r="X6" s="1566"/>
      <c r="Y6" s="3416"/>
      <c r="Z6" s="3417"/>
      <c r="AA6" s="3409"/>
      <c r="AB6" s="3432"/>
      <c r="AC6" s="3409"/>
    </row>
    <row r="7" spans="1:29" s="1219" customFormat="1" ht="15.75" thickBot="1">
      <c r="A7" s="2936"/>
      <c r="B7" s="2943" t="s">
        <v>530</v>
      </c>
      <c r="C7" s="518">
        <f>'数据-取费表'!B2</f>
        <v>43104</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10" t="s">
        <v>531</v>
      </c>
      <c r="Q7" s="3419"/>
      <c r="R7" s="1567" t="s">
        <v>8</v>
      </c>
      <c r="S7" s="1568">
        <f t="shared" ref="S7:S15" si="0">F7</f>
        <v>0</v>
      </c>
      <c r="T7" s="1567" t="s">
        <v>8</v>
      </c>
      <c r="U7" s="1568">
        <f t="shared" ref="U7:U15" si="1">H7</f>
        <v>0</v>
      </c>
      <c r="V7" s="1567" t="s">
        <v>8</v>
      </c>
      <c r="W7" s="1568">
        <f t="shared" ref="W7:W15" si="2">J7</f>
        <v>0</v>
      </c>
      <c r="X7" s="1569"/>
      <c r="Y7" s="3410" t="s">
        <v>531</v>
      </c>
      <c r="Z7" s="3411"/>
      <c r="AA7" s="1570" t="e">
        <f>D7/F7</f>
        <v>#DIV/0!</v>
      </c>
      <c r="AB7" s="1570" t="e">
        <f>D7/H7</f>
        <v>#DIV/0!</v>
      </c>
      <c r="AC7" s="1570" t="e">
        <f>D7/J7</f>
        <v>#DIV/0!</v>
      </c>
    </row>
    <row r="8" spans="1:29" s="1219" customFormat="1" ht="15.75" thickBot="1">
      <c r="A8" s="2937"/>
      <c r="B8" s="2944" t="s">
        <v>532</v>
      </c>
      <c r="C8" s="524" t="s">
        <v>577</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10" t="s">
        <v>534</v>
      </c>
      <c r="Q8" s="3411"/>
      <c r="R8" s="1567" t="s">
        <v>8</v>
      </c>
      <c r="S8" s="1568">
        <f t="shared" si="0"/>
        <v>0</v>
      </c>
      <c r="T8" s="1567" t="s">
        <v>8</v>
      </c>
      <c r="U8" s="1568">
        <f t="shared" si="1"/>
        <v>0</v>
      </c>
      <c r="V8" s="1567" t="s">
        <v>8</v>
      </c>
      <c r="W8" s="1568">
        <f t="shared" si="2"/>
        <v>0</v>
      </c>
      <c r="X8" s="1569"/>
      <c r="Y8" s="3410" t="s">
        <v>534</v>
      </c>
      <c r="Z8" s="3411"/>
      <c r="AA8" s="1570" t="e">
        <f t="shared" ref="AA8:AA46" si="3">D8/F8</f>
        <v>#DIV/0!</v>
      </c>
      <c r="AB8" s="1570" t="e">
        <f t="shared" ref="AB8:AB46" si="4">D8/H8</f>
        <v>#DIV/0!</v>
      </c>
      <c r="AC8" s="1570" t="e">
        <f t="shared" ref="AC8:AC46" si="5">D8/J8</f>
        <v>#DIV/0!</v>
      </c>
    </row>
    <row r="9" spans="1:29" s="1219" customFormat="1" ht="15">
      <c r="A9" s="2938"/>
      <c r="B9" s="2945" t="s">
        <v>2761</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418" t="s">
        <v>536</v>
      </c>
      <c r="Q9" s="1150" t="str">
        <f t="shared" ref="Q9:Q15" si="6">B9</f>
        <v>用途</v>
      </c>
      <c r="R9" s="1567" t="s">
        <v>8</v>
      </c>
      <c r="S9" s="1568">
        <f t="shared" si="0"/>
        <v>100</v>
      </c>
      <c r="T9" s="1567" t="s">
        <v>8</v>
      </c>
      <c r="U9" s="1568">
        <f t="shared" si="1"/>
        <v>100</v>
      </c>
      <c r="V9" s="1567" t="s">
        <v>8</v>
      </c>
      <c r="W9" s="1568">
        <f t="shared" si="2"/>
        <v>100</v>
      </c>
      <c r="X9" s="1569"/>
      <c r="Y9" s="3375" t="s">
        <v>537</v>
      </c>
      <c r="Z9" s="1149" t="str">
        <f t="shared" ref="Z9:Z15" si="7">Q9</f>
        <v>用途</v>
      </c>
      <c r="AA9" s="1570">
        <f t="shared" si="3"/>
        <v>1</v>
      </c>
      <c r="AB9" s="1570">
        <f t="shared" si="4"/>
        <v>1</v>
      </c>
      <c r="AC9" s="1570">
        <f t="shared" si="5"/>
        <v>1</v>
      </c>
    </row>
    <row r="10" spans="1:29" s="1337" customFormat="1" ht="27">
      <c r="A10" s="2939"/>
      <c r="B10" s="2944" t="s">
        <v>2762</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418"/>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
      <c r="A11" s="2940"/>
      <c r="B11" s="2944" t="s">
        <v>2763</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418"/>
      <c r="Q11" s="1150" t="str">
        <f t="shared" si="6"/>
        <v>容积率</v>
      </c>
      <c r="R11" s="1567" t="s">
        <v>8</v>
      </c>
      <c r="S11" s="1568" t="e">
        <f t="shared" si="0"/>
        <v>#N/A</v>
      </c>
      <c r="T11" s="1567" t="s">
        <v>8</v>
      </c>
      <c r="U11" s="1568" t="e">
        <f t="shared" si="1"/>
        <v>#N/A</v>
      </c>
      <c r="V11" s="1567" t="s">
        <v>8</v>
      </c>
      <c r="W11" s="1568" t="e">
        <f t="shared" si="2"/>
        <v>#N/A</v>
      </c>
      <c r="X11" s="1569"/>
      <c r="Y11" s="3375"/>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418"/>
      <c r="Q12" s="1150">
        <f t="shared" si="6"/>
        <v>111</v>
      </c>
      <c r="R12" s="1567" t="s">
        <v>8</v>
      </c>
      <c r="S12" s="1568">
        <f t="shared" si="0"/>
        <v>100</v>
      </c>
      <c r="T12" s="1567" t="s">
        <v>8</v>
      </c>
      <c r="U12" s="1568">
        <f t="shared" si="1"/>
        <v>100</v>
      </c>
      <c r="V12" s="1567" t="s">
        <v>8</v>
      </c>
      <c r="W12" s="1568">
        <f t="shared" si="2"/>
        <v>100</v>
      </c>
      <c r="X12" s="1569"/>
      <c r="Y12" s="3375"/>
      <c r="Z12" s="1149">
        <f t="shared" si="7"/>
        <v>111</v>
      </c>
      <c r="AA12" s="1570">
        <f>D12/F12</f>
        <v>1</v>
      </c>
      <c r="AB12" s="1570">
        <f>D12/H12</f>
        <v>1</v>
      </c>
      <c r="AC12" s="1570">
        <f>D12/J12</f>
        <v>1</v>
      </c>
    </row>
    <row r="13" spans="1:29" ht="15">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418"/>
      <c r="Q13" s="1150">
        <f t="shared" si="6"/>
        <v>111</v>
      </c>
      <c r="R13" s="1567" t="s">
        <v>8</v>
      </c>
      <c r="S13" s="1568">
        <f t="shared" si="0"/>
        <v>100</v>
      </c>
      <c r="T13" s="1567" t="s">
        <v>8</v>
      </c>
      <c r="U13" s="1568">
        <f t="shared" si="1"/>
        <v>100</v>
      </c>
      <c r="V13" s="1567" t="s">
        <v>8</v>
      </c>
      <c r="W13" s="1568">
        <f t="shared" si="2"/>
        <v>100</v>
      </c>
      <c r="X13" s="1569"/>
      <c r="Y13" s="3375"/>
      <c r="Z13" s="1149">
        <f t="shared" si="7"/>
        <v>111</v>
      </c>
      <c r="AA13" s="1570">
        <f t="shared" si="3"/>
        <v>1</v>
      </c>
      <c r="AB13" s="1570">
        <f t="shared" si="4"/>
        <v>1</v>
      </c>
      <c r="AC13" s="1570">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418"/>
      <c r="Q14" s="1150">
        <f t="shared" si="6"/>
        <v>111</v>
      </c>
      <c r="R14" s="1567" t="s">
        <v>8</v>
      </c>
      <c r="S14" s="1568">
        <f t="shared" si="0"/>
        <v>100</v>
      </c>
      <c r="T14" s="1567" t="s">
        <v>8</v>
      </c>
      <c r="U14" s="1568">
        <f t="shared" si="1"/>
        <v>100</v>
      </c>
      <c r="V14" s="1567" t="s">
        <v>8</v>
      </c>
      <c r="W14" s="1568">
        <f t="shared" si="2"/>
        <v>100</v>
      </c>
      <c r="X14" s="1569"/>
      <c r="Y14" s="3375"/>
      <c r="Z14" s="1149">
        <f t="shared" si="7"/>
        <v>111</v>
      </c>
      <c r="AA14" s="1570">
        <f t="shared" si="3"/>
        <v>1</v>
      </c>
      <c r="AB14" s="1570">
        <f t="shared" si="4"/>
        <v>1</v>
      </c>
      <c r="AC14" s="1570">
        <f t="shared" si="5"/>
        <v>1</v>
      </c>
    </row>
    <row r="15" spans="1:29" ht="71.25">
      <c r="A15" s="2934" t="s">
        <v>2759</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20" t="s">
        <v>541</v>
      </c>
      <c r="Q15" s="1571" t="str">
        <f t="shared" si="6"/>
        <v>商业繁华度</v>
      </c>
      <c r="R15" s="1572" t="s">
        <v>8</v>
      </c>
      <c r="S15" s="1573">
        <f t="shared" si="0"/>
        <v>100</v>
      </c>
      <c r="T15" s="1572" t="s">
        <v>8</v>
      </c>
      <c r="U15" s="1573">
        <f t="shared" si="1"/>
        <v>100</v>
      </c>
      <c r="V15" s="1572" t="s">
        <v>8</v>
      </c>
      <c r="W15" s="1573">
        <f t="shared" si="2"/>
        <v>100</v>
      </c>
      <c r="X15" s="1566"/>
      <c r="Y15" s="3420" t="s">
        <v>541</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0"/>
      <c r="M16" s="2132"/>
      <c r="N16" s="2132"/>
      <c r="O16" s="2139"/>
      <c r="P16" s="3421"/>
      <c r="Q16" s="1571"/>
      <c r="R16" s="1572"/>
      <c r="S16" s="1573"/>
      <c r="T16" s="1572"/>
      <c r="U16" s="1573"/>
      <c r="V16" s="1572"/>
      <c r="W16" s="1573"/>
      <c r="X16" s="1566"/>
      <c r="Y16" s="3421"/>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21"/>
      <c r="Q17" s="1571" t="str">
        <f>B17</f>
        <v>交通便捷度</v>
      </c>
      <c r="R17" s="1572" t="s">
        <v>8</v>
      </c>
      <c r="S17" s="1573">
        <f>F17</f>
        <v>100</v>
      </c>
      <c r="T17" s="1572" t="s">
        <v>8</v>
      </c>
      <c r="U17" s="1573">
        <f>H17</f>
        <v>100</v>
      </c>
      <c r="V17" s="1572" t="s">
        <v>8</v>
      </c>
      <c r="W17" s="1573">
        <f>J17</f>
        <v>100</v>
      </c>
      <c r="X17" s="1566"/>
      <c r="Y17" s="3421"/>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0"/>
      <c r="M18" s="2132"/>
      <c r="N18" s="2132"/>
      <c r="O18" s="2139"/>
      <c r="P18" s="3421"/>
      <c r="Q18" s="1571"/>
      <c r="R18" s="1572"/>
      <c r="S18" s="1573"/>
      <c r="T18" s="1572"/>
      <c r="U18" s="1573"/>
      <c r="V18" s="1572"/>
      <c r="W18" s="1573"/>
      <c r="X18" s="1566"/>
      <c r="Y18" s="3421"/>
      <c r="Z18" s="1574"/>
      <c r="AA18" s="1575">
        <v>1</v>
      </c>
      <c r="AB18" s="1575">
        <v>1</v>
      </c>
      <c r="AC18" s="1575">
        <v>1</v>
      </c>
    </row>
    <row r="19" spans="1:29" ht="42.75">
      <c r="A19" s="531"/>
      <c r="B19" s="2622" t="s">
        <v>2549</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21"/>
      <c r="Q19" s="1571" t="str">
        <f>B19</f>
        <v>公共配套设施</v>
      </c>
      <c r="R19" s="1572" t="s">
        <v>8</v>
      </c>
      <c r="S19" s="1573">
        <f>F19</f>
        <v>100</v>
      </c>
      <c r="T19" s="1572" t="s">
        <v>8</v>
      </c>
      <c r="U19" s="1573">
        <f>H19</f>
        <v>100</v>
      </c>
      <c r="V19" s="1572" t="s">
        <v>8</v>
      </c>
      <c r="W19" s="1573">
        <f>J19</f>
        <v>100</v>
      </c>
      <c r="X19" s="1566"/>
      <c r="Y19" s="3421"/>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0"/>
      <c r="M20" s="2132"/>
      <c r="N20" s="2132"/>
      <c r="O20" s="2139"/>
      <c r="P20" s="3421"/>
      <c r="Q20" s="1571"/>
      <c r="R20" s="1572"/>
      <c r="S20" s="1573"/>
      <c r="T20" s="1572"/>
      <c r="U20" s="1573"/>
      <c r="V20" s="1572"/>
      <c r="W20" s="1573"/>
      <c r="X20" s="1566"/>
      <c r="Y20" s="3421"/>
      <c r="Z20" s="1574"/>
      <c r="AA20" s="1575">
        <v>1</v>
      </c>
      <c r="AB20" s="1575">
        <v>1</v>
      </c>
      <c r="AC20" s="1575">
        <v>1</v>
      </c>
    </row>
    <row r="21" spans="1:29" ht="28.5">
      <c r="A21" s="531"/>
      <c r="B21" s="2615" t="s">
        <v>2561</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21"/>
      <c r="Q21" s="2601" t="str">
        <f>B21</f>
        <v>基础设施水平</v>
      </c>
      <c r="R21" s="1572" t="s">
        <v>8</v>
      </c>
      <c r="S21" s="1573">
        <f>F21</f>
        <v>100</v>
      </c>
      <c r="T21" s="1572" t="s">
        <v>8</v>
      </c>
      <c r="U21" s="1573">
        <f>H21</f>
        <v>100</v>
      </c>
      <c r="V21" s="1572" t="s">
        <v>8</v>
      </c>
      <c r="W21" s="1573">
        <f>J21</f>
        <v>100</v>
      </c>
      <c r="X21" s="2603"/>
      <c r="Y21" s="3421"/>
      <c r="Z21" s="2602"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4"/>
      <c r="L22" s="2140"/>
      <c r="M22" s="2132"/>
      <c r="N22" s="2132"/>
      <c r="O22" s="2139"/>
      <c r="P22" s="3421"/>
      <c r="Q22" s="2601"/>
      <c r="R22" s="1572"/>
      <c r="S22" s="1573"/>
      <c r="T22" s="1572"/>
      <c r="U22" s="1573"/>
      <c r="V22" s="1572"/>
      <c r="W22" s="1573"/>
      <c r="X22" s="2603"/>
      <c r="Y22" s="3421"/>
      <c r="Z22" s="2602"/>
      <c r="AA22" s="1575">
        <v>1</v>
      </c>
      <c r="AB22" s="1575">
        <v>1</v>
      </c>
      <c r="AC22" s="1575">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21"/>
      <c r="Q23" s="1571" t="str">
        <f>B23</f>
        <v>自然及人文环境</v>
      </c>
      <c r="R23" s="1572" t="s">
        <v>8</v>
      </c>
      <c r="S23" s="1573">
        <f>F23</f>
        <v>100</v>
      </c>
      <c r="T23" s="1572" t="s">
        <v>8</v>
      </c>
      <c r="U23" s="1573">
        <f>H23</f>
        <v>100</v>
      </c>
      <c r="V23" s="1572" t="s">
        <v>8</v>
      </c>
      <c r="W23" s="1573">
        <f>J23</f>
        <v>100</v>
      </c>
      <c r="X23" s="1566"/>
      <c r="Y23" s="3421"/>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0"/>
      <c r="M24" s="2132"/>
      <c r="N24" s="2132"/>
      <c r="O24" s="2139"/>
      <c r="P24" s="3421"/>
      <c r="Q24" s="1571"/>
      <c r="R24" s="1572"/>
      <c r="S24" s="1573"/>
      <c r="T24" s="1572"/>
      <c r="U24" s="1573"/>
      <c r="V24" s="1572"/>
      <c r="W24" s="1573"/>
      <c r="X24" s="1566"/>
      <c r="Y24" s="3421"/>
      <c r="Z24" s="1574"/>
      <c r="AA24" s="1575">
        <v>1</v>
      </c>
      <c r="AB24" s="1575">
        <v>1</v>
      </c>
      <c r="AC24" s="1575">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21"/>
      <c r="Q25" s="1571" t="str">
        <f t="shared" ref="Q25:Q46" si="11">B25</f>
        <v>临街状况</v>
      </c>
      <c r="R25" s="1572" t="s">
        <v>8</v>
      </c>
      <c r="S25" s="1573">
        <f>F25</f>
        <v>100</v>
      </c>
      <c r="T25" s="1572" t="s">
        <v>8</v>
      </c>
      <c r="U25" s="1573">
        <f>H25</f>
        <v>100</v>
      </c>
      <c r="V25" s="1572" t="s">
        <v>8</v>
      </c>
      <c r="W25" s="1573">
        <f>J25</f>
        <v>100</v>
      </c>
      <c r="X25" s="1566"/>
      <c r="Y25" s="3421"/>
      <c r="Z25" s="1574" t="str">
        <f>Q25</f>
        <v>临街状况</v>
      </c>
      <c r="AA25" s="1575">
        <f t="shared" si="3"/>
        <v>1</v>
      </c>
      <c r="AB25" s="1575">
        <f t="shared" si="4"/>
        <v>1</v>
      </c>
      <c r="AC25" s="1575">
        <f t="shared" si="5"/>
        <v>1</v>
      </c>
    </row>
    <row r="26" spans="1:29" ht="15">
      <c r="A26" s="531"/>
      <c r="B26" s="876" t="s">
        <v>759</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21"/>
      <c r="Q26" s="1571" t="str">
        <f t="shared" si="11"/>
        <v>平面位置/可视性</v>
      </c>
      <c r="R26" s="1572" t="s">
        <v>8</v>
      </c>
      <c r="S26" s="1573">
        <f>F26</f>
        <v>100</v>
      </c>
      <c r="T26" s="1572" t="s">
        <v>8</v>
      </c>
      <c r="U26" s="1573">
        <f>H26</f>
        <v>100</v>
      </c>
      <c r="V26" s="1572" t="s">
        <v>8</v>
      </c>
      <c r="W26" s="1573">
        <f>J26</f>
        <v>100</v>
      </c>
      <c r="X26" s="1566"/>
      <c r="Y26" s="3421"/>
      <c r="Z26" s="1574" t="str">
        <f>Q26</f>
        <v>平面位置/可视性</v>
      </c>
      <c r="AA26" s="1575">
        <f t="shared" si="3"/>
        <v>1</v>
      </c>
      <c r="AB26" s="1575">
        <f t="shared" si="4"/>
        <v>1</v>
      </c>
      <c r="AC26" s="1575">
        <f t="shared" si="5"/>
        <v>1</v>
      </c>
    </row>
    <row r="27" spans="1:29" s="1219" customFormat="1" ht="15">
      <c r="A27" s="535"/>
      <c r="B27" s="870" t="s">
        <v>760</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21"/>
      <c r="Q27" s="1150" t="str">
        <f t="shared" si="11"/>
        <v>人流量</v>
      </c>
      <c r="R27" s="1567" t="s">
        <v>8</v>
      </c>
      <c r="S27" s="1568">
        <f>F27</f>
        <v>100</v>
      </c>
      <c r="T27" s="1567" t="s">
        <v>8</v>
      </c>
      <c r="U27" s="1568">
        <f>H27</f>
        <v>100</v>
      </c>
      <c r="V27" s="1567" t="s">
        <v>8</v>
      </c>
      <c r="W27" s="1568">
        <f>J27</f>
        <v>100</v>
      </c>
      <c r="X27" s="1569"/>
      <c r="Y27" s="3421"/>
      <c r="Z27" s="1149" t="str">
        <f>Q27</f>
        <v>人流量</v>
      </c>
      <c r="AA27" s="1575">
        <f>D27/F27</f>
        <v>1</v>
      </c>
      <c r="AB27" s="1575">
        <f>D27/H27</f>
        <v>1</v>
      </c>
      <c r="AC27" s="1575">
        <f>D27/J27</f>
        <v>1</v>
      </c>
    </row>
    <row r="28" spans="1:29" ht="15">
      <c r="A28" s="531"/>
      <c r="B28" s="526" t="s">
        <v>762</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2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1"/>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21"/>
      <c r="Q29" s="1571">
        <f t="shared" si="11"/>
        <v>111</v>
      </c>
      <c r="R29" s="1572" t="s">
        <v>8</v>
      </c>
      <c r="S29" s="1573">
        <f t="shared" si="12"/>
        <v>100</v>
      </c>
      <c r="T29" s="1572" t="s">
        <v>8</v>
      </c>
      <c r="U29" s="1573">
        <f t="shared" si="13"/>
        <v>100</v>
      </c>
      <c r="V29" s="1572" t="s">
        <v>8</v>
      </c>
      <c r="W29" s="1573">
        <f t="shared" si="14"/>
        <v>100</v>
      </c>
      <c r="X29" s="1566"/>
      <c r="Y29" s="3421"/>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21"/>
      <c r="Q30" s="1571">
        <f t="shared" si="11"/>
        <v>111</v>
      </c>
      <c r="R30" s="1572" t="s">
        <v>8</v>
      </c>
      <c r="S30" s="1573">
        <f t="shared" si="12"/>
        <v>100</v>
      </c>
      <c r="T30" s="1572" t="s">
        <v>8</v>
      </c>
      <c r="U30" s="1573">
        <f t="shared" si="13"/>
        <v>100</v>
      </c>
      <c r="V30" s="1572" t="s">
        <v>8</v>
      </c>
      <c r="W30" s="1573">
        <f t="shared" si="14"/>
        <v>100</v>
      </c>
      <c r="X30" s="1566"/>
      <c r="Y30" s="3421"/>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21"/>
      <c r="Q31" s="1571">
        <f t="shared" si="11"/>
        <v>111</v>
      </c>
      <c r="R31" s="1572" t="s">
        <v>8</v>
      </c>
      <c r="S31" s="1573">
        <f t="shared" si="12"/>
        <v>100</v>
      </c>
      <c r="T31" s="1572" t="s">
        <v>8</v>
      </c>
      <c r="U31" s="1573">
        <f t="shared" si="13"/>
        <v>100</v>
      </c>
      <c r="V31" s="1572" t="s">
        <v>8</v>
      </c>
      <c r="W31" s="1573">
        <f t="shared" si="14"/>
        <v>100</v>
      </c>
      <c r="X31" s="1566"/>
      <c r="Y31" s="3421"/>
      <c r="Z31" s="1574">
        <f t="shared" si="15"/>
        <v>111</v>
      </c>
      <c r="AA31" s="1575">
        <f t="shared" si="3"/>
        <v>1</v>
      </c>
      <c r="AB31" s="1575">
        <f t="shared" si="4"/>
        <v>1</v>
      </c>
      <c r="AC31" s="1575">
        <f t="shared" si="5"/>
        <v>1</v>
      </c>
    </row>
    <row r="32" spans="1:29" ht="15">
      <c r="A32" s="2931" t="s">
        <v>2760</v>
      </c>
      <c r="B32" s="172" t="s">
        <v>763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22" t="s">
        <v>551</v>
      </c>
      <c r="Q32" s="1571" t="str">
        <f t="shared" si="11"/>
        <v>商业类型</v>
      </c>
      <c r="R32" s="1572" t="s">
        <v>8</v>
      </c>
      <c r="S32" s="1573">
        <f t="shared" si="12"/>
        <v>100</v>
      </c>
      <c r="T32" s="1572" t="s">
        <v>8</v>
      </c>
      <c r="U32" s="1573">
        <f t="shared" si="13"/>
        <v>100</v>
      </c>
      <c r="V32" s="1572" t="s">
        <v>8</v>
      </c>
      <c r="W32" s="1573">
        <f t="shared" si="14"/>
        <v>100</v>
      </c>
      <c r="X32" s="1566"/>
      <c r="Y32" s="3423" t="s">
        <v>551</v>
      </c>
      <c r="Z32" s="1574" t="str">
        <f t="shared" si="15"/>
        <v>商业类型</v>
      </c>
      <c r="AA32" s="1575">
        <f t="shared" si="3"/>
        <v>1</v>
      </c>
      <c r="AB32" s="1575">
        <f t="shared" si="4"/>
        <v>1</v>
      </c>
      <c r="AC32" s="1575">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23"/>
      <c r="Q33" s="1604" t="str">
        <f t="shared" si="11"/>
        <v>项目建筑规模</v>
      </c>
      <c r="R33" s="1576" t="s">
        <v>8</v>
      </c>
      <c r="S33" s="1577" t="e">
        <f t="shared" si="12"/>
        <v>#N/A</v>
      </c>
      <c r="T33" s="1576" t="s">
        <v>8</v>
      </c>
      <c r="U33" s="1577" t="e">
        <f t="shared" si="13"/>
        <v>#N/A</v>
      </c>
      <c r="V33" s="1576" t="s">
        <v>8</v>
      </c>
      <c r="W33" s="1577" t="e">
        <f t="shared" si="14"/>
        <v>#N/A</v>
      </c>
      <c r="X33" s="1578"/>
      <c r="Y33" s="3423"/>
      <c r="Z33" s="1579" t="str">
        <f t="shared" si="15"/>
        <v>项目建筑规模</v>
      </c>
      <c r="AA33" s="1575" t="e">
        <f t="shared" si="3"/>
        <v>#N/A</v>
      </c>
      <c r="AB33" s="1575" t="e">
        <f t="shared" si="4"/>
        <v>#N/A</v>
      </c>
      <c r="AC33" s="1575"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23"/>
      <c r="Q34" s="1571" t="str">
        <f t="shared" si="11"/>
        <v>建筑结构</v>
      </c>
      <c r="R34" s="1572" t="s">
        <v>8</v>
      </c>
      <c r="S34" s="1573">
        <f t="shared" si="12"/>
        <v>100</v>
      </c>
      <c r="T34" s="1572" t="s">
        <v>8</v>
      </c>
      <c r="U34" s="1573">
        <f t="shared" si="13"/>
        <v>100</v>
      </c>
      <c r="V34" s="1572" t="s">
        <v>8</v>
      </c>
      <c r="W34" s="1573">
        <f t="shared" si="14"/>
        <v>100</v>
      </c>
      <c r="X34" s="1566"/>
      <c r="Y34" s="3423"/>
      <c r="Z34" s="1574" t="str">
        <f t="shared" si="15"/>
        <v>建筑结构</v>
      </c>
      <c r="AA34" s="1575">
        <f t="shared" si="3"/>
        <v>1</v>
      </c>
      <c r="AB34" s="1575">
        <f t="shared" si="4"/>
        <v>1</v>
      </c>
      <c r="AC34" s="1575">
        <f t="shared" si="5"/>
        <v>1</v>
      </c>
    </row>
    <row r="35" spans="1:29" ht="15">
      <c r="A35" s="593"/>
      <c r="B35" s="526" t="s">
        <v>764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23"/>
      <c r="Q35" s="1571" t="str">
        <f t="shared" si="11"/>
        <v>公共部分装修</v>
      </c>
      <c r="R35" s="1572" t="s">
        <v>8</v>
      </c>
      <c r="S35" s="1573">
        <f t="shared" si="12"/>
        <v>100</v>
      </c>
      <c r="T35" s="1572" t="s">
        <v>8</v>
      </c>
      <c r="U35" s="1573">
        <f t="shared" si="13"/>
        <v>100</v>
      </c>
      <c r="V35" s="1572" t="s">
        <v>8</v>
      </c>
      <c r="W35" s="1573">
        <f t="shared" si="14"/>
        <v>100</v>
      </c>
      <c r="X35" s="1566"/>
      <c r="Y35" s="3423"/>
      <c r="Z35" s="1574" t="str">
        <f t="shared" si="15"/>
        <v>公共部分装修</v>
      </c>
      <c r="AA35" s="1575">
        <f t="shared" si="3"/>
        <v>1</v>
      </c>
      <c r="AB35" s="1575">
        <f t="shared" si="4"/>
        <v>1</v>
      </c>
      <c r="AC35" s="1575">
        <f t="shared" si="5"/>
        <v>1</v>
      </c>
    </row>
    <row r="36" spans="1:29" ht="15">
      <c r="A36" s="593"/>
      <c r="B36" s="526" t="s">
        <v>765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23"/>
      <c r="Q36" s="1571" t="str">
        <f t="shared" si="11"/>
        <v>成新度</v>
      </c>
      <c r="R36" s="1572" t="s">
        <v>8</v>
      </c>
      <c r="S36" s="1573" t="e">
        <f t="shared" si="12"/>
        <v>#N/A</v>
      </c>
      <c r="T36" s="1572" t="s">
        <v>8</v>
      </c>
      <c r="U36" s="1573" t="e">
        <f t="shared" si="13"/>
        <v>#N/A</v>
      </c>
      <c r="V36" s="1572" t="s">
        <v>8</v>
      </c>
      <c r="W36" s="1573" t="e">
        <f t="shared" si="14"/>
        <v>#N/A</v>
      </c>
      <c r="X36" s="1566"/>
      <c r="Y36" s="3423"/>
      <c r="Z36" s="1574" t="str">
        <f t="shared" si="15"/>
        <v>成新度</v>
      </c>
      <c r="AA36" s="1575" t="e">
        <f t="shared" si="3"/>
        <v>#N/A</v>
      </c>
      <c r="AB36" s="1575" t="e">
        <f t="shared" si="4"/>
        <v>#N/A</v>
      </c>
      <c r="AC36" s="1575" t="e">
        <f t="shared" si="5"/>
        <v>#N/A</v>
      </c>
    </row>
    <row r="37" spans="1:29" s="1219" customFormat="1" ht="15">
      <c r="A37" s="599"/>
      <c r="B37" s="1893" t="s">
        <v>2568</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23"/>
      <c r="Q37" s="1150" t="str">
        <f t="shared" si="11"/>
        <v>市政基础设施</v>
      </c>
      <c r="R37" s="1567" t="s">
        <v>8</v>
      </c>
      <c r="S37" s="1568">
        <f t="shared" si="12"/>
        <v>100</v>
      </c>
      <c r="T37" s="1567" t="s">
        <v>8</v>
      </c>
      <c r="U37" s="1568">
        <f t="shared" si="13"/>
        <v>100</v>
      </c>
      <c r="V37" s="1567" t="s">
        <v>8</v>
      </c>
      <c r="W37" s="1568">
        <f t="shared" si="14"/>
        <v>100</v>
      </c>
      <c r="X37" s="1569"/>
      <c r="Y37" s="3423"/>
      <c r="Z37" s="1149" t="str">
        <f t="shared" si="15"/>
        <v>市政基础设施</v>
      </c>
      <c r="AA37" s="1570">
        <f t="shared" si="3"/>
        <v>1</v>
      </c>
      <c r="AB37" s="1570">
        <f t="shared" si="4"/>
        <v>1</v>
      </c>
      <c r="AC37" s="1570">
        <f t="shared" si="5"/>
        <v>1</v>
      </c>
    </row>
    <row r="38" spans="1:29" ht="15">
      <c r="A38" s="593"/>
      <c r="B38" s="526" t="s">
        <v>766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23" t="s">
        <v>767</v>
      </c>
      <c r="Q38" s="1571" t="str">
        <f t="shared" si="11"/>
        <v>业态</v>
      </c>
      <c r="R38" s="1572" t="s">
        <v>8</v>
      </c>
      <c r="S38" s="1573">
        <f t="shared" si="12"/>
        <v>100</v>
      </c>
      <c r="T38" s="1572" t="s">
        <v>8</v>
      </c>
      <c r="U38" s="1573">
        <f t="shared" si="13"/>
        <v>100</v>
      </c>
      <c r="V38" s="1572" t="s">
        <v>8</v>
      </c>
      <c r="W38" s="1573">
        <f t="shared" si="14"/>
        <v>100</v>
      </c>
      <c r="X38" s="1566"/>
      <c r="Y38" s="3423" t="s">
        <v>767</v>
      </c>
      <c r="Z38" s="1574" t="str">
        <f t="shared" si="15"/>
        <v>业态</v>
      </c>
      <c r="AA38" s="1575">
        <f t="shared" si="3"/>
        <v>1</v>
      </c>
      <c r="AB38" s="1575">
        <f t="shared" si="4"/>
        <v>1</v>
      </c>
      <c r="AC38" s="1575">
        <f t="shared" si="5"/>
        <v>1</v>
      </c>
    </row>
    <row r="39" spans="1:29" ht="15">
      <c r="A39" s="593"/>
      <c r="B39" s="526" t="s">
        <v>768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3"/>
      <c r="Q39" s="1571" t="str">
        <f t="shared" si="11"/>
        <v>层高</v>
      </c>
      <c r="R39" s="1572" t="s">
        <v>8</v>
      </c>
      <c r="S39" s="1573">
        <f t="shared" si="12"/>
        <v>100</v>
      </c>
      <c r="T39" s="1572" t="s">
        <v>8</v>
      </c>
      <c r="U39" s="1573">
        <f t="shared" si="13"/>
        <v>100</v>
      </c>
      <c r="V39" s="1572" t="s">
        <v>8</v>
      </c>
      <c r="W39" s="1573">
        <f t="shared" si="14"/>
        <v>100</v>
      </c>
      <c r="X39" s="1566"/>
      <c r="Y39" s="3423"/>
      <c r="Z39" s="1574" t="str">
        <f t="shared" si="15"/>
        <v>层高</v>
      </c>
      <c r="AA39" s="1575">
        <f t="shared" si="3"/>
        <v>1</v>
      </c>
      <c r="AB39" s="1575">
        <f t="shared" si="4"/>
        <v>1</v>
      </c>
      <c r="AC39" s="1575">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23"/>
      <c r="Q40" s="1571" t="str">
        <f t="shared" si="11"/>
        <v>单套建筑面积</v>
      </c>
      <c r="R40" s="1572" t="s">
        <v>8</v>
      </c>
      <c r="S40" s="1573">
        <f t="shared" si="12"/>
        <v>100</v>
      </c>
      <c r="T40" s="1572" t="s">
        <v>8</v>
      </c>
      <c r="U40" s="1573">
        <f t="shared" si="13"/>
        <v>100</v>
      </c>
      <c r="V40" s="1572" t="s">
        <v>8</v>
      </c>
      <c r="W40" s="1573">
        <f t="shared" si="14"/>
        <v>100</v>
      </c>
      <c r="X40" s="1566"/>
      <c r="Y40" s="3423"/>
      <c r="Z40" s="1574" t="str">
        <f t="shared" si="15"/>
        <v>单套建筑面积</v>
      </c>
      <c r="AA40" s="1575">
        <f t="shared" si="3"/>
        <v>1</v>
      </c>
      <c r="AB40" s="1575">
        <f t="shared" si="4"/>
        <v>1</v>
      </c>
      <c r="AC40" s="1575">
        <f t="shared" si="5"/>
        <v>1</v>
      </c>
    </row>
    <row r="41" spans="1:29" s="1338" customFormat="1" ht="15">
      <c r="A41" s="602"/>
      <c r="B41" s="903" t="s">
        <v>770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23"/>
      <c r="Q41" s="1604" t="str">
        <f t="shared" si="11"/>
        <v>进深比</v>
      </c>
      <c r="R41" s="1576" t="s">
        <v>8</v>
      </c>
      <c r="S41" s="1577">
        <f t="shared" si="12"/>
        <v>100</v>
      </c>
      <c r="T41" s="1576" t="s">
        <v>8</v>
      </c>
      <c r="U41" s="1577">
        <f t="shared" si="13"/>
        <v>100</v>
      </c>
      <c r="V41" s="1576" t="s">
        <v>8</v>
      </c>
      <c r="W41" s="1577">
        <f t="shared" si="14"/>
        <v>100</v>
      </c>
      <c r="X41" s="1578"/>
      <c r="Y41" s="3423"/>
      <c r="Z41" s="1579" t="str">
        <f t="shared" si="15"/>
        <v>进深比</v>
      </c>
      <c r="AA41" s="1575">
        <f t="shared" si="3"/>
        <v>1</v>
      </c>
      <c r="AB41" s="1575">
        <f t="shared" si="4"/>
        <v>1</v>
      </c>
      <c r="AC41" s="1575">
        <f t="shared" si="5"/>
        <v>1</v>
      </c>
    </row>
    <row r="42" spans="1:29" ht="15">
      <c r="A42" s="593"/>
      <c r="B42" s="526" t="s">
        <v>771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23"/>
      <c r="Q42" s="1571" t="str">
        <f t="shared" si="11"/>
        <v>内部装修</v>
      </c>
      <c r="R42" s="1572" t="s">
        <v>8</v>
      </c>
      <c r="S42" s="1573">
        <f t="shared" si="12"/>
        <v>100</v>
      </c>
      <c r="T42" s="1572" t="s">
        <v>8</v>
      </c>
      <c r="U42" s="1573">
        <f t="shared" si="13"/>
        <v>100</v>
      </c>
      <c r="V42" s="1572" t="s">
        <v>8</v>
      </c>
      <c r="W42" s="1573">
        <f t="shared" si="14"/>
        <v>100</v>
      </c>
      <c r="X42" s="1566"/>
      <c r="Y42" s="3423"/>
      <c r="Z42" s="1574" t="str">
        <f t="shared" si="15"/>
        <v>内部装修</v>
      </c>
      <c r="AA42" s="1575">
        <f t="shared" si="3"/>
        <v>1</v>
      </c>
      <c r="AB42" s="1575">
        <f t="shared" si="4"/>
        <v>1</v>
      </c>
      <c r="AC42" s="1575">
        <f t="shared" si="5"/>
        <v>1</v>
      </c>
    </row>
    <row r="43" spans="1:29" ht="27">
      <c r="A43" s="593"/>
      <c r="B43" s="526" t="s">
        <v>736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23"/>
      <c r="Q43" s="1571" t="str">
        <f t="shared" si="11"/>
        <v>内部装修维护情况</v>
      </c>
      <c r="R43" s="1572" t="s">
        <v>8</v>
      </c>
      <c r="S43" s="1573">
        <f t="shared" si="12"/>
        <v>100</v>
      </c>
      <c r="T43" s="1572" t="s">
        <v>8</v>
      </c>
      <c r="U43" s="1573">
        <f t="shared" si="13"/>
        <v>100</v>
      </c>
      <c r="V43" s="1572" t="s">
        <v>8</v>
      </c>
      <c r="W43" s="1573">
        <f t="shared" si="14"/>
        <v>100</v>
      </c>
      <c r="X43" s="1566"/>
      <c r="Y43" s="3423"/>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23"/>
      <c r="Q44" s="1150">
        <f t="shared" si="11"/>
        <v>111</v>
      </c>
      <c r="R44" s="1567" t="s">
        <v>8</v>
      </c>
      <c r="S44" s="1568">
        <f t="shared" si="12"/>
        <v>100</v>
      </c>
      <c r="T44" s="1567" t="s">
        <v>8</v>
      </c>
      <c r="U44" s="1568">
        <f t="shared" si="13"/>
        <v>100</v>
      </c>
      <c r="V44" s="1567" t="s">
        <v>8</v>
      </c>
      <c r="W44" s="1568">
        <f t="shared" si="14"/>
        <v>100</v>
      </c>
      <c r="X44" s="1569"/>
      <c r="Y44" s="3423"/>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23"/>
      <c r="Q45" s="1571">
        <f t="shared" si="11"/>
        <v>111</v>
      </c>
      <c r="R45" s="1572" t="s">
        <v>8</v>
      </c>
      <c r="S45" s="1573">
        <f t="shared" si="12"/>
        <v>100</v>
      </c>
      <c r="T45" s="1572" t="s">
        <v>8</v>
      </c>
      <c r="U45" s="1573">
        <f t="shared" si="13"/>
        <v>100</v>
      </c>
      <c r="V45" s="1572" t="s">
        <v>8</v>
      </c>
      <c r="W45" s="1573">
        <f t="shared" si="14"/>
        <v>100</v>
      </c>
      <c r="X45" s="1566"/>
      <c r="Y45" s="3423"/>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01"/>
      <c r="Q46" s="1571">
        <f t="shared" si="11"/>
        <v>111</v>
      </c>
      <c r="R46" s="1572" t="s">
        <v>8</v>
      </c>
      <c r="S46" s="1573">
        <f t="shared" si="12"/>
        <v>100</v>
      </c>
      <c r="T46" s="1572" t="s">
        <v>8</v>
      </c>
      <c r="U46" s="1573">
        <f t="shared" si="13"/>
        <v>100</v>
      </c>
      <c r="V46" s="1572" t="s">
        <v>8</v>
      </c>
      <c r="W46" s="1573">
        <f t="shared" si="14"/>
        <v>100</v>
      </c>
      <c r="X46" s="1566"/>
      <c r="Y46" s="3501"/>
      <c r="Z46" s="1574">
        <f t="shared" si="15"/>
        <v>111</v>
      </c>
      <c r="AA46" s="1575">
        <f t="shared" si="3"/>
        <v>1</v>
      </c>
      <c r="AB46" s="1575">
        <f t="shared" si="4"/>
        <v>1</v>
      </c>
      <c r="AC46" s="1575">
        <f t="shared" si="5"/>
        <v>1</v>
      </c>
    </row>
    <row r="47" spans="1:29" ht="15">
      <c r="A47" s="606" t="s">
        <v>737</v>
      </c>
      <c r="B47" s="886"/>
      <c r="C47" s="2649" t="s">
        <v>1</v>
      </c>
      <c r="D47" s="2650"/>
      <c r="E47" s="2651"/>
      <c r="F47" s="2652"/>
      <c r="G47" s="2653"/>
      <c r="H47" s="2654"/>
      <c r="I47" s="2651"/>
      <c r="J47" s="2654"/>
      <c r="K47" s="1610"/>
      <c r="L47" s="2142"/>
      <c r="M47" s="2143"/>
      <c r="N47" s="2132"/>
      <c r="O47" s="2143"/>
      <c r="P47" s="3418" t="str">
        <f>A47</f>
        <v>成交单价（元/平方米）</v>
      </c>
      <c r="Q47" s="3418"/>
      <c r="R47" s="3500">
        <f>E47</f>
        <v>0</v>
      </c>
      <c r="S47" s="3500"/>
      <c r="T47" s="3500">
        <f>G47</f>
        <v>0</v>
      </c>
      <c r="U47" s="3500"/>
      <c r="V47" s="3500">
        <f>I47</f>
        <v>0</v>
      </c>
      <c r="W47" s="3500"/>
      <c r="X47" s="1558"/>
      <c r="Y47" s="1580"/>
      <c r="Z47" s="1558"/>
      <c r="AA47" s="1558"/>
      <c r="AB47" s="1558"/>
      <c r="AC47" s="1558"/>
    </row>
    <row r="48" spans="1:29" ht="15.75" thickBot="1">
      <c r="A48" s="614" t="s">
        <v>2765</v>
      </c>
      <c r="B48" s="887"/>
      <c r="C48" s="2655" t="e">
        <f>R49</f>
        <v>#DIV/0!</v>
      </c>
      <c r="D48" s="2656"/>
      <c r="E48" s="2657" t="e">
        <f>R48</f>
        <v>#DIV/0!</v>
      </c>
      <c r="F48" s="2657"/>
      <c r="G48" s="2655" t="e">
        <f>T48</f>
        <v>#DIV/0!</v>
      </c>
      <c r="H48" s="2656"/>
      <c r="I48" s="2657" t="e">
        <f>V48</f>
        <v>#DIV/0!</v>
      </c>
      <c r="J48" s="2656"/>
      <c r="K48" s="1611"/>
      <c r="L48" s="2142"/>
      <c r="M48" s="2143"/>
      <c r="N48" s="2132"/>
      <c r="O48" s="2143"/>
      <c r="P48" s="3418" t="str">
        <f>A48</f>
        <v>比较价格（元/平方米）</v>
      </c>
      <c r="Q48" s="3418"/>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58"/>
      <c r="Y48" s="1558"/>
      <c r="Z48" s="1558"/>
      <c r="AA48" s="1558"/>
      <c r="AB48" s="1558"/>
      <c r="AC48" s="1558"/>
    </row>
    <row r="49" spans="1:29" ht="15.75" thickBot="1">
      <c r="A49" s="620" t="s">
        <v>2938</v>
      </c>
      <c r="B49" s="621"/>
      <c r="C49" s="2658" t="e">
        <f>R49</f>
        <v>#DIV/0!</v>
      </c>
      <c r="D49" s="2658"/>
      <c r="E49" s="2658"/>
      <c r="F49" s="2658"/>
      <c r="G49" s="2658"/>
      <c r="H49" s="2658"/>
      <c r="I49" s="2658"/>
      <c r="J49" s="2658"/>
      <c r="K49" s="1612"/>
      <c r="L49" s="2142"/>
      <c r="M49" s="2143"/>
      <c r="N49" s="2132"/>
      <c r="O49" s="2143"/>
      <c r="P49" s="3441" t="str">
        <f>A49</f>
        <v>估价对象XX用房的比较价格（楼面单价，元/平方米）</v>
      </c>
      <c r="Q49" s="3442"/>
      <c r="R49" s="3499" t="e">
        <f>IF(F1="售价",ROUND(AVERAGE(R48:V48),0),ROUND(AVERAGE(R48:V48),1))</f>
        <v>#DIV/0!</v>
      </c>
      <c r="S49" s="3499"/>
      <c r="T49" s="3499"/>
      <c r="U49" s="3499"/>
      <c r="V49" s="3499"/>
      <c r="W49" s="3499"/>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575</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4" t="s">
        <v>530</v>
      </c>
      <c r="B58" s="645"/>
      <c r="C58" s="2826"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576</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532</v>
      </c>
      <c r="B61" s="647"/>
      <c r="C61" s="659" t="s">
        <v>577</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578</v>
      </c>
      <c r="B63" s="664" t="s">
        <v>535</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540</v>
      </c>
      <c r="B76" s="664" t="s">
        <v>579</v>
      </c>
      <c r="C76" s="702" t="s">
        <v>580</v>
      </c>
      <c r="D76" s="702" t="s">
        <v>581</v>
      </c>
      <c r="E76" s="702" t="s">
        <v>582</v>
      </c>
      <c r="F76" s="702" t="s">
        <v>583</v>
      </c>
      <c r="G76" s="702" t="s">
        <v>584</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587</v>
      </c>
      <c r="C78" s="707" t="s">
        <v>580</v>
      </c>
      <c r="D78" s="707" t="s">
        <v>581</v>
      </c>
      <c r="E78" s="707" t="s">
        <v>582</v>
      </c>
      <c r="F78" s="707" t="s">
        <v>583</v>
      </c>
      <c r="G78" s="707" t="s">
        <v>584</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2560</v>
      </c>
      <c r="C80" s="707" t="s">
        <v>580</v>
      </c>
      <c r="D80" s="707" t="s">
        <v>581</v>
      </c>
      <c r="E80" s="707" t="s">
        <v>582</v>
      </c>
      <c r="F80" s="707" t="s">
        <v>583</v>
      </c>
      <c r="G80" s="707" t="s">
        <v>584</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2561</v>
      </c>
      <c r="C82" s="2620" t="s">
        <v>2562</v>
      </c>
      <c r="D82" s="2620" t="s">
        <v>2563</v>
      </c>
      <c r="E82" s="2620" t="s">
        <v>2564</v>
      </c>
      <c r="F82" s="2620" t="s">
        <v>2565</v>
      </c>
      <c r="G82" s="2620" t="s">
        <v>2566</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745</v>
      </c>
      <c r="C84" s="707" t="s">
        <v>580</v>
      </c>
      <c r="D84" s="707" t="s">
        <v>581</v>
      </c>
      <c r="E84" s="707" t="s">
        <v>582</v>
      </c>
      <c r="F84" s="707" t="s">
        <v>583</v>
      </c>
      <c r="G84" s="707" t="s">
        <v>584</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772</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552</v>
      </c>
      <c r="B100" s="664" t="s">
        <v>773</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750</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752</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2559</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774</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775</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776</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777</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756</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778</v>
      </c>
      <c r="C1" s="503" t="s">
        <v>721</v>
      </c>
      <c r="D1" s="848"/>
      <c r="E1" s="505"/>
      <c r="F1" s="2831"/>
      <c r="G1" s="1600" t="s">
        <v>722</v>
      </c>
      <c r="H1" s="505"/>
      <c r="I1" s="505"/>
      <c r="J1" s="505"/>
      <c r="K1" s="506"/>
      <c r="L1" s="1561"/>
      <c r="M1" s="1562"/>
      <c r="N1" s="1562"/>
      <c r="O1" s="1562"/>
      <c r="P1" s="2205"/>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5" customFormat="1" ht="28.5" customHeight="1" thickBot="1">
      <c r="A3" s="508" t="s">
        <v>520</v>
      </c>
      <c r="B3" s="509" t="e">
        <f>C50</f>
        <v>#DIV/0!</v>
      </c>
      <c r="C3" s="851" t="s">
        <v>723</v>
      </c>
      <c r="D3" s="850">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1" t="s">
        <v>522</v>
      </c>
      <c r="B4" s="512"/>
      <c r="C4" s="3424" t="s">
        <v>523</v>
      </c>
      <c r="D4" s="3425"/>
      <c r="E4" s="3450" t="s">
        <v>524</v>
      </c>
      <c r="F4" s="3451"/>
      <c r="G4" s="3424" t="s">
        <v>525</v>
      </c>
      <c r="H4" s="3425"/>
      <c r="I4" s="3424" t="s">
        <v>526</v>
      </c>
      <c r="J4" s="3425"/>
      <c r="K4" s="513" t="s">
        <v>527</v>
      </c>
      <c r="L4" s="2131"/>
      <c r="M4" s="2132"/>
      <c r="N4" s="2132"/>
      <c r="O4" s="2132"/>
      <c r="P4" s="3525" t="s">
        <v>528</v>
      </c>
      <c r="Q4" s="3427"/>
      <c r="R4" s="3412" t="s">
        <v>524</v>
      </c>
      <c r="S4" s="3413"/>
      <c r="T4" s="3412" t="s">
        <v>525</v>
      </c>
      <c r="U4" s="3413"/>
      <c r="V4" s="3432" t="s">
        <v>526</v>
      </c>
      <c r="W4" s="3432"/>
      <c r="X4" s="1566"/>
      <c r="Y4" s="3412" t="s">
        <v>528</v>
      </c>
      <c r="Z4" s="3413"/>
      <c r="AA4" s="3407" t="s">
        <v>524</v>
      </c>
      <c r="AB4" s="3407" t="s">
        <v>525</v>
      </c>
      <c r="AC4" s="3407" t="s">
        <v>526</v>
      </c>
    </row>
    <row r="5" spans="1:29" ht="15">
      <c r="A5" s="514"/>
      <c r="B5" s="515"/>
      <c r="C5" s="3437" t="s">
        <v>2932</v>
      </c>
      <c r="D5" s="3436"/>
      <c r="E5" s="3452" t="s">
        <v>2933</v>
      </c>
      <c r="F5" s="3453"/>
      <c r="G5" s="3437" t="s">
        <v>2934</v>
      </c>
      <c r="H5" s="3436"/>
      <c r="I5" s="3437" t="s">
        <v>2935</v>
      </c>
      <c r="J5" s="3436"/>
      <c r="K5" s="513"/>
      <c r="L5" s="2131"/>
      <c r="M5" s="2132"/>
      <c r="N5" s="2132"/>
      <c r="O5" s="2132"/>
      <c r="P5" s="3526"/>
      <c r="Q5" s="3429"/>
      <c r="R5" s="3414"/>
      <c r="S5" s="3415"/>
      <c r="T5" s="3414"/>
      <c r="U5" s="3415"/>
      <c r="V5" s="3432"/>
      <c r="W5" s="3432"/>
      <c r="X5" s="1566"/>
      <c r="Y5" s="3414"/>
      <c r="Z5" s="3415"/>
      <c r="AA5" s="3408"/>
      <c r="AB5" s="3408"/>
      <c r="AC5" s="3408"/>
    </row>
    <row r="6" spans="1:29" ht="15.75" thickBot="1">
      <c r="A6" s="516"/>
      <c r="B6" s="517"/>
      <c r="C6" s="3454" t="s">
        <v>2936</v>
      </c>
      <c r="D6" s="3434"/>
      <c r="E6" s="3455" t="s">
        <v>2936</v>
      </c>
      <c r="F6" s="3456"/>
      <c r="G6" s="3454" t="s">
        <v>2936</v>
      </c>
      <c r="H6" s="3434"/>
      <c r="I6" s="3454" t="s">
        <v>2936</v>
      </c>
      <c r="J6" s="3434"/>
      <c r="K6" s="513" t="s">
        <v>529</v>
      </c>
      <c r="L6" s="2131"/>
      <c r="M6" s="2132"/>
      <c r="N6" s="2132"/>
      <c r="O6" s="2132"/>
      <c r="P6" s="3527"/>
      <c r="Q6" s="3431"/>
      <c r="R6" s="3414"/>
      <c r="S6" s="3415"/>
      <c r="T6" s="3416"/>
      <c r="U6" s="3417"/>
      <c r="V6" s="3432"/>
      <c r="W6" s="3432"/>
      <c r="X6" s="1566"/>
      <c r="Y6" s="3416"/>
      <c r="Z6" s="3417"/>
      <c r="AA6" s="3409"/>
      <c r="AB6" s="3409"/>
      <c r="AC6" s="3409"/>
    </row>
    <row r="7" spans="1:29" s="1219" customFormat="1" ht="15.75" thickBot="1">
      <c r="A7" s="2936"/>
      <c r="B7" s="2943" t="s">
        <v>530</v>
      </c>
      <c r="C7" s="518">
        <f>'数据-取费表'!B2</f>
        <v>43104</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19" t="s">
        <v>531</v>
      </c>
      <c r="Q7" s="3419"/>
      <c r="R7" s="1567" t="s">
        <v>8</v>
      </c>
      <c r="S7" s="1568">
        <f t="shared" ref="S7:S15" si="0">F7</f>
        <v>0</v>
      </c>
      <c r="T7" s="1567" t="s">
        <v>8</v>
      </c>
      <c r="U7" s="1568">
        <f t="shared" ref="U7:U15" si="1">H7</f>
        <v>0</v>
      </c>
      <c r="V7" s="1567" t="s">
        <v>8</v>
      </c>
      <c r="W7" s="1568">
        <f t="shared" ref="W7:W15" si="2">J7</f>
        <v>0</v>
      </c>
      <c r="X7" s="1569"/>
      <c r="Y7" s="3410" t="s">
        <v>531</v>
      </c>
      <c r="Z7" s="3411"/>
      <c r="AA7" s="1570" t="e">
        <f>D7/F7</f>
        <v>#DIV/0!</v>
      </c>
      <c r="AB7" s="1570" t="e">
        <f>D7/H7</f>
        <v>#DIV/0!</v>
      </c>
      <c r="AC7" s="1570" t="e">
        <f>D7/J7</f>
        <v>#DIV/0!</v>
      </c>
    </row>
    <row r="8" spans="1:29" s="1219" customFormat="1" ht="15.75" thickBot="1">
      <c r="A8" s="2937"/>
      <c r="B8" s="2944" t="s">
        <v>532</v>
      </c>
      <c r="C8" s="524" t="s">
        <v>577</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19" t="s">
        <v>534</v>
      </c>
      <c r="Q8" s="3411"/>
      <c r="R8" s="1567" t="s">
        <v>8</v>
      </c>
      <c r="S8" s="1568">
        <f t="shared" si="0"/>
        <v>0</v>
      </c>
      <c r="T8" s="1567" t="s">
        <v>8</v>
      </c>
      <c r="U8" s="1568">
        <f t="shared" si="1"/>
        <v>0</v>
      </c>
      <c r="V8" s="1567" t="s">
        <v>8</v>
      </c>
      <c r="W8" s="1568">
        <f t="shared" si="2"/>
        <v>0</v>
      </c>
      <c r="X8" s="1569"/>
      <c r="Y8" s="3410" t="s">
        <v>534</v>
      </c>
      <c r="Z8" s="3411"/>
      <c r="AA8" s="1570" t="e">
        <f t="shared" ref="AA8:AA47" si="3">D8/F8</f>
        <v>#DIV/0!</v>
      </c>
      <c r="AB8" s="1570" t="e">
        <f t="shared" ref="AB8:AB47" si="4">D8/H8</f>
        <v>#DIV/0!</v>
      </c>
      <c r="AC8" s="1570" t="e">
        <f t="shared" ref="AC8:AC47" si="5">D8/J8</f>
        <v>#DIV/0!</v>
      </c>
    </row>
    <row r="9" spans="1:29" s="1219" customFormat="1" ht="15">
      <c r="A9" s="2938"/>
      <c r="B9" s="2945" t="s">
        <v>2761</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418" t="s">
        <v>536</v>
      </c>
      <c r="Q9" s="1150" t="str">
        <f t="shared" ref="Q9:Q15" si="6">B9</f>
        <v>用途</v>
      </c>
      <c r="R9" s="1567" t="s">
        <v>8</v>
      </c>
      <c r="S9" s="1568">
        <f t="shared" si="0"/>
        <v>100</v>
      </c>
      <c r="T9" s="1567" t="s">
        <v>8</v>
      </c>
      <c r="U9" s="1568">
        <f t="shared" si="1"/>
        <v>100</v>
      </c>
      <c r="V9" s="1567" t="s">
        <v>8</v>
      </c>
      <c r="W9" s="1568">
        <f t="shared" si="2"/>
        <v>100</v>
      </c>
      <c r="X9" s="1569"/>
      <c r="Y9" s="3375" t="s">
        <v>537</v>
      </c>
      <c r="Z9" s="1149" t="str">
        <f t="shared" ref="Z9:Z15" si="7">Q9</f>
        <v>用途</v>
      </c>
      <c r="AA9" s="1570">
        <f t="shared" si="3"/>
        <v>1</v>
      </c>
      <c r="AB9" s="1570">
        <f t="shared" si="4"/>
        <v>1</v>
      </c>
      <c r="AC9" s="1570">
        <f t="shared" si="5"/>
        <v>1</v>
      </c>
    </row>
    <row r="10" spans="1:29" s="1337" customFormat="1" ht="27">
      <c r="A10" s="2939"/>
      <c r="B10" s="2944" t="s">
        <v>2762</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418"/>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
      <c r="A11" s="2940"/>
      <c r="B11" s="2944" t="s">
        <v>2763</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418"/>
      <c r="Q11" s="1150" t="str">
        <f t="shared" si="6"/>
        <v>容积率</v>
      </c>
      <c r="R11" s="1567" t="s">
        <v>8</v>
      </c>
      <c r="S11" s="1568" t="e">
        <f t="shared" si="0"/>
        <v>#N/A</v>
      </c>
      <c r="T11" s="1567" t="s">
        <v>8</v>
      </c>
      <c r="U11" s="1568" t="e">
        <f t="shared" si="1"/>
        <v>#N/A</v>
      </c>
      <c r="V11" s="1567" t="s">
        <v>8</v>
      </c>
      <c r="W11" s="1568" t="e">
        <f t="shared" si="2"/>
        <v>#N/A</v>
      </c>
      <c r="X11" s="1569"/>
      <c r="Y11" s="3375"/>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418"/>
      <c r="Q12" s="1150">
        <f t="shared" si="6"/>
        <v>111</v>
      </c>
      <c r="R12" s="1567" t="s">
        <v>8</v>
      </c>
      <c r="S12" s="1568">
        <f t="shared" si="0"/>
        <v>100</v>
      </c>
      <c r="T12" s="1567" t="s">
        <v>8</v>
      </c>
      <c r="U12" s="1568">
        <f t="shared" si="1"/>
        <v>100</v>
      </c>
      <c r="V12" s="1567" t="s">
        <v>8</v>
      </c>
      <c r="W12" s="1568">
        <f t="shared" si="2"/>
        <v>100</v>
      </c>
      <c r="X12" s="1569"/>
      <c r="Y12" s="3375"/>
      <c r="Z12" s="1149">
        <f t="shared" si="7"/>
        <v>111</v>
      </c>
      <c r="AA12" s="1570">
        <f>D12/F12</f>
        <v>1</v>
      </c>
      <c r="AB12" s="1570">
        <f>D12/H12</f>
        <v>1</v>
      </c>
      <c r="AC12" s="1570">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418"/>
      <c r="Q13" s="1150">
        <f t="shared" si="6"/>
        <v>111</v>
      </c>
      <c r="R13" s="1567" t="s">
        <v>8</v>
      </c>
      <c r="S13" s="1568">
        <f t="shared" si="0"/>
        <v>100</v>
      </c>
      <c r="T13" s="1567" t="s">
        <v>8</v>
      </c>
      <c r="U13" s="1568">
        <f t="shared" si="1"/>
        <v>100</v>
      </c>
      <c r="V13" s="1567" t="s">
        <v>8</v>
      </c>
      <c r="W13" s="1568">
        <f t="shared" si="2"/>
        <v>100</v>
      </c>
      <c r="X13" s="1569"/>
      <c r="Y13" s="3375"/>
      <c r="Z13" s="1149">
        <f t="shared" si="7"/>
        <v>111</v>
      </c>
      <c r="AA13" s="1570">
        <f t="shared" si="3"/>
        <v>1</v>
      </c>
      <c r="AB13" s="1570">
        <f t="shared" si="4"/>
        <v>1</v>
      </c>
      <c r="AC13" s="1570">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418"/>
      <c r="Q14" s="1150">
        <f t="shared" si="6"/>
        <v>111</v>
      </c>
      <c r="R14" s="1567" t="s">
        <v>8</v>
      </c>
      <c r="S14" s="1568">
        <f t="shared" si="0"/>
        <v>100</v>
      </c>
      <c r="T14" s="1567" t="s">
        <v>8</v>
      </c>
      <c r="U14" s="1568">
        <f t="shared" si="1"/>
        <v>100</v>
      </c>
      <c r="V14" s="1567" t="s">
        <v>8</v>
      </c>
      <c r="W14" s="1568">
        <f t="shared" si="2"/>
        <v>100</v>
      </c>
      <c r="X14" s="1569"/>
      <c r="Y14" s="3375"/>
      <c r="Z14" s="1149">
        <f t="shared" si="7"/>
        <v>111</v>
      </c>
      <c r="AA14" s="1570">
        <f t="shared" si="3"/>
        <v>1</v>
      </c>
      <c r="AB14" s="1570">
        <f t="shared" si="4"/>
        <v>1</v>
      </c>
      <c r="AC14" s="1570">
        <f t="shared" si="5"/>
        <v>1</v>
      </c>
    </row>
    <row r="15" spans="1:29" ht="71.25">
      <c r="A15" s="2934" t="s">
        <v>2759</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20" t="s">
        <v>541</v>
      </c>
      <c r="Q15" s="1571" t="str">
        <f t="shared" si="6"/>
        <v>办公集聚程度</v>
      </c>
      <c r="R15" s="1572" t="s">
        <v>8</v>
      </c>
      <c r="S15" s="1573">
        <f t="shared" si="0"/>
        <v>100</v>
      </c>
      <c r="T15" s="1572" t="s">
        <v>8</v>
      </c>
      <c r="U15" s="1573">
        <f t="shared" si="1"/>
        <v>100</v>
      </c>
      <c r="V15" s="1572" t="s">
        <v>8</v>
      </c>
      <c r="W15" s="1573">
        <f t="shared" si="2"/>
        <v>100</v>
      </c>
      <c r="X15" s="1566"/>
      <c r="Y15" s="3420" t="s">
        <v>541</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0"/>
      <c r="M16" s="2132"/>
      <c r="N16" s="2132"/>
      <c r="O16" s="2132"/>
      <c r="P16" s="3421"/>
      <c r="Q16" s="1571"/>
      <c r="R16" s="1572"/>
      <c r="S16" s="1573"/>
      <c r="T16" s="1572"/>
      <c r="U16" s="1573"/>
      <c r="V16" s="1572"/>
      <c r="W16" s="1573"/>
      <c r="X16" s="1566"/>
      <c r="Y16" s="3421"/>
      <c r="Z16" s="1574"/>
      <c r="AA16" s="1575">
        <v>1</v>
      </c>
      <c r="AB16" s="1575">
        <v>1</v>
      </c>
      <c r="AC16" s="1575">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21"/>
      <c r="Q17" s="1571" t="str">
        <f>B17</f>
        <v>交通便捷度</v>
      </c>
      <c r="R17" s="1572" t="s">
        <v>8</v>
      </c>
      <c r="S17" s="1573">
        <f>F17</f>
        <v>100</v>
      </c>
      <c r="T17" s="1572" t="s">
        <v>8</v>
      </c>
      <c r="U17" s="1573">
        <f>H17</f>
        <v>100</v>
      </c>
      <c r="V17" s="1572" t="s">
        <v>8</v>
      </c>
      <c r="W17" s="1573">
        <f>J17</f>
        <v>100</v>
      </c>
      <c r="X17" s="1566"/>
      <c r="Y17" s="3421"/>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0"/>
      <c r="M18" s="2132"/>
      <c r="N18" s="2132"/>
      <c r="O18" s="2132"/>
      <c r="P18" s="3421"/>
      <c r="Q18" s="1571"/>
      <c r="R18" s="1572"/>
      <c r="S18" s="1573"/>
      <c r="T18" s="1572"/>
      <c r="U18" s="1573"/>
      <c r="V18" s="1572"/>
      <c r="W18" s="1573"/>
      <c r="X18" s="1566"/>
      <c r="Y18" s="3421"/>
      <c r="Z18" s="1574"/>
      <c r="AA18" s="1575">
        <v>1</v>
      </c>
      <c r="AB18" s="1575">
        <v>1</v>
      </c>
      <c r="AC18" s="1575">
        <v>1</v>
      </c>
    </row>
    <row r="19" spans="1:29" ht="42.75">
      <c r="A19" s="531"/>
      <c r="B19" s="2625" t="s">
        <v>2549</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21"/>
      <c r="Q19" s="1571" t="str">
        <f>B19</f>
        <v>公共配套设施</v>
      </c>
      <c r="R19" s="1572" t="s">
        <v>8</v>
      </c>
      <c r="S19" s="1573">
        <f>F19</f>
        <v>100</v>
      </c>
      <c r="T19" s="1572" t="s">
        <v>8</v>
      </c>
      <c r="U19" s="1573">
        <f>H19</f>
        <v>100</v>
      </c>
      <c r="V19" s="1572" t="s">
        <v>8</v>
      </c>
      <c r="W19" s="1573">
        <f>J19</f>
        <v>100</v>
      </c>
      <c r="X19" s="1566"/>
      <c r="Y19" s="3421"/>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0"/>
      <c r="M20" s="2132"/>
      <c r="N20" s="2132"/>
      <c r="O20" s="2132"/>
      <c r="P20" s="3421"/>
      <c r="Q20" s="1571"/>
      <c r="R20" s="1572"/>
      <c r="S20" s="1573"/>
      <c r="T20" s="1572"/>
      <c r="U20" s="1573"/>
      <c r="V20" s="1572"/>
      <c r="W20" s="1573"/>
      <c r="X20" s="1566"/>
      <c r="Y20" s="3421"/>
      <c r="Z20" s="1574"/>
      <c r="AA20" s="1575">
        <v>1</v>
      </c>
      <c r="AB20" s="1575">
        <v>1</v>
      </c>
      <c r="AC20" s="1575">
        <v>1</v>
      </c>
    </row>
    <row r="21" spans="1:29" ht="28.5">
      <c r="A21" s="531"/>
      <c r="B21" s="2613" t="s">
        <v>2561</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21"/>
      <c r="Q21" s="2601" t="str">
        <f>B21</f>
        <v>基础设施水平</v>
      </c>
      <c r="R21" s="1572" t="s">
        <v>8</v>
      </c>
      <c r="S21" s="1573">
        <f>F21</f>
        <v>100</v>
      </c>
      <c r="T21" s="1572" t="s">
        <v>8</v>
      </c>
      <c r="U21" s="1573">
        <f>H21</f>
        <v>100</v>
      </c>
      <c r="V21" s="1572" t="s">
        <v>8</v>
      </c>
      <c r="W21" s="1573">
        <f>J21</f>
        <v>100</v>
      </c>
      <c r="X21" s="2603"/>
      <c r="Y21" s="3421"/>
      <c r="Z21" s="2602"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4"/>
      <c r="L22" s="2140"/>
      <c r="M22" s="2132"/>
      <c r="N22" s="2132"/>
      <c r="O22" s="2132"/>
      <c r="P22" s="3421"/>
      <c r="Q22" s="2601"/>
      <c r="R22" s="1572"/>
      <c r="S22" s="1573"/>
      <c r="T22" s="1572"/>
      <c r="U22" s="1573"/>
      <c r="V22" s="1572"/>
      <c r="W22" s="1573"/>
      <c r="X22" s="2603"/>
      <c r="Y22" s="3421"/>
      <c r="Z22" s="2602"/>
      <c r="AA22" s="1575">
        <v>1</v>
      </c>
      <c r="AB22" s="1575">
        <v>1</v>
      </c>
      <c r="AC22" s="1575">
        <v>1</v>
      </c>
    </row>
    <row r="23" spans="1:29" ht="57">
      <c r="A23" s="531"/>
      <c r="B23" s="559" t="s">
        <v>779</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21"/>
      <c r="Q23" s="1571" t="str">
        <f>B23</f>
        <v>环境质量</v>
      </c>
      <c r="R23" s="1572" t="s">
        <v>8</v>
      </c>
      <c r="S23" s="1573">
        <f>F23</f>
        <v>100</v>
      </c>
      <c r="T23" s="1572" t="s">
        <v>8</v>
      </c>
      <c r="U23" s="1573">
        <f>H23</f>
        <v>100</v>
      </c>
      <c r="V23" s="1572" t="s">
        <v>8</v>
      </c>
      <c r="W23" s="1573">
        <f>J23</f>
        <v>100</v>
      </c>
      <c r="X23" s="1566"/>
      <c r="Y23" s="3421"/>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0"/>
      <c r="M24" s="2132"/>
      <c r="N24" s="2132"/>
      <c r="O24" s="2132"/>
      <c r="P24" s="3421"/>
      <c r="Q24" s="1571"/>
      <c r="R24" s="1572"/>
      <c r="S24" s="1573"/>
      <c r="T24" s="1572"/>
      <c r="U24" s="1573"/>
      <c r="V24" s="1572"/>
      <c r="W24" s="1573"/>
      <c r="X24" s="1566"/>
      <c r="Y24" s="3421"/>
      <c r="Z24" s="1574"/>
      <c r="AA24" s="1575">
        <v>1</v>
      </c>
      <c r="AB24" s="1575">
        <v>1</v>
      </c>
      <c r="AC24" s="1575">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21"/>
      <c r="Q25" s="1571" t="str">
        <f>B25</f>
        <v>毗邻道路的类型与等级</v>
      </c>
      <c r="R25" s="1572" t="s">
        <v>8</v>
      </c>
      <c r="S25" s="1573">
        <f>F25</f>
        <v>100</v>
      </c>
      <c r="T25" s="1572" t="s">
        <v>8</v>
      </c>
      <c r="U25" s="1573">
        <f>H25</f>
        <v>100</v>
      </c>
      <c r="V25" s="1572" t="s">
        <v>8</v>
      </c>
      <c r="W25" s="1573">
        <f>J25</f>
        <v>100</v>
      </c>
      <c r="X25" s="1566"/>
      <c r="Y25" s="3421"/>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0"/>
      <c r="M26" s="2132"/>
      <c r="N26" s="2132"/>
      <c r="O26" s="2132"/>
      <c r="P26" s="3421"/>
      <c r="Q26" s="1571"/>
      <c r="R26" s="1572"/>
      <c r="S26" s="1573"/>
      <c r="T26" s="1572"/>
      <c r="U26" s="1573"/>
      <c r="V26" s="1572"/>
      <c r="W26" s="1573"/>
      <c r="X26" s="1566"/>
      <c r="Y26" s="3421"/>
      <c r="Z26" s="1574"/>
      <c r="AA26" s="1575">
        <v>1</v>
      </c>
      <c r="AB26" s="1575">
        <v>1</v>
      </c>
      <c r="AC26" s="1575">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21"/>
      <c r="Q27" s="1571" t="str">
        <f t="shared" ref="Q27:Q47" si="11">B27</f>
        <v>楼层</v>
      </c>
      <c r="R27" s="1572" t="s">
        <v>8</v>
      </c>
      <c r="S27" s="1573">
        <f>F27</f>
        <v>100</v>
      </c>
      <c r="T27" s="1572" t="s">
        <v>8</v>
      </c>
      <c r="U27" s="1573">
        <f>H27</f>
        <v>100</v>
      </c>
      <c r="V27" s="1572" t="s">
        <v>8</v>
      </c>
      <c r="W27" s="1573">
        <f>J27</f>
        <v>100</v>
      </c>
      <c r="X27" s="1566"/>
      <c r="Y27" s="3421"/>
      <c r="Z27" s="1574" t="str">
        <f>Q27</f>
        <v>楼层</v>
      </c>
      <c r="AA27" s="1575">
        <f t="shared" si="3"/>
        <v>1</v>
      </c>
      <c r="AB27" s="1575">
        <f t="shared" si="4"/>
        <v>1</v>
      </c>
      <c r="AC27" s="1575">
        <f t="shared" si="5"/>
        <v>1</v>
      </c>
    </row>
    <row r="28" spans="1:29" s="1219" customFormat="1" ht="15">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21"/>
      <c r="Q28" s="1150" t="str">
        <f t="shared" si="11"/>
        <v>朝向</v>
      </c>
      <c r="R28" s="1567" t="s">
        <v>8</v>
      </c>
      <c r="S28" s="1568">
        <f>F28</f>
        <v>100</v>
      </c>
      <c r="T28" s="1567" t="s">
        <v>8</v>
      </c>
      <c r="U28" s="1568">
        <f>H28</f>
        <v>100</v>
      </c>
      <c r="V28" s="1567" t="s">
        <v>8</v>
      </c>
      <c r="W28" s="1568">
        <f>J28</f>
        <v>100</v>
      </c>
      <c r="X28" s="1569"/>
      <c r="Y28" s="3421"/>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21"/>
      <c r="Q29" s="1571">
        <f t="shared" si="11"/>
        <v>111</v>
      </c>
      <c r="R29" s="1572" t="s">
        <v>8</v>
      </c>
      <c r="S29" s="1573">
        <f t="shared" ref="S29:S47" si="12">F29</f>
        <v>100</v>
      </c>
      <c r="T29" s="1572" t="s">
        <v>8</v>
      </c>
      <c r="U29" s="1573">
        <f t="shared" ref="U29:U47" si="13">H29</f>
        <v>100</v>
      </c>
      <c r="V29" s="1572" t="s">
        <v>8</v>
      </c>
      <c r="W29" s="1573">
        <f t="shared" ref="W29:W47" si="14">J29</f>
        <v>100</v>
      </c>
      <c r="X29" s="1566"/>
      <c r="Y29" s="3421"/>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21"/>
      <c r="Q30" s="1571">
        <f t="shared" si="11"/>
        <v>111</v>
      </c>
      <c r="R30" s="1572" t="s">
        <v>8</v>
      </c>
      <c r="S30" s="1573">
        <f t="shared" si="12"/>
        <v>100</v>
      </c>
      <c r="T30" s="1572" t="s">
        <v>8</v>
      </c>
      <c r="U30" s="1573">
        <f t="shared" si="13"/>
        <v>100</v>
      </c>
      <c r="V30" s="1572" t="s">
        <v>8</v>
      </c>
      <c r="W30" s="1573">
        <f t="shared" si="14"/>
        <v>100</v>
      </c>
      <c r="X30" s="1566"/>
      <c r="Y30" s="3421"/>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21"/>
      <c r="Q31" s="1571">
        <f t="shared" si="11"/>
        <v>111</v>
      </c>
      <c r="R31" s="1572" t="s">
        <v>8</v>
      </c>
      <c r="S31" s="1573">
        <f t="shared" si="12"/>
        <v>100</v>
      </c>
      <c r="T31" s="1572" t="s">
        <v>8</v>
      </c>
      <c r="U31" s="1573">
        <f t="shared" si="13"/>
        <v>100</v>
      </c>
      <c r="V31" s="1572" t="s">
        <v>8</v>
      </c>
      <c r="W31" s="1573">
        <f t="shared" si="14"/>
        <v>100</v>
      </c>
      <c r="X31" s="1566"/>
      <c r="Y31" s="3421"/>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21"/>
      <c r="Q32" s="1571">
        <f t="shared" si="11"/>
        <v>111</v>
      </c>
      <c r="R32" s="1572" t="s">
        <v>8</v>
      </c>
      <c r="S32" s="1573">
        <f t="shared" si="12"/>
        <v>100</v>
      </c>
      <c r="T32" s="1572" t="s">
        <v>8</v>
      </c>
      <c r="U32" s="1573">
        <f t="shared" si="13"/>
        <v>100</v>
      </c>
      <c r="V32" s="1572" t="s">
        <v>8</v>
      </c>
      <c r="W32" s="1573">
        <f t="shared" si="14"/>
        <v>100</v>
      </c>
      <c r="X32" s="1566"/>
      <c r="Y32" s="3421"/>
      <c r="Z32" s="1574">
        <f t="shared" si="15"/>
        <v>111</v>
      </c>
      <c r="AA32" s="1575">
        <f t="shared" si="3"/>
        <v>1</v>
      </c>
      <c r="AB32" s="1575">
        <f t="shared" si="4"/>
        <v>1</v>
      </c>
      <c r="AC32" s="1575">
        <f t="shared" si="5"/>
        <v>1</v>
      </c>
    </row>
    <row r="33" spans="1:29" ht="15">
      <c r="A33" s="2931" t="s">
        <v>2760</v>
      </c>
      <c r="B33" s="172" t="s">
        <v>781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22" t="s">
        <v>551</v>
      </c>
      <c r="Q33" s="1571" t="str">
        <f t="shared" si="11"/>
        <v>建筑类型</v>
      </c>
      <c r="R33" s="1572" t="s">
        <v>8</v>
      </c>
      <c r="S33" s="1573">
        <f t="shared" si="12"/>
        <v>100</v>
      </c>
      <c r="T33" s="1572" t="s">
        <v>8</v>
      </c>
      <c r="U33" s="1573">
        <f t="shared" si="13"/>
        <v>100</v>
      </c>
      <c r="V33" s="1572" t="s">
        <v>8</v>
      </c>
      <c r="W33" s="1573">
        <f t="shared" si="14"/>
        <v>100</v>
      </c>
      <c r="X33" s="1566"/>
      <c r="Y33" s="3423" t="s">
        <v>551</v>
      </c>
      <c r="Z33" s="1574" t="str">
        <f t="shared" si="15"/>
        <v>建筑类型</v>
      </c>
      <c r="AA33" s="1575">
        <f t="shared" si="3"/>
        <v>1</v>
      </c>
      <c r="AB33" s="1575">
        <f t="shared" si="4"/>
        <v>1</v>
      </c>
      <c r="AC33" s="1575">
        <f t="shared" si="5"/>
        <v>1</v>
      </c>
    </row>
    <row r="34" spans="1:29" s="1338" customFormat="1" ht="15">
      <c r="A34" s="602"/>
      <c r="B34" s="526" t="s">
        <v>727</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23"/>
      <c r="Q34" s="1604" t="str">
        <f t="shared" si="11"/>
        <v>项目建筑规模</v>
      </c>
      <c r="R34" s="1576" t="s">
        <v>8</v>
      </c>
      <c r="S34" s="1577" t="e">
        <f t="shared" si="12"/>
        <v>#N/A</v>
      </c>
      <c r="T34" s="1576" t="s">
        <v>8</v>
      </c>
      <c r="U34" s="1577" t="e">
        <f t="shared" si="13"/>
        <v>#N/A</v>
      </c>
      <c r="V34" s="1576" t="s">
        <v>8</v>
      </c>
      <c r="W34" s="1577" t="e">
        <f t="shared" si="14"/>
        <v>#N/A</v>
      </c>
      <c r="X34" s="1578"/>
      <c r="Y34" s="3423"/>
      <c r="Z34" s="1579" t="str">
        <f t="shared" si="15"/>
        <v>项目建筑规模</v>
      </c>
      <c r="AA34" s="1575" t="e">
        <f t="shared" si="3"/>
        <v>#N/A</v>
      </c>
      <c r="AB34" s="1575" t="e">
        <f t="shared" si="4"/>
        <v>#N/A</v>
      </c>
      <c r="AC34" s="1575"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23"/>
      <c r="Q35" s="1571" t="str">
        <f t="shared" si="11"/>
        <v>建筑结构</v>
      </c>
      <c r="R35" s="1572" t="s">
        <v>8</v>
      </c>
      <c r="S35" s="1573">
        <f t="shared" si="12"/>
        <v>100</v>
      </c>
      <c r="T35" s="1572" t="s">
        <v>8</v>
      </c>
      <c r="U35" s="1573">
        <f t="shared" si="13"/>
        <v>100</v>
      </c>
      <c r="V35" s="1572" t="s">
        <v>8</v>
      </c>
      <c r="W35" s="1573">
        <f t="shared" si="14"/>
        <v>100</v>
      </c>
      <c r="X35" s="1566"/>
      <c r="Y35" s="3423"/>
      <c r="Z35" s="1574" t="str">
        <f t="shared" si="15"/>
        <v>建筑结构</v>
      </c>
      <c r="AA35" s="1575">
        <f t="shared" si="3"/>
        <v>1</v>
      </c>
      <c r="AB35" s="1575">
        <f t="shared" si="4"/>
        <v>1</v>
      </c>
      <c r="AC35" s="1575">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23"/>
      <c r="Q36" s="1571" t="str">
        <f t="shared" si="11"/>
        <v>公共部分装修</v>
      </c>
      <c r="R36" s="1572" t="s">
        <v>8</v>
      </c>
      <c r="S36" s="1573">
        <f t="shared" si="12"/>
        <v>100</v>
      </c>
      <c r="T36" s="1572" t="s">
        <v>8</v>
      </c>
      <c r="U36" s="1573">
        <f t="shared" si="13"/>
        <v>100</v>
      </c>
      <c r="V36" s="1572" t="s">
        <v>8</v>
      </c>
      <c r="W36" s="1573">
        <f t="shared" si="14"/>
        <v>100</v>
      </c>
      <c r="X36" s="1566"/>
      <c r="Y36" s="3423"/>
      <c r="Z36" s="1574" t="str">
        <f t="shared" si="15"/>
        <v>公共部分装修</v>
      </c>
      <c r="AA36" s="1575">
        <f t="shared" si="3"/>
        <v>1</v>
      </c>
      <c r="AB36" s="1575">
        <f t="shared" si="4"/>
        <v>1</v>
      </c>
      <c r="AC36" s="1575">
        <f t="shared" si="5"/>
        <v>1</v>
      </c>
    </row>
    <row r="37" spans="1:29" ht="15">
      <c r="A37" s="593"/>
      <c r="B37" s="526" t="s">
        <v>765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23"/>
      <c r="Q37" s="1571" t="str">
        <f t="shared" si="11"/>
        <v>成新度</v>
      </c>
      <c r="R37" s="1572" t="s">
        <v>8</v>
      </c>
      <c r="S37" s="1573" t="e">
        <f t="shared" si="12"/>
        <v>#N/A</v>
      </c>
      <c r="T37" s="1572" t="s">
        <v>8</v>
      </c>
      <c r="U37" s="1573" t="e">
        <f t="shared" si="13"/>
        <v>#N/A</v>
      </c>
      <c r="V37" s="1572" t="s">
        <v>8</v>
      </c>
      <c r="W37" s="1573" t="e">
        <f t="shared" si="14"/>
        <v>#N/A</v>
      </c>
      <c r="X37" s="1566"/>
      <c r="Y37" s="3423"/>
      <c r="Z37" s="1574" t="str">
        <f t="shared" si="15"/>
        <v>成新度</v>
      </c>
      <c r="AA37" s="1575" t="e">
        <f t="shared" si="3"/>
        <v>#N/A</v>
      </c>
      <c r="AB37" s="1575" t="e">
        <f t="shared" si="4"/>
        <v>#N/A</v>
      </c>
      <c r="AC37" s="1575" t="e">
        <f t="shared" si="5"/>
        <v>#N/A</v>
      </c>
    </row>
    <row r="38" spans="1:29" s="1219" customFormat="1" ht="15">
      <c r="A38" s="599"/>
      <c r="B38" s="526" t="s">
        <v>782</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23"/>
      <c r="Q38" s="1150" t="str">
        <f t="shared" si="11"/>
        <v>写字楼等级</v>
      </c>
      <c r="R38" s="1567" t="s">
        <v>8</v>
      </c>
      <c r="S38" s="1568">
        <f t="shared" si="12"/>
        <v>100</v>
      </c>
      <c r="T38" s="1567" t="s">
        <v>8</v>
      </c>
      <c r="U38" s="1568">
        <f t="shared" si="13"/>
        <v>100</v>
      </c>
      <c r="V38" s="1567" t="s">
        <v>8</v>
      </c>
      <c r="W38" s="1568">
        <f t="shared" si="14"/>
        <v>100</v>
      </c>
      <c r="X38" s="1569"/>
      <c r="Y38" s="3423"/>
      <c r="Z38" s="1149" t="str">
        <f t="shared" si="15"/>
        <v>写字楼等级</v>
      </c>
      <c r="AA38" s="1570">
        <f t="shared" si="3"/>
        <v>1</v>
      </c>
      <c r="AB38" s="1570">
        <f t="shared" si="4"/>
        <v>1</v>
      </c>
      <c r="AC38" s="1570">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23" t="s">
        <v>551</v>
      </c>
      <c r="Q39" s="1571" t="str">
        <f t="shared" si="11"/>
        <v>物业管理</v>
      </c>
      <c r="R39" s="1572" t="s">
        <v>8</v>
      </c>
      <c r="S39" s="1573">
        <f t="shared" si="12"/>
        <v>100</v>
      </c>
      <c r="T39" s="1572" t="s">
        <v>8</v>
      </c>
      <c r="U39" s="1573">
        <f t="shared" si="13"/>
        <v>100</v>
      </c>
      <c r="V39" s="1572" t="s">
        <v>8</v>
      </c>
      <c r="W39" s="1573">
        <f t="shared" si="14"/>
        <v>100</v>
      </c>
      <c r="X39" s="1566"/>
      <c r="Y39" s="3423" t="s">
        <v>551</v>
      </c>
      <c r="Z39" s="1574" t="str">
        <f t="shared" si="15"/>
        <v>物业管理</v>
      </c>
      <c r="AA39" s="1575">
        <f t="shared" si="3"/>
        <v>1</v>
      </c>
      <c r="AB39" s="1575">
        <f t="shared" si="4"/>
        <v>1</v>
      </c>
      <c r="AC39" s="1575">
        <f t="shared" si="5"/>
        <v>1</v>
      </c>
    </row>
    <row r="40" spans="1:29" ht="15">
      <c r="A40" s="593"/>
      <c r="B40" s="1893" t="s">
        <v>2568</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23"/>
      <c r="Q40" s="1571" t="str">
        <f t="shared" si="11"/>
        <v>市政基础设施</v>
      </c>
      <c r="R40" s="1572" t="s">
        <v>8</v>
      </c>
      <c r="S40" s="1573">
        <f t="shared" si="12"/>
        <v>100</v>
      </c>
      <c r="T40" s="1572" t="s">
        <v>8</v>
      </c>
      <c r="U40" s="1573">
        <f t="shared" si="13"/>
        <v>100</v>
      </c>
      <c r="V40" s="1572" t="s">
        <v>8</v>
      </c>
      <c r="W40" s="1573">
        <f t="shared" si="14"/>
        <v>100</v>
      </c>
      <c r="X40" s="1566"/>
      <c r="Y40" s="3423"/>
      <c r="Z40" s="1574" t="str">
        <f t="shared" si="15"/>
        <v>市政基础设施</v>
      </c>
      <c r="AA40" s="1575">
        <f t="shared" si="3"/>
        <v>1</v>
      </c>
      <c r="AB40" s="1575">
        <f t="shared" si="4"/>
        <v>1</v>
      </c>
      <c r="AC40" s="1575">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23"/>
      <c r="Q41" s="1571" t="str">
        <f t="shared" si="11"/>
        <v>层高</v>
      </c>
      <c r="R41" s="1572" t="s">
        <v>8</v>
      </c>
      <c r="S41" s="1573">
        <f t="shared" si="12"/>
        <v>100</v>
      </c>
      <c r="T41" s="1572" t="s">
        <v>8</v>
      </c>
      <c r="U41" s="1573">
        <f t="shared" si="13"/>
        <v>100</v>
      </c>
      <c r="V41" s="1572" t="s">
        <v>8</v>
      </c>
      <c r="W41" s="1573">
        <f t="shared" si="14"/>
        <v>100</v>
      </c>
      <c r="X41" s="1566"/>
      <c r="Y41" s="3423"/>
      <c r="Z41" s="1574" t="str">
        <f t="shared" si="15"/>
        <v>层高</v>
      </c>
      <c r="AA41" s="1575">
        <f t="shared" si="3"/>
        <v>1</v>
      </c>
      <c r="AB41" s="1575">
        <f t="shared" si="4"/>
        <v>1</v>
      </c>
      <c r="AC41" s="1575">
        <f t="shared" si="5"/>
        <v>1</v>
      </c>
    </row>
    <row r="42" spans="1:29" s="1338" customFormat="1" ht="15">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23"/>
      <c r="Q42" s="1604" t="str">
        <f t="shared" si="11"/>
        <v>单套建筑面积</v>
      </c>
      <c r="R42" s="1576" t="s">
        <v>8</v>
      </c>
      <c r="S42" s="1577">
        <f t="shared" si="12"/>
        <v>100</v>
      </c>
      <c r="T42" s="1576" t="s">
        <v>8</v>
      </c>
      <c r="U42" s="1577">
        <f t="shared" si="13"/>
        <v>100</v>
      </c>
      <c r="V42" s="1576" t="s">
        <v>8</v>
      </c>
      <c r="W42" s="1577">
        <f t="shared" si="14"/>
        <v>100</v>
      </c>
      <c r="X42" s="1578"/>
      <c r="Y42" s="3423"/>
      <c r="Z42" s="1579" t="str">
        <f t="shared" si="15"/>
        <v>单套建筑面积</v>
      </c>
      <c r="AA42" s="1575">
        <f t="shared" si="3"/>
        <v>1</v>
      </c>
      <c r="AB42" s="1575">
        <f t="shared" si="4"/>
        <v>1</v>
      </c>
      <c r="AC42" s="1575">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23"/>
      <c r="Q43" s="1571" t="str">
        <f t="shared" si="11"/>
        <v>内部装修</v>
      </c>
      <c r="R43" s="1572" t="s">
        <v>8</v>
      </c>
      <c r="S43" s="1573">
        <f t="shared" si="12"/>
        <v>100</v>
      </c>
      <c r="T43" s="1572" t="s">
        <v>8</v>
      </c>
      <c r="U43" s="1573">
        <f t="shared" si="13"/>
        <v>100</v>
      </c>
      <c r="V43" s="1572" t="s">
        <v>8</v>
      </c>
      <c r="W43" s="1573">
        <f t="shared" si="14"/>
        <v>100</v>
      </c>
      <c r="X43" s="1566"/>
      <c r="Y43" s="3423"/>
      <c r="Z43" s="1574" t="str">
        <f t="shared" si="15"/>
        <v>内部装修</v>
      </c>
      <c r="AA43" s="1575">
        <f t="shared" si="3"/>
        <v>1</v>
      </c>
      <c r="AB43" s="1575">
        <f t="shared" si="4"/>
        <v>1</v>
      </c>
      <c r="AC43" s="1575">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23"/>
      <c r="Q44" s="1571" t="str">
        <f t="shared" si="11"/>
        <v>内部装修维护情况</v>
      </c>
      <c r="R44" s="1572" t="s">
        <v>8</v>
      </c>
      <c r="S44" s="1573">
        <f t="shared" si="12"/>
        <v>100</v>
      </c>
      <c r="T44" s="1572" t="s">
        <v>8</v>
      </c>
      <c r="U44" s="1573">
        <f t="shared" si="13"/>
        <v>100</v>
      </c>
      <c r="V44" s="1572" t="s">
        <v>8</v>
      </c>
      <c r="W44" s="1573">
        <f t="shared" si="14"/>
        <v>100</v>
      </c>
      <c r="X44" s="1566"/>
      <c r="Y44" s="3423"/>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23"/>
      <c r="Q45" s="1150">
        <f t="shared" si="11"/>
        <v>111</v>
      </c>
      <c r="R45" s="1567" t="s">
        <v>8</v>
      </c>
      <c r="S45" s="1568">
        <f t="shared" si="12"/>
        <v>100</v>
      </c>
      <c r="T45" s="1567" t="s">
        <v>8</v>
      </c>
      <c r="U45" s="1568">
        <f t="shared" si="13"/>
        <v>100</v>
      </c>
      <c r="V45" s="1567" t="s">
        <v>8</v>
      </c>
      <c r="W45" s="1568">
        <f t="shared" si="14"/>
        <v>100</v>
      </c>
      <c r="X45" s="1569"/>
      <c r="Y45" s="3423"/>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23"/>
      <c r="Q46" s="1571">
        <f t="shared" si="11"/>
        <v>111</v>
      </c>
      <c r="R46" s="1572" t="s">
        <v>8</v>
      </c>
      <c r="S46" s="1573">
        <f t="shared" si="12"/>
        <v>100</v>
      </c>
      <c r="T46" s="1572" t="s">
        <v>8</v>
      </c>
      <c r="U46" s="1573">
        <f t="shared" si="13"/>
        <v>100</v>
      </c>
      <c r="V46" s="1572" t="s">
        <v>8</v>
      </c>
      <c r="W46" s="1573">
        <f t="shared" si="14"/>
        <v>100</v>
      </c>
      <c r="X46" s="1566"/>
      <c r="Y46" s="3423"/>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501"/>
      <c r="Q47" s="1571">
        <f t="shared" si="11"/>
        <v>111</v>
      </c>
      <c r="R47" s="1572" t="s">
        <v>8</v>
      </c>
      <c r="S47" s="1573">
        <f t="shared" si="12"/>
        <v>100</v>
      </c>
      <c r="T47" s="1572" t="s">
        <v>8</v>
      </c>
      <c r="U47" s="1573">
        <f t="shared" si="13"/>
        <v>100</v>
      </c>
      <c r="V47" s="1572" t="s">
        <v>8</v>
      </c>
      <c r="W47" s="1573">
        <f t="shared" si="14"/>
        <v>100</v>
      </c>
      <c r="X47" s="1566"/>
      <c r="Y47" s="3501"/>
      <c r="Z47" s="1574">
        <f t="shared" si="15"/>
        <v>111</v>
      </c>
      <c r="AA47" s="1575">
        <f t="shared" si="3"/>
        <v>1</v>
      </c>
      <c r="AB47" s="1575">
        <f t="shared" si="4"/>
        <v>1</v>
      </c>
      <c r="AC47" s="1575">
        <f t="shared" si="5"/>
        <v>1</v>
      </c>
    </row>
    <row r="48" spans="1:29" ht="15">
      <c r="A48" s="606" t="s">
        <v>737</v>
      </c>
      <c r="B48" s="886"/>
      <c r="C48" s="2649" t="s">
        <v>1</v>
      </c>
      <c r="D48" s="2650"/>
      <c r="E48" s="2651"/>
      <c r="F48" s="2652"/>
      <c r="G48" s="2653"/>
      <c r="H48" s="2654"/>
      <c r="I48" s="2651"/>
      <c r="J48" s="2654"/>
      <c r="K48" s="1610"/>
      <c r="L48" s="2142"/>
      <c r="M48" s="2132"/>
      <c r="N48" s="2132"/>
      <c r="O48" s="2132"/>
      <c r="P48" s="3442" t="str">
        <f>A48</f>
        <v>成交单价（元/平方米）</v>
      </c>
      <c r="Q48" s="3418"/>
      <c r="R48" s="3500">
        <f>E48</f>
        <v>0</v>
      </c>
      <c r="S48" s="3500"/>
      <c r="T48" s="3500">
        <f>G48</f>
        <v>0</v>
      </c>
      <c r="U48" s="3500"/>
      <c r="V48" s="3500">
        <f>I48</f>
        <v>0</v>
      </c>
      <c r="W48" s="3500"/>
      <c r="X48" s="1558"/>
      <c r="Y48" s="1580"/>
      <c r="Z48" s="1558"/>
      <c r="AA48" s="1558"/>
      <c r="AB48" s="1558"/>
      <c r="AC48" s="1558"/>
    </row>
    <row r="49" spans="1:29" ht="15.75" thickBot="1">
      <c r="A49" s="614" t="s">
        <v>2765</v>
      </c>
      <c r="B49" s="887"/>
      <c r="C49" s="2655" t="e">
        <f>R50</f>
        <v>#DIV/0!</v>
      </c>
      <c r="D49" s="2656"/>
      <c r="E49" s="2657" t="e">
        <f>R49</f>
        <v>#DIV/0!</v>
      </c>
      <c r="F49" s="2657"/>
      <c r="G49" s="2655" t="e">
        <f>T49</f>
        <v>#DIV/0!</v>
      </c>
      <c r="H49" s="2656"/>
      <c r="I49" s="2657" t="e">
        <f>V49</f>
        <v>#DIV/0!</v>
      </c>
      <c r="J49" s="2656"/>
      <c r="K49" s="1611"/>
      <c r="L49" s="2142"/>
      <c r="M49" s="2132"/>
      <c r="N49" s="2132"/>
      <c r="O49" s="2132"/>
      <c r="P49" s="3442" t="str">
        <f>A49</f>
        <v>比较价格（元/平方米）</v>
      </c>
      <c r="Q49" s="3418"/>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1558"/>
      <c r="Y49" s="1558"/>
      <c r="Z49" s="1558"/>
      <c r="AA49" s="1558"/>
      <c r="AB49" s="1558"/>
      <c r="AC49" s="1558"/>
    </row>
    <row r="50" spans="1:29" ht="15.75" thickBot="1">
      <c r="A50" s="620" t="s">
        <v>2938</v>
      </c>
      <c r="B50" s="621"/>
      <c r="C50" s="2658" t="e">
        <f>R50</f>
        <v>#DIV/0!</v>
      </c>
      <c r="D50" s="2658"/>
      <c r="E50" s="2658"/>
      <c r="F50" s="2658"/>
      <c r="G50" s="2658"/>
      <c r="H50" s="2658"/>
      <c r="I50" s="2658"/>
      <c r="J50" s="2658"/>
      <c r="K50" s="1612"/>
      <c r="L50" s="2142"/>
      <c r="M50" s="2132"/>
      <c r="N50" s="2132"/>
      <c r="O50" s="2132"/>
      <c r="P50" s="3528" t="str">
        <f>A50</f>
        <v>估价对象XX用房的比较价格（楼面单价，元/平方米）</v>
      </c>
      <c r="Q50" s="3442"/>
      <c r="R50" s="3499" t="e">
        <f>IF(F1="售价",ROUND(AVERAGE(R49:V49),0),ROUND(AVERAGE(R49:V49),1))</f>
        <v>#DIV/0!</v>
      </c>
      <c r="S50" s="3499"/>
      <c r="T50" s="3499"/>
      <c r="U50" s="3499"/>
      <c r="V50" s="3499"/>
      <c r="W50" s="3499"/>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575</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6" customFormat="1" ht="15">
      <c r="A59" s="644" t="s">
        <v>530</v>
      </c>
      <c r="B59" s="645"/>
      <c r="C59" s="2826" t="str">
        <f>YEAR(C7)&amp;"-"&amp;MONTH(C7)</f>
        <v>2018-1</v>
      </c>
      <c r="D59" s="2828">
        <f>EDATE(C59,-1)</f>
        <v>43070</v>
      </c>
      <c r="E59" s="2828">
        <f t="shared" ref="E59:O59" si="16">EDATE(D59,-1)</f>
        <v>43040</v>
      </c>
      <c r="F59" s="2828">
        <f t="shared" si="16"/>
        <v>43009</v>
      </c>
      <c r="G59" s="2828">
        <f t="shared" si="16"/>
        <v>42979</v>
      </c>
      <c r="H59" s="2828">
        <f t="shared" si="16"/>
        <v>42948</v>
      </c>
      <c r="I59" s="2828">
        <f t="shared" si="16"/>
        <v>42917</v>
      </c>
      <c r="J59" s="2828">
        <f t="shared" si="16"/>
        <v>42887</v>
      </c>
      <c r="K59" s="2828">
        <f t="shared" si="16"/>
        <v>42856</v>
      </c>
      <c r="L59" s="2828">
        <f t="shared" si="16"/>
        <v>42826</v>
      </c>
      <c r="M59" s="2828">
        <f t="shared" si="16"/>
        <v>42795</v>
      </c>
      <c r="N59" s="2828">
        <f t="shared" si="16"/>
        <v>42767</v>
      </c>
      <c r="O59" s="2828">
        <f t="shared" si="16"/>
        <v>42736</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576</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532</v>
      </c>
      <c r="B62" s="647"/>
      <c r="C62" s="659" t="s">
        <v>577</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578</v>
      </c>
      <c r="B64" s="664" t="s">
        <v>535</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540</v>
      </c>
      <c r="B77" s="664" t="s">
        <v>586</v>
      </c>
      <c r="C77" s="702" t="s">
        <v>580</v>
      </c>
      <c r="D77" s="702" t="s">
        <v>581</v>
      </c>
      <c r="E77" s="702" t="s">
        <v>582</v>
      </c>
      <c r="F77" s="702" t="s">
        <v>583</v>
      </c>
      <c r="G77" s="702" t="s">
        <v>584</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587</v>
      </c>
      <c r="C79" s="707" t="s">
        <v>580</v>
      </c>
      <c r="D79" s="707" t="s">
        <v>581</v>
      </c>
      <c r="E79" s="707" t="s">
        <v>582</v>
      </c>
      <c r="F79" s="707" t="s">
        <v>583</v>
      </c>
      <c r="G79" s="707" t="s">
        <v>584</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2560</v>
      </c>
      <c r="C81" s="707" t="s">
        <v>580</v>
      </c>
      <c r="D81" s="707" t="s">
        <v>581</v>
      </c>
      <c r="E81" s="707" t="s">
        <v>582</v>
      </c>
      <c r="F81" s="707" t="s">
        <v>583</v>
      </c>
      <c r="G81" s="707" t="s">
        <v>584</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619" t="s">
        <v>2561</v>
      </c>
      <c r="C83" s="2620" t="s">
        <v>2562</v>
      </c>
      <c r="D83" s="2620" t="s">
        <v>2563</v>
      </c>
      <c r="E83" s="2620" t="s">
        <v>2564</v>
      </c>
      <c r="F83" s="2620" t="s">
        <v>2565</v>
      </c>
      <c r="G83" s="2620" t="s">
        <v>2566</v>
      </c>
      <c r="H83" s="673"/>
      <c r="I83" s="673"/>
      <c r="J83" s="673"/>
      <c r="K83" s="673"/>
      <c r="L83" s="673"/>
      <c r="M83" s="2623"/>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785</v>
      </c>
      <c r="C85" s="707" t="s">
        <v>580</v>
      </c>
      <c r="D85" s="707" t="s">
        <v>581</v>
      </c>
      <c r="E85" s="707" t="s">
        <v>582</v>
      </c>
      <c r="F85" s="707" t="s">
        <v>583</v>
      </c>
      <c r="G85" s="707" t="s">
        <v>584</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786</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552</v>
      </c>
      <c r="B101" s="664" t="s">
        <v>748</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750</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752</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787</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754</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2559</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788</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776</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756</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789</v>
      </c>
      <c r="C1" s="503" t="s">
        <v>721</v>
      </c>
      <c r="D1" s="848"/>
      <c r="E1" s="505"/>
      <c r="F1" s="2831"/>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7"/>
    </row>
    <row r="3" spans="1:29" s="1335" customFormat="1" ht="28.5" customHeight="1" thickBot="1">
      <c r="A3" s="508" t="s">
        <v>520</v>
      </c>
      <c r="B3" s="509" t="e">
        <f>C43</f>
        <v>#DIV/0!</v>
      </c>
      <c r="C3" s="851" t="s">
        <v>723</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522</v>
      </c>
      <c r="B4" s="512"/>
      <c r="C4" s="3424" t="s">
        <v>523</v>
      </c>
      <c r="D4" s="3425"/>
      <c r="E4" s="3450" t="s">
        <v>524</v>
      </c>
      <c r="F4" s="3451"/>
      <c r="G4" s="3424" t="s">
        <v>525</v>
      </c>
      <c r="H4" s="3425"/>
      <c r="I4" s="3424" t="s">
        <v>526</v>
      </c>
      <c r="J4" s="3425"/>
      <c r="K4" s="513" t="s">
        <v>527</v>
      </c>
      <c r="L4" s="2131"/>
      <c r="M4" s="2132"/>
      <c r="N4" s="2132"/>
      <c r="O4" s="2132"/>
      <c r="P4" s="3426" t="s">
        <v>528</v>
      </c>
      <c r="Q4" s="3427"/>
      <c r="R4" s="3412" t="s">
        <v>524</v>
      </c>
      <c r="S4" s="3413"/>
      <c r="T4" s="3412" t="s">
        <v>525</v>
      </c>
      <c r="U4" s="3413"/>
      <c r="V4" s="3432" t="s">
        <v>526</v>
      </c>
      <c r="W4" s="3432"/>
      <c r="X4" s="1566"/>
      <c r="Y4" s="3412" t="s">
        <v>528</v>
      </c>
      <c r="Z4" s="3413"/>
      <c r="AA4" s="3407" t="s">
        <v>524</v>
      </c>
      <c r="AB4" s="3408" t="s">
        <v>525</v>
      </c>
      <c r="AC4" s="3407" t="s">
        <v>526</v>
      </c>
    </row>
    <row r="5" spans="1:29" ht="15">
      <c r="A5" s="514"/>
      <c r="B5" s="515"/>
      <c r="C5" s="3437" t="s">
        <v>2932</v>
      </c>
      <c r="D5" s="3436"/>
      <c r="E5" s="3452" t="s">
        <v>2933</v>
      </c>
      <c r="F5" s="3453"/>
      <c r="G5" s="3437" t="s">
        <v>2934</v>
      </c>
      <c r="H5" s="3436"/>
      <c r="I5" s="3437" t="s">
        <v>2935</v>
      </c>
      <c r="J5" s="3436"/>
      <c r="K5" s="513"/>
      <c r="L5" s="2131"/>
      <c r="M5" s="2132"/>
      <c r="N5" s="2132"/>
      <c r="O5" s="2132"/>
      <c r="P5" s="3428"/>
      <c r="Q5" s="3429"/>
      <c r="R5" s="3414"/>
      <c r="S5" s="3415"/>
      <c r="T5" s="3414"/>
      <c r="U5" s="3415"/>
      <c r="V5" s="3432"/>
      <c r="W5" s="3432"/>
      <c r="X5" s="1566"/>
      <c r="Y5" s="3414"/>
      <c r="Z5" s="3415"/>
      <c r="AA5" s="3408"/>
      <c r="AB5" s="3408"/>
      <c r="AC5" s="3408"/>
    </row>
    <row r="6" spans="1:29" ht="15.75" thickBot="1">
      <c r="A6" s="516"/>
      <c r="B6" s="517"/>
      <c r="C6" s="3454" t="s">
        <v>2936</v>
      </c>
      <c r="D6" s="3434"/>
      <c r="E6" s="3455" t="s">
        <v>2936</v>
      </c>
      <c r="F6" s="3456"/>
      <c r="G6" s="3454" t="s">
        <v>2936</v>
      </c>
      <c r="H6" s="3434"/>
      <c r="I6" s="3454" t="s">
        <v>2936</v>
      </c>
      <c r="J6" s="3434"/>
      <c r="K6" s="513" t="s">
        <v>529</v>
      </c>
      <c r="L6" s="2131"/>
      <c r="M6" s="2132"/>
      <c r="N6" s="2132"/>
      <c r="O6" s="2132"/>
      <c r="P6" s="3430"/>
      <c r="Q6" s="3431"/>
      <c r="R6" s="3414"/>
      <c r="S6" s="3415"/>
      <c r="T6" s="3416"/>
      <c r="U6" s="3417"/>
      <c r="V6" s="3432"/>
      <c r="W6" s="3432"/>
      <c r="X6" s="1566"/>
      <c r="Y6" s="3416"/>
      <c r="Z6" s="3417"/>
      <c r="AA6" s="3409"/>
      <c r="AB6" s="3409"/>
      <c r="AC6" s="3409"/>
    </row>
    <row r="7" spans="1:29" s="1219" customFormat="1" ht="15.75" thickBot="1">
      <c r="A7" s="2936"/>
      <c r="B7" s="2943" t="s">
        <v>530</v>
      </c>
      <c r="C7" s="518">
        <f>'数据-取费表'!B2</f>
        <v>43104</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10" t="s">
        <v>531</v>
      </c>
      <c r="Q7" s="3419"/>
      <c r="R7" s="1567" t="s">
        <v>8</v>
      </c>
      <c r="S7" s="1568">
        <f t="shared" ref="S7:S15" si="0">F7</f>
        <v>0</v>
      </c>
      <c r="T7" s="1567" t="s">
        <v>8</v>
      </c>
      <c r="U7" s="1568">
        <f t="shared" ref="U7:U15" si="1">H7</f>
        <v>0</v>
      </c>
      <c r="V7" s="1567" t="s">
        <v>8</v>
      </c>
      <c r="W7" s="1568">
        <f t="shared" ref="W7:W15" si="2">J7</f>
        <v>0</v>
      </c>
      <c r="X7" s="1569"/>
      <c r="Y7" s="3410" t="s">
        <v>531</v>
      </c>
      <c r="Z7" s="3411"/>
      <c r="AA7" s="1570" t="e">
        <f>D7/F7</f>
        <v>#DIV/0!</v>
      </c>
      <c r="AB7" s="1570" t="e">
        <f>D7/H7</f>
        <v>#DIV/0!</v>
      </c>
      <c r="AC7" s="1570" t="e">
        <f>D7/J7</f>
        <v>#DIV/0!</v>
      </c>
    </row>
    <row r="8" spans="1:29" s="1219" customFormat="1" ht="15.75" thickBot="1">
      <c r="A8" s="2937"/>
      <c r="B8" s="2944" t="s">
        <v>532</v>
      </c>
      <c r="C8" s="524" t="s">
        <v>577</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10" t="s">
        <v>534</v>
      </c>
      <c r="Q8" s="3411"/>
      <c r="R8" s="1567" t="s">
        <v>8</v>
      </c>
      <c r="S8" s="1568">
        <f t="shared" si="0"/>
        <v>0</v>
      </c>
      <c r="T8" s="1567" t="s">
        <v>8</v>
      </c>
      <c r="U8" s="1568">
        <f t="shared" si="1"/>
        <v>0</v>
      </c>
      <c r="V8" s="1567" t="s">
        <v>8</v>
      </c>
      <c r="W8" s="1568">
        <f t="shared" si="2"/>
        <v>0</v>
      </c>
      <c r="X8" s="1569"/>
      <c r="Y8" s="3410" t="s">
        <v>534</v>
      </c>
      <c r="Z8" s="3411"/>
      <c r="AA8" s="1570" t="e">
        <f t="shared" ref="AA8:AA40" si="3">D8/F8</f>
        <v>#DIV/0!</v>
      </c>
      <c r="AB8" s="1570" t="e">
        <f t="shared" ref="AB8:AB40" si="4">D8/H8</f>
        <v>#DIV/0!</v>
      </c>
      <c r="AC8" s="1570" t="e">
        <f t="shared" ref="AC8:AC40" si="5">D8/J8</f>
        <v>#DIV/0!</v>
      </c>
    </row>
    <row r="9" spans="1:29" s="1219" customFormat="1" ht="15">
      <c r="A9" s="2938"/>
      <c r="B9" s="2945" t="s">
        <v>2761</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418" t="s">
        <v>536</v>
      </c>
      <c r="Q9" s="1150" t="str">
        <f t="shared" ref="Q9:Q15" si="6">B9</f>
        <v>用途</v>
      </c>
      <c r="R9" s="1567" t="s">
        <v>8</v>
      </c>
      <c r="S9" s="1568">
        <f t="shared" si="0"/>
        <v>100</v>
      </c>
      <c r="T9" s="1567" t="s">
        <v>8</v>
      </c>
      <c r="U9" s="1568">
        <f t="shared" si="1"/>
        <v>100</v>
      </c>
      <c r="V9" s="1567" t="s">
        <v>8</v>
      </c>
      <c r="W9" s="1568">
        <f t="shared" si="2"/>
        <v>100</v>
      </c>
      <c r="X9" s="1569"/>
      <c r="Y9" s="3375" t="s">
        <v>537</v>
      </c>
      <c r="Z9" s="1149" t="str">
        <f t="shared" ref="Z9:Z15" si="7">Q9</f>
        <v>用途</v>
      </c>
      <c r="AA9" s="1570">
        <f t="shared" si="3"/>
        <v>1</v>
      </c>
      <c r="AB9" s="1570">
        <f t="shared" si="4"/>
        <v>1</v>
      </c>
      <c r="AC9" s="1570">
        <f t="shared" si="5"/>
        <v>1</v>
      </c>
    </row>
    <row r="10" spans="1:29" s="1337" customFormat="1" ht="27">
      <c r="A10" s="2939"/>
      <c r="B10" s="2944" t="s">
        <v>2762</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418"/>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
      <c r="A11" s="2940"/>
      <c r="B11" s="2944" t="s">
        <v>2763</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418"/>
      <c r="Q11" s="1150" t="str">
        <f t="shared" si="6"/>
        <v>容积率</v>
      </c>
      <c r="R11" s="1567" t="s">
        <v>8</v>
      </c>
      <c r="S11" s="1568" t="e">
        <f t="shared" si="0"/>
        <v>#N/A</v>
      </c>
      <c r="T11" s="1567" t="s">
        <v>8</v>
      </c>
      <c r="U11" s="1568" t="e">
        <f t="shared" si="1"/>
        <v>#N/A</v>
      </c>
      <c r="V11" s="1567" t="s">
        <v>8</v>
      </c>
      <c r="W11" s="1568" t="e">
        <f t="shared" si="2"/>
        <v>#N/A</v>
      </c>
      <c r="X11" s="1569"/>
      <c r="Y11" s="3375"/>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418"/>
      <c r="Q12" s="1150">
        <f t="shared" si="6"/>
        <v>111</v>
      </c>
      <c r="R12" s="1567" t="s">
        <v>8</v>
      </c>
      <c r="S12" s="1568">
        <f t="shared" si="0"/>
        <v>100</v>
      </c>
      <c r="T12" s="1567" t="s">
        <v>8</v>
      </c>
      <c r="U12" s="1568">
        <f t="shared" si="1"/>
        <v>100</v>
      </c>
      <c r="V12" s="1567" t="s">
        <v>8</v>
      </c>
      <c r="W12" s="1568">
        <f t="shared" si="2"/>
        <v>100</v>
      </c>
      <c r="X12" s="1569"/>
      <c r="Y12" s="3375"/>
      <c r="Z12" s="1149">
        <f t="shared" si="7"/>
        <v>111</v>
      </c>
      <c r="AA12" s="1570">
        <f>D12/F12</f>
        <v>1</v>
      </c>
      <c r="AB12" s="1570">
        <f>D12/H12</f>
        <v>1</v>
      </c>
      <c r="AC12" s="1570">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418"/>
      <c r="Q13" s="1150">
        <f t="shared" si="6"/>
        <v>111</v>
      </c>
      <c r="R13" s="1567" t="s">
        <v>8</v>
      </c>
      <c r="S13" s="1568">
        <f t="shared" si="0"/>
        <v>100</v>
      </c>
      <c r="T13" s="1567" t="s">
        <v>8</v>
      </c>
      <c r="U13" s="1568">
        <f t="shared" si="1"/>
        <v>100</v>
      </c>
      <c r="V13" s="1567" t="s">
        <v>8</v>
      </c>
      <c r="W13" s="1568">
        <f t="shared" si="2"/>
        <v>100</v>
      </c>
      <c r="X13" s="1569"/>
      <c r="Y13" s="3375"/>
      <c r="Z13" s="1149">
        <f t="shared" si="7"/>
        <v>111</v>
      </c>
      <c r="AA13" s="1570">
        <f t="shared" si="3"/>
        <v>1</v>
      </c>
      <c r="AB13" s="1570">
        <f t="shared" si="4"/>
        <v>1</v>
      </c>
      <c r="AC13" s="1570">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418"/>
      <c r="Q14" s="1150">
        <f t="shared" si="6"/>
        <v>111</v>
      </c>
      <c r="R14" s="1567" t="s">
        <v>8</v>
      </c>
      <c r="S14" s="1568">
        <f t="shared" si="0"/>
        <v>100</v>
      </c>
      <c r="T14" s="1567" t="s">
        <v>8</v>
      </c>
      <c r="U14" s="1568">
        <f t="shared" si="1"/>
        <v>100</v>
      </c>
      <c r="V14" s="1567" t="s">
        <v>8</v>
      </c>
      <c r="W14" s="1568">
        <f t="shared" si="2"/>
        <v>100</v>
      </c>
      <c r="X14" s="1569"/>
      <c r="Y14" s="3375"/>
      <c r="Z14" s="1149">
        <f t="shared" si="7"/>
        <v>111</v>
      </c>
      <c r="AA14" s="1570">
        <f t="shared" si="3"/>
        <v>1</v>
      </c>
      <c r="AB14" s="1570">
        <f t="shared" si="4"/>
        <v>1</v>
      </c>
      <c r="AC14" s="1570">
        <f t="shared" si="5"/>
        <v>1</v>
      </c>
    </row>
    <row r="15" spans="1:29" ht="57">
      <c r="A15" s="2934" t="s">
        <v>2759</v>
      </c>
      <c r="B15" s="166" t="s">
        <v>790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20" t="s">
        <v>541</v>
      </c>
      <c r="Q15" s="1571" t="str">
        <f t="shared" si="6"/>
        <v>产业集聚程度</v>
      </c>
      <c r="R15" s="1572" t="s">
        <v>8</v>
      </c>
      <c r="S15" s="1573">
        <f t="shared" si="0"/>
        <v>100</v>
      </c>
      <c r="T15" s="1572" t="s">
        <v>8</v>
      </c>
      <c r="U15" s="1573">
        <f t="shared" si="1"/>
        <v>100</v>
      </c>
      <c r="V15" s="1572" t="s">
        <v>8</v>
      </c>
      <c r="W15" s="1573">
        <f t="shared" si="2"/>
        <v>100</v>
      </c>
      <c r="X15" s="1566"/>
      <c r="Y15" s="3420" t="s">
        <v>541</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0"/>
      <c r="M16" s="2132"/>
      <c r="N16" s="2132"/>
      <c r="O16" s="2139"/>
      <c r="P16" s="3421"/>
      <c r="Q16" s="1571"/>
      <c r="R16" s="1572"/>
      <c r="S16" s="1573"/>
      <c r="T16" s="1572"/>
      <c r="U16" s="1573"/>
      <c r="V16" s="1572"/>
      <c r="W16" s="1573"/>
      <c r="X16" s="1566"/>
      <c r="Y16" s="3421"/>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21"/>
      <c r="Q17" s="1571" t="str">
        <f>B17</f>
        <v>交通便捷度</v>
      </c>
      <c r="R17" s="1572" t="s">
        <v>8</v>
      </c>
      <c r="S17" s="1573">
        <f>F17</f>
        <v>100</v>
      </c>
      <c r="T17" s="1572" t="s">
        <v>8</v>
      </c>
      <c r="U17" s="1573">
        <f>H17</f>
        <v>100</v>
      </c>
      <c r="V17" s="1572" t="s">
        <v>8</v>
      </c>
      <c r="W17" s="1573">
        <f>J17</f>
        <v>100</v>
      </c>
      <c r="X17" s="1566"/>
      <c r="Y17" s="3421"/>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0"/>
      <c r="M18" s="2132"/>
      <c r="N18" s="2132"/>
      <c r="O18" s="2139"/>
      <c r="P18" s="3421"/>
      <c r="Q18" s="1571"/>
      <c r="R18" s="1572"/>
      <c r="S18" s="1573"/>
      <c r="T18" s="1572"/>
      <c r="U18" s="1573"/>
      <c r="V18" s="1572"/>
      <c r="W18" s="1573"/>
      <c r="X18" s="1566"/>
      <c r="Y18" s="3421"/>
      <c r="Z18" s="1574"/>
      <c r="AA18" s="1575">
        <v>1</v>
      </c>
      <c r="AB18" s="1575">
        <v>1</v>
      </c>
      <c r="AC18" s="1575">
        <v>1</v>
      </c>
    </row>
    <row r="19" spans="1:29" ht="42.75">
      <c r="A19" s="531"/>
      <c r="B19" s="2625" t="s">
        <v>2549</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21"/>
      <c r="Q19" s="1571" t="str">
        <f>B19</f>
        <v>公共配套设施</v>
      </c>
      <c r="R19" s="1572" t="s">
        <v>8</v>
      </c>
      <c r="S19" s="1573">
        <f>F19</f>
        <v>100</v>
      </c>
      <c r="T19" s="1572" t="s">
        <v>8</v>
      </c>
      <c r="U19" s="1573">
        <f>H19</f>
        <v>100</v>
      </c>
      <c r="V19" s="1572" t="s">
        <v>8</v>
      </c>
      <c r="W19" s="1573">
        <f>J19</f>
        <v>100</v>
      </c>
      <c r="X19" s="1566"/>
      <c r="Y19" s="3421"/>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0"/>
      <c r="M20" s="2132"/>
      <c r="N20" s="2132"/>
      <c r="O20" s="2139"/>
      <c r="P20" s="3421"/>
      <c r="Q20" s="1571"/>
      <c r="R20" s="1572"/>
      <c r="S20" s="1573"/>
      <c r="T20" s="1572"/>
      <c r="U20" s="1573"/>
      <c r="V20" s="1572"/>
      <c r="W20" s="1573"/>
      <c r="X20" s="1566"/>
      <c r="Y20" s="3421"/>
      <c r="Z20" s="1574"/>
      <c r="AA20" s="1575">
        <v>1</v>
      </c>
      <c r="AB20" s="1575">
        <v>1</v>
      </c>
      <c r="AC20" s="1575">
        <v>1</v>
      </c>
    </row>
    <row r="21" spans="1:29" ht="28.5">
      <c r="A21" s="531"/>
      <c r="B21" s="2613" t="s">
        <v>2561</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21"/>
      <c r="Q21" s="2601" t="str">
        <f>B21</f>
        <v>基础设施水平</v>
      </c>
      <c r="R21" s="1572" t="s">
        <v>8</v>
      </c>
      <c r="S21" s="1573">
        <f>F21</f>
        <v>100</v>
      </c>
      <c r="T21" s="1572" t="s">
        <v>8</v>
      </c>
      <c r="U21" s="1573">
        <f>H21</f>
        <v>100</v>
      </c>
      <c r="V21" s="1572" t="s">
        <v>8</v>
      </c>
      <c r="W21" s="1573">
        <f>J21</f>
        <v>100</v>
      </c>
      <c r="X21" s="2603"/>
      <c r="Y21" s="3421"/>
      <c r="Z21" s="2602"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4"/>
      <c r="L22" s="2140"/>
      <c r="M22" s="2132"/>
      <c r="N22" s="2132"/>
      <c r="O22" s="2139"/>
      <c r="P22" s="3421"/>
      <c r="Q22" s="2601"/>
      <c r="R22" s="1572"/>
      <c r="S22" s="1573"/>
      <c r="T22" s="1572"/>
      <c r="U22" s="1573"/>
      <c r="V22" s="1572"/>
      <c r="W22" s="1573"/>
      <c r="X22" s="2603"/>
      <c r="Y22" s="3421"/>
      <c r="Z22" s="2602"/>
      <c r="AA22" s="1575">
        <v>1</v>
      </c>
      <c r="AB22" s="1575">
        <v>1</v>
      </c>
      <c r="AC22" s="1575">
        <v>1</v>
      </c>
    </row>
    <row r="23" spans="1:29" ht="71.25">
      <c r="A23" s="531"/>
      <c r="B23" s="870" t="s">
        <v>779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21"/>
      <c r="Q23" s="1571" t="str">
        <f>B23</f>
        <v>环境质量</v>
      </c>
      <c r="R23" s="1572" t="s">
        <v>8</v>
      </c>
      <c r="S23" s="1573">
        <f>F23</f>
        <v>100</v>
      </c>
      <c r="T23" s="1572" t="s">
        <v>8</v>
      </c>
      <c r="U23" s="1573">
        <f>H23</f>
        <v>100</v>
      </c>
      <c r="V23" s="1572" t="s">
        <v>8</v>
      </c>
      <c r="W23" s="1573">
        <f>J23</f>
        <v>100</v>
      </c>
      <c r="X23" s="1566"/>
      <c r="Y23" s="3421"/>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0"/>
      <c r="M24" s="2132"/>
      <c r="N24" s="2132"/>
      <c r="O24" s="2139"/>
      <c r="P24" s="3421"/>
      <c r="Q24" s="1571"/>
      <c r="R24" s="1572"/>
      <c r="S24" s="1573"/>
      <c r="T24" s="1572"/>
      <c r="U24" s="1573"/>
      <c r="V24" s="1572"/>
      <c r="W24" s="1573"/>
      <c r="X24" s="1566"/>
      <c r="Y24" s="3421"/>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21"/>
      <c r="Q25" s="1571">
        <f>B25</f>
        <v>111</v>
      </c>
      <c r="R25" s="1572" t="s">
        <v>8</v>
      </c>
      <c r="S25" s="1573">
        <f>F25</f>
        <v>100</v>
      </c>
      <c r="T25" s="1572" t="s">
        <v>8</v>
      </c>
      <c r="U25" s="1573">
        <f>H25</f>
        <v>100</v>
      </c>
      <c r="V25" s="1572" t="s">
        <v>8</v>
      </c>
      <c r="W25" s="1573">
        <f>J25</f>
        <v>100</v>
      </c>
      <c r="X25" s="1566"/>
      <c r="Y25" s="3421"/>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21"/>
      <c r="Q26" s="1571">
        <f t="shared" ref="Q26:Q40" si="11">B26</f>
        <v>111</v>
      </c>
      <c r="R26" s="1572" t="s">
        <v>8</v>
      </c>
      <c r="S26" s="1573">
        <f>F26</f>
        <v>100</v>
      </c>
      <c r="T26" s="1572" t="s">
        <v>8</v>
      </c>
      <c r="U26" s="1573">
        <f>H26</f>
        <v>100</v>
      </c>
      <c r="V26" s="1572" t="s">
        <v>8</v>
      </c>
      <c r="W26" s="1573">
        <f>J26</f>
        <v>100</v>
      </c>
      <c r="X26" s="1566"/>
      <c r="Y26" s="3421"/>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21"/>
      <c r="Q27" s="1150">
        <f t="shared" si="11"/>
        <v>111</v>
      </c>
      <c r="R27" s="1567" t="s">
        <v>8</v>
      </c>
      <c r="S27" s="1568">
        <f>F27</f>
        <v>100</v>
      </c>
      <c r="T27" s="1567" t="s">
        <v>8</v>
      </c>
      <c r="U27" s="1568">
        <f>H27</f>
        <v>100</v>
      </c>
      <c r="V27" s="1567" t="s">
        <v>8</v>
      </c>
      <c r="W27" s="1568">
        <f>J27</f>
        <v>100</v>
      </c>
      <c r="X27" s="1569"/>
      <c r="Y27" s="3421"/>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21"/>
      <c r="Q28" s="1571">
        <f t="shared" si="11"/>
        <v>111</v>
      </c>
      <c r="R28" s="1572" t="s">
        <v>8</v>
      </c>
      <c r="S28" s="1573">
        <f t="shared" ref="S28:S40" si="12">F28</f>
        <v>100</v>
      </c>
      <c r="T28" s="1572" t="s">
        <v>8</v>
      </c>
      <c r="U28" s="1573">
        <f t="shared" ref="U28:U40" si="13">H28</f>
        <v>100</v>
      </c>
      <c r="V28" s="1572" t="s">
        <v>8</v>
      </c>
      <c r="W28" s="1573">
        <f t="shared" ref="W28:W40" si="14">J28</f>
        <v>100</v>
      </c>
      <c r="X28" s="1566"/>
      <c r="Y28" s="3421"/>
      <c r="Z28" s="1574">
        <f t="shared" ref="Z28:Z40" si="15">Q28</f>
        <v>111</v>
      </c>
      <c r="AA28" s="1575">
        <f t="shared" si="3"/>
        <v>1</v>
      </c>
      <c r="AB28" s="1575">
        <f t="shared" si="4"/>
        <v>1</v>
      </c>
      <c r="AC28" s="1575">
        <f t="shared" si="5"/>
        <v>1</v>
      </c>
    </row>
    <row r="29" spans="1:29" ht="15">
      <c r="A29" s="2931" t="s">
        <v>2760</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22" t="s">
        <v>551</v>
      </c>
      <c r="Q29" s="1571" t="str">
        <f t="shared" si="11"/>
        <v>建筑类型</v>
      </c>
      <c r="R29" s="1572" t="s">
        <v>8</v>
      </c>
      <c r="S29" s="1573">
        <f t="shared" si="12"/>
        <v>100</v>
      </c>
      <c r="T29" s="1572" t="s">
        <v>8</v>
      </c>
      <c r="U29" s="1573">
        <f t="shared" si="13"/>
        <v>100</v>
      </c>
      <c r="V29" s="1572" t="s">
        <v>8</v>
      </c>
      <c r="W29" s="1573">
        <f t="shared" si="14"/>
        <v>100</v>
      </c>
      <c r="X29" s="1566"/>
      <c r="Y29" s="3423" t="s">
        <v>551</v>
      </c>
      <c r="Z29" s="1574" t="str">
        <f t="shared" si="15"/>
        <v>建筑类型</v>
      </c>
      <c r="AA29" s="1575">
        <f t="shared" si="3"/>
        <v>1</v>
      </c>
      <c r="AB29" s="1575">
        <f t="shared" si="4"/>
        <v>1</v>
      </c>
      <c r="AC29" s="1575">
        <f t="shared" si="5"/>
        <v>1</v>
      </c>
    </row>
    <row r="30" spans="1:29" s="1338" customFormat="1" ht="15">
      <c r="A30" s="602"/>
      <c r="B30" s="526" t="s">
        <v>727</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23"/>
      <c r="Q30" s="1604" t="str">
        <f t="shared" si="11"/>
        <v>项目建筑规模</v>
      </c>
      <c r="R30" s="1576" t="s">
        <v>8</v>
      </c>
      <c r="S30" s="1577" t="e">
        <f t="shared" si="12"/>
        <v>#N/A</v>
      </c>
      <c r="T30" s="1576" t="s">
        <v>8</v>
      </c>
      <c r="U30" s="1577" t="e">
        <f t="shared" si="13"/>
        <v>#N/A</v>
      </c>
      <c r="V30" s="1576" t="s">
        <v>8</v>
      </c>
      <c r="W30" s="1577" t="e">
        <f t="shared" si="14"/>
        <v>#N/A</v>
      </c>
      <c r="X30" s="1578"/>
      <c r="Y30" s="3423"/>
      <c r="Z30" s="1579" t="str">
        <f t="shared" si="15"/>
        <v>项目建筑规模</v>
      </c>
      <c r="AA30" s="1575" t="e">
        <f t="shared" si="3"/>
        <v>#N/A</v>
      </c>
      <c r="AB30" s="1575" t="e">
        <f t="shared" si="4"/>
        <v>#N/A</v>
      </c>
      <c r="AC30" s="1575"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23"/>
      <c r="Q31" s="1571" t="str">
        <f t="shared" si="11"/>
        <v>建筑结构</v>
      </c>
      <c r="R31" s="1572" t="s">
        <v>8</v>
      </c>
      <c r="S31" s="1573">
        <f t="shared" si="12"/>
        <v>100</v>
      </c>
      <c r="T31" s="1572" t="s">
        <v>8</v>
      </c>
      <c r="U31" s="1573">
        <f t="shared" si="13"/>
        <v>100</v>
      </c>
      <c r="V31" s="1572" t="s">
        <v>8</v>
      </c>
      <c r="W31" s="1573">
        <f t="shared" si="14"/>
        <v>100</v>
      </c>
      <c r="X31" s="1566"/>
      <c r="Y31" s="3423"/>
      <c r="Z31" s="1574" t="str">
        <f t="shared" si="15"/>
        <v>建筑结构</v>
      </c>
      <c r="AA31" s="1575">
        <f t="shared" si="3"/>
        <v>1</v>
      </c>
      <c r="AB31" s="1575">
        <f t="shared" si="4"/>
        <v>1</v>
      </c>
      <c r="AC31" s="1575">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23"/>
      <c r="Q32" s="1571" t="str">
        <f t="shared" si="11"/>
        <v>公共部分装修</v>
      </c>
      <c r="R32" s="1572" t="s">
        <v>8</v>
      </c>
      <c r="S32" s="1573">
        <f t="shared" si="12"/>
        <v>100</v>
      </c>
      <c r="T32" s="1572" t="s">
        <v>8</v>
      </c>
      <c r="U32" s="1573">
        <f t="shared" si="13"/>
        <v>100</v>
      </c>
      <c r="V32" s="1572" t="s">
        <v>8</v>
      </c>
      <c r="W32" s="1573">
        <f t="shared" si="14"/>
        <v>100</v>
      </c>
      <c r="X32" s="1566"/>
      <c r="Y32" s="3423"/>
      <c r="Z32" s="1574" t="str">
        <f t="shared" si="15"/>
        <v>公共部分装修</v>
      </c>
      <c r="AA32" s="1575">
        <f t="shared" si="3"/>
        <v>1</v>
      </c>
      <c r="AB32" s="1575">
        <f t="shared" si="4"/>
        <v>1</v>
      </c>
      <c r="AC32" s="1575">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23"/>
      <c r="Q33" s="1571" t="str">
        <f t="shared" si="11"/>
        <v>成新度</v>
      </c>
      <c r="R33" s="1572" t="s">
        <v>8</v>
      </c>
      <c r="S33" s="1573" t="e">
        <f t="shared" si="12"/>
        <v>#N/A</v>
      </c>
      <c r="T33" s="1572" t="s">
        <v>8</v>
      </c>
      <c r="U33" s="1573" t="e">
        <f t="shared" si="13"/>
        <v>#N/A</v>
      </c>
      <c r="V33" s="1572" t="s">
        <v>8</v>
      </c>
      <c r="W33" s="1573" t="e">
        <f t="shared" si="14"/>
        <v>#N/A</v>
      </c>
      <c r="X33" s="1566"/>
      <c r="Y33" s="3423"/>
      <c r="Z33" s="1574" t="str">
        <f t="shared" si="15"/>
        <v>成新度</v>
      </c>
      <c r="AA33" s="1575" t="e">
        <f t="shared" si="3"/>
        <v>#N/A</v>
      </c>
      <c r="AB33" s="1575" t="e">
        <f t="shared" si="4"/>
        <v>#N/A</v>
      </c>
      <c r="AC33" s="1575" t="e">
        <f t="shared" si="5"/>
        <v>#N/A</v>
      </c>
    </row>
    <row r="34" spans="1:29" s="1219" customFormat="1" ht="15">
      <c r="A34" s="599"/>
      <c r="B34" s="526" t="s">
        <v>783</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23"/>
      <c r="Q34" s="1150" t="str">
        <f t="shared" si="11"/>
        <v>物业管理</v>
      </c>
      <c r="R34" s="1567" t="s">
        <v>8</v>
      </c>
      <c r="S34" s="1568">
        <f t="shared" si="12"/>
        <v>100</v>
      </c>
      <c r="T34" s="1567" t="s">
        <v>8</v>
      </c>
      <c r="U34" s="1568">
        <f t="shared" si="13"/>
        <v>100</v>
      </c>
      <c r="V34" s="1567" t="s">
        <v>8</v>
      </c>
      <c r="W34" s="1568">
        <f t="shared" si="14"/>
        <v>100</v>
      </c>
      <c r="X34" s="1569"/>
      <c r="Y34" s="3423"/>
      <c r="Z34" s="1149" t="str">
        <f t="shared" si="15"/>
        <v>物业管理</v>
      </c>
      <c r="AA34" s="1570">
        <f t="shared" si="3"/>
        <v>1</v>
      </c>
      <c r="AB34" s="1570">
        <f t="shared" si="4"/>
        <v>1</v>
      </c>
      <c r="AC34" s="1570">
        <f t="shared" si="5"/>
        <v>1</v>
      </c>
    </row>
    <row r="35" spans="1:29" ht="15">
      <c r="A35" s="593"/>
      <c r="B35" s="1893" t="s">
        <v>2568</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23" t="s">
        <v>551</v>
      </c>
      <c r="Q35" s="1571" t="str">
        <f t="shared" si="11"/>
        <v>市政基础设施</v>
      </c>
      <c r="R35" s="1572" t="s">
        <v>8</v>
      </c>
      <c r="S35" s="1573">
        <f t="shared" si="12"/>
        <v>100</v>
      </c>
      <c r="T35" s="1572" t="s">
        <v>8</v>
      </c>
      <c r="U35" s="1573">
        <f t="shared" si="13"/>
        <v>100</v>
      </c>
      <c r="V35" s="1572" t="s">
        <v>8</v>
      </c>
      <c r="W35" s="1573">
        <f t="shared" si="14"/>
        <v>100</v>
      </c>
      <c r="X35" s="1566"/>
      <c r="Y35" s="3423" t="s">
        <v>551</v>
      </c>
      <c r="Z35" s="1574" t="str">
        <f t="shared" si="15"/>
        <v>市政基础设施</v>
      </c>
      <c r="AA35" s="1575">
        <f t="shared" si="3"/>
        <v>1</v>
      </c>
      <c r="AB35" s="1575">
        <f t="shared" si="4"/>
        <v>1</v>
      </c>
      <c r="AC35" s="1575">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23"/>
      <c r="Q36" s="1571" t="str">
        <f t="shared" si="11"/>
        <v>内部装修</v>
      </c>
      <c r="R36" s="1572" t="s">
        <v>8</v>
      </c>
      <c r="S36" s="1573">
        <f t="shared" si="12"/>
        <v>100</v>
      </c>
      <c r="T36" s="1572" t="s">
        <v>8</v>
      </c>
      <c r="U36" s="1573">
        <f t="shared" si="13"/>
        <v>100</v>
      </c>
      <c r="V36" s="1572" t="s">
        <v>8</v>
      </c>
      <c r="W36" s="1573">
        <f t="shared" si="14"/>
        <v>100</v>
      </c>
      <c r="X36" s="1566"/>
      <c r="Y36" s="3423"/>
      <c r="Z36" s="1574" t="str">
        <f t="shared" si="15"/>
        <v>内部装修</v>
      </c>
      <c r="AA36" s="1575">
        <f t="shared" si="3"/>
        <v>1</v>
      </c>
      <c r="AB36" s="1575">
        <f t="shared" si="4"/>
        <v>1</v>
      </c>
      <c r="AC36" s="1575">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23"/>
      <c r="Q37" s="1571" t="str">
        <f t="shared" si="11"/>
        <v>内部装修状况</v>
      </c>
      <c r="R37" s="1572" t="s">
        <v>8</v>
      </c>
      <c r="S37" s="1573">
        <f t="shared" si="12"/>
        <v>100</v>
      </c>
      <c r="T37" s="1572" t="s">
        <v>8</v>
      </c>
      <c r="U37" s="1573">
        <f t="shared" si="13"/>
        <v>100</v>
      </c>
      <c r="V37" s="1572" t="s">
        <v>8</v>
      </c>
      <c r="W37" s="1573">
        <f t="shared" si="14"/>
        <v>100</v>
      </c>
      <c r="X37" s="1566"/>
      <c r="Y37" s="3423"/>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23"/>
      <c r="Q38" s="1604">
        <f t="shared" si="11"/>
        <v>111</v>
      </c>
      <c r="R38" s="1576" t="s">
        <v>8</v>
      </c>
      <c r="S38" s="1577">
        <f t="shared" si="12"/>
        <v>100</v>
      </c>
      <c r="T38" s="1576" t="s">
        <v>8</v>
      </c>
      <c r="U38" s="1577">
        <f t="shared" si="13"/>
        <v>100</v>
      </c>
      <c r="V38" s="1576" t="s">
        <v>8</v>
      </c>
      <c r="W38" s="1577">
        <f t="shared" si="14"/>
        <v>100</v>
      </c>
      <c r="X38" s="1578"/>
      <c r="Y38" s="3423"/>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23"/>
      <c r="Q39" s="1571">
        <f t="shared" si="11"/>
        <v>111</v>
      </c>
      <c r="R39" s="1572" t="s">
        <v>8</v>
      </c>
      <c r="S39" s="1573">
        <f t="shared" si="12"/>
        <v>100</v>
      </c>
      <c r="T39" s="1572" t="s">
        <v>8</v>
      </c>
      <c r="U39" s="1573">
        <f t="shared" si="13"/>
        <v>100</v>
      </c>
      <c r="V39" s="1572" t="s">
        <v>8</v>
      </c>
      <c r="W39" s="1573">
        <f t="shared" si="14"/>
        <v>100</v>
      </c>
      <c r="X39" s="1566"/>
      <c r="Y39" s="3423"/>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501"/>
      <c r="Q40" s="1571">
        <f t="shared" si="11"/>
        <v>111</v>
      </c>
      <c r="R40" s="1572" t="s">
        <v>8</v>
      </c>
      <c r="S40" s="1573">
        <f t="shared" si="12"/>
        <v>100</v>
      </c>
      <c r="T40" s="1572" t="s">
        <v>8</v>
      </c>
      <c r="U40" s="1573">
        <f t="shared" si="13"/>
        <v>100</v>
      </c>
      <c r="V40" s="1572" t="s">
        <v>8</v>
      </c>
      <c r="W40" s="1573">
        <f t="shared" si="14"/>
        <v>100</v>
      </c>
      <c r="X40" s="1566"/>
      <c r="Y40" s="3501"/>
      <c r="Z40" s="1574">
        <f t="shared" si="15"/>
        <v>111</v>
      </c>
      <c r="AA40" s="1575">
        <f t="shared" si="3"/>
        <v>1</v>
      </c>
      <c r="AB40" s="1575">
        <f t="shared" si="4"/>
        <v>1</v>
      </c>
      <c r="AC40" s="1575">
        <f t="shared" si="5"/>
        <v>1</v>
      </c>
    </row>
    <row r="41" spans="1:29" ht="15">
      <c r="A41" s="606" t="s">
        <v>737</v>
      </c>
      <c r="B41" s="886"/>
      <c r="C41" s="2649" t="s">
        <v>1</v>
      </c>
      <c r="D41" s="2650"/>
      <c r="E41" s="2651"/>
      <c r="F41" s="2652"/>
      <c r="G41" s="2653"/>
      <c r="H41" s="2654"/>
      <c r="I41" s="2651"/>
      <c r="J41" s="2654"/>
      <c r="K41" s="1610"/>
      <c r="L41" s="2142"/>
      <c r="M41" s="2143"/>
      <c r="N41" s="2132"/>
      <c r="O41" s="2143"/>
      <c r="P41" s="3418" t="str">
        <f>A41</f>
        <v>成交单价（元/平方米）</v>
      </c>
      <c r="Q41" s="3418"/>
      <c r="R41" s="3500">
        <f>E41</f>
        <v>0</v>
      </c>
      <c r="S41" s="3500"/>
      <c r="T41" s="3500">
        <f>G41</f>
        <v>0</v>
      </c>
      <c r="U41" s="3500"/>
      <c r="V41" s="3500">
        <f>I41</f>
        <v>0</v>
      </c>
      <c r="W41" s="3500"/>
      <c r="X41" s="1558"/>
      <c r="Y41" s="1580"/>
      <c r="Z41" s="1558"/>
      <c r="AA41" s="1558"/>
      <c r="AB41" s="1558"/>
      <c r="AC41" s="1558"/>
    </row>
    <row r="42" spans="1:29" ht="15.75" thickBot="1">
      <c r="A42" s="614" t="s">
        <v>2765</v>
      </c>
      <c r="B42" s="887"/>
      <c r="C42" s="2655" t="e">
        <f>R43</f>
        <v>#DIV/0!</v>
      </c>
      <c r="D42" s="2656"/>
      <c r="E42" s="2657" t="e">
        <f>R42</f>
        <v>#DIV/0!</v>
      </c>
      <c r="F42" s="2657"/>
      <c r="G42" s="2655" t="e">
        <f>T42</f>
        <v>#DIV/0!</v>
      </c>
      <c r="H42" s="2656"/>
      <c r="I42" s="2657" t="e">
        <f>V42</f>
        <v>#DIV/0!</v>
      </c>
      <c r="J42" s="2656"/>
      <c r="K42" s="1611"/>
      <c r="L42" s="2142"/>
      <c r="M42" s="2143"/>
      <c r="N42" s="2132"/>
      <c r="O42" s="2143"/>
      <c r="P42" s="3418" t="str">
        <f>A42</f>
        <v>比较价格（元/平方米）</v>
      </c>
      <c r="Q42" s="3418"/>
      <c r="R42" s="3500" t="e">
        <f>IF(F1="售价",ROUND(PRODUCT(R41,AA7:AA40),0),ROUND(PRODUCT(R41,AA7:AA40),1))</f>
        <v>#DIV/0!</v>
      </c>
      <c r="S42" s="3500"/>
      <c r="T42" s="3500" t="e">
        <f>IF(F1="售价",ROUND(PRODUCT(T41,AB7:AB40),0),ROUND(PRODUCT(T41,AB7:AB40),1))</f>
        <v>#DIV/0!</v>
      </c>
      <c r="U42" s="3500"/>
      <c r="V42" s="3500" t="e">
        <f>IF(F1="售价",ROUND(PRODUCT(V41,AC7:AC40),0),ROUND(PRODUCT(V41,AC7:AC40),1))</f>
        <v>#DIV/0!</v>
      </c>
      <c r="W42" s="3500"/>
      <c r="X42" s="1558"/>
      <c r="Y42" s="1558"/>
      <c r="Z42" s="1558"/>
      <c r="AA42" s="1558"/>
      <c r="AB42" s="1558"/>
      <c r="AC42" s="1558"/>
    </row>
    <row r="43" spans="1:29" ht="15.75" thickBot="1">
      <c r="A43" s="620" t="s">
        <v>2938</v>
      </c>
      <c r="B43" s="621"/>
      <c r="C43" s="2658" t="e">
        <f>R43</f>
        <v>#DIV/0!</v>
      </c>
      <c r="D43" s="2658"/>
      <c r="E43" s="2658"/>
      <c r="F43" s="2658"/>
      <c r="G43" s="2658"/>
      <c r="H43" s="2658"/>
      <c r="I43" s="2658"/>
      <c r="J43" s="2658"/>
      <c r="K43" s="1612"/>
      <c r="L43" s="2142"/>
      <c r="M43" s="2143"/>
      <c r="N43" s="2143"/>
      <c r="O43" s="2143"/>
      <c r="P43" s="3441" t="str">
        <f>A43</f>
        <v>估价对象XX用房的比较价格（楼面单价，元/平方米）</v>
      </c>
      <c r="Q43" s="3442"/>
      <c r="R43" s="3499" t="e">
        <f>IF(F1="售价",ROUND(AVERAGE(R42:V42),0),ROUND(AVERAGE(R42:V42),1))</f>
        <v>#DIV/0!</v>
      </c>
      <c r="S43" s="3499"/>
      <c r="T43" s="3499"/>
      <c r="U43" s="3499"/>
      <c r="V43" s="3499"/>
      <c r="W43" s="3499"/>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575</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6" customFormat="1" ht="15">
      <c r="A52" s="644" t="s">
        <v>530</v>
      </c>
      <c r="B52" s="645"/>
      <c r="C52" s="2826" t="str">
        <f>YEAR(C7)&amp;"-"&amp;MONTH(C7)</f>
        <v>2018-1</v>
      </c>
      <c r="D52" s="2828">
        <f>EDATE(C52,-1)</f>
        <v>43070</v>
      </c>
      <c r="E52" s="2828">
        <f t="shared" ref="E52:O52" si="16">EDATE(D52,-1)</f>
        <v>43040</v>
      </c>
      <c r="F52" s="2828">
        <f t="shared" si="16"/>
        <v>43009</v>
      </c>
      <c r="G52" s="2828">
        <f t="shared" si="16"/>
        <v>42979</v>
      </c>
      <c r="H52" s="2828">
        <f t="shared" si="16"/>
        <v>42948</v>
      </c>
      <c r="I52" s="2828">
        <f t="shared" si="16"/>
        <v>42917</v>
      </c>
      <c r="J52" s="2828">
        <f t="shared" si="16"/>
        <v>42887</v>
      </c>
      <c r="K52" s="2828">
        <f t="shared" si="16"/>
        <v>42856</v>
      </c>
      <c r="L52" s="2828">
        <f t="shared" si="16"/>
        <v>42826</v>
      </c>
      <c r="M52" s="2828">
        <f t="shared" si="16"/>
        <v>42795</v>
      </c>
      <c r="N52" s="2828">
        <f t="shared" si="16"/>
        <v>42767</v>
      </c>
      <c r="O52" s="2828">
        <f t="shared" si="16"/>
        <v>42736</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576</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532</v>
      </c>
      <c r="B55" s="647"/>
      <c r="C55" s="659" t="s">
        <v>577</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578</v>
      </c>
      <c r="B57" s="664" t="s">
        <v>535</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540</v>
      </c>
      <c r="B70" s="664" t="s">
        <v>586</v>
      </c>
      <c r="C70" s="702" t="s">
        <v>580</v>
      </c>
      <c r="D70" s="702" t="s">
        <v>581</v>
      </c>
      <c r="E70" s="702" t="s">
        <v>582</v>
      </c>
      <c r="F70" s="702" t="s">
        <v>583</v>
      </c>
      <c r="G70" s="702" t="s">
        <v>584</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587</v>
      </c>
      <c r="C72" s="707" t="s">
        <v>580</v>
      </c>
      <c r="D72" s="707" t="s">
        <v>581</v>
      </c>
      <c r="E72" s="707" t="s">
        <v>582</v>
      </c>
      <c r="F72" s="707" t="s">
        <v>583</v>
      </c>
      <c r="G72" s="707" t="s">
        <v>584</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2560</v>
      </c>
      <c r="C74" s="707" t="s">
        <v>580</v>
      </c>
      <c r="D74" s="707" t="s">
        <v>581</v>
      </c>
      <c r="E74" s="707" t="s">
        <v>582</v>
      </c>
      <c r="F74" s="707" t="s">
        <v>583</v>
      </c>
      <c r="G74" s="707" t="s">
        <v>584</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619" t="s">
        <v>2561</v>
      </c>
      <c r="C76" s="2620" t="s">
        <v>2562</v>
      </c>
      <c r="D76" s="2620" t="s">
        <v>2563</v>
      </c>
      <c r="E76" s="2620" t="s">
        <v>2564</v>
      </c>
      <c r="F76" s="2620" t="s">
        <v>2565</v>
      </c>
      <c r="G76" s="2620" t="s">
        <v>2566</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785</v>
      </c>
      <c r="C78" s="707" t="s">
        <v>580</v>
      </c>
      <c r="D78" s="707" t="s">
        <v>581</v>
      </c>
      <c r="E78" s="707" t="s">
        <v>582</v>
      </c>
      <c r="F78" s="707" t="s">
        <v>583</v>
      </c>
      <c r="G78" s="707" t="s">
        <v>584</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552</v>
      </c>
      <c r="B88" s="664" t="s">
        <v>748</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750</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752</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754</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2559</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756</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1"/>
      <c r="G1" s="1600" t="s">
        <v>794</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795</v>
      </c>
      <c r="B2" s="849"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796</v>
      </c>
      <c r="B3" s="509" t="e">
        <f>IF(B37="元/平方米",C39,ROUND(B2*10000/D3,0))</f>
        <v>#DIV/0!</v>
      </c>
      <c r="C3" s="851" t="s">
        <v>797</v>
      </c>
      <c r="D3" s="850">
        <f>SUMIF('数据-汇总表'!$C19:$C33,D1,'数据-汇总表'!$E19:$E33)</f>
        <v>0</v>
      </c>
      <c r="E3" s="1846" t="s">
        <v>2078</v>
      </c>
      <c r="F3" s="850">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798</v>
      </c>
      <c r="B4" s="512"/>
      <c r="C4" s="3424" t="s">
        <v>799</v>
      </c>
      <c r="D4" s="3425"/>
      <c r="E4" s="3424" t="s">
        <v>800</v>
      </c>
      <c r="F4" s="3425"/>
      <c r="G4" s="3424" t="s">
        <v>801</v>
      </c>
      <c r="H4" s="3425"/>
      <c r="I4" s="3424" t="s">
        <v>802</v>
      </c>
      <c r="J4" s="3425"/>
      <c r="K4" s="513" t="s">
        <v>803</v>
      </c>
      <c r="L4" s="2131"/>
      <c r="M4" s="2132"/>
      <c r="N4" s="2132"/>
      <c r="O4" s="2132"/>
      <c r="P4" s="3426" t="s">
        <v>804</v>
      </c>
      <c r="Q4" s="3427"/>
      <c r="R4" s="3412" t="s">
        <v>800</v>
      </c>
      <c r="S4" s="3413"/>
      <c r="T4" s="3412" t="s">
        <v>801</v>
      </c>
      <c r="U4" s="3413"/>
      <c r="V4" s="3432" t="s">
        <v>802</v>
      </c>
      <c r="W4" s="3432"/>
      <c r="X4" s="1566"/>
      <c r="Y4" s="3412" t="s">
        <v>804</v>
      </c>
      <c r="Z4" s="3413"/>
      <c r="AA4" s="3407" t="s">
        <v>800</v>
      </c>
      <c r="AB4" s="3408" t="s">
        <v>801</v>
      </c>
      <c r="AC4" s="3407" t="s">
        <v>802</v>
      </c>
    </row>
    <row r="5" spans="1:29" ht="15">
      <c r="A5" s="514"/>
      <c r="B5" s="515"/>
      <c r="C5" s="3437" t="s">
        <v>2932</v>
      </c>
      <c r="D5" s="3436"/>
      <c r="E5" s="3437" t="s">
        <v>2933</v>
      </c>
      <c r="F5" s="3436"/>
      <c r="G5" s="3437" t="s">
        <v>2934</v>
      </c>
      <c r="H5" s="3436"/>
      <c r="I5" s="3437" t="s">
        <v>2935</v>
      </c>
      <c r="J5" s="3436"/>
      <c r="K5" s="513"/>
      <c r="L5" s="2131"/>
      <c r="M5" s="2132"/>
      <c r="N5" s="2132"/>
      <c r="O5" s="2132"/>
      <c r="P5" s="3428"/>
      <c r="Q5" s="3429"/>
      <c r="R5" s="3414"/>
      <c r="S5" s="3415"/>
      <c r="T5" s="3414"/>
      <c r="U5" s="3415"/>
      <c r="V5" s="3432"/>
      <c r="W5" s="3432"/>
      <c r="X5" s="1566"/>
      <c r="Y5" s="3414"/>
      <c r="Z5" s="3415"/>
      <c r="AA5" s="3408"/>
      <c r="AB5" s="3408"/>
      <c r="AC5" s="3408"/>
    </row>
    <row r="6" spans="1:29" ht="15.75" thickBot="1">
      <c r="A6" s="516"/>
      <c r="B6" s="517"/>
      <c r="C6" s="3454" t="s">
        <v>2936</v>
      </c>
      <c r="D6" s="3434"/>
      <c r="E6" s="3438" t="s">
        <v>2936</v>
      </c>
      <c r="F6" s="3439"/>
      <c r="G6" s="3454" t="s">
        <v>2936</v>
      </c>
      <c r="H6" s="3434"/>
      <c r="I6" s="3454" t="s">
        <v>2936</v>
      </c>
      <c r="J6" s="3434"/>
      <c r="K6" s="513" t="s">
        <v>529</v>
      </c>
      <c r="L6" s="2131"/>
      <c r="M6" s="2132"/>
      <c r="N6" s="2132"/>
      <c r="O6" s="2132"/>
      <c r="P6" s="3430"/>
      <c r="Q6" s="3431"/>
      <c r="R6" s="3414"/>
      <c r="S6" s="3415"/>
      <c r="T6" s="3416"/>
      <c r="U6" s="3417"/>
      <c r="V6" s="3432"/>
      <c r="W6" s="3432"/>
      <c r="X6" s="1566"/>
      <c r="Y6" s="3416"/>
      <c r="Z6" s="3417"/>
      <c r="AA6" s="3409"/>
      <c r="AB6" s="3409"/>
      <c r="AC6" s="3409"/>
    </row>
    <row r="7" spans="1:29" s="1219" customFormat="1" ht="15.75" thickBot="1">
      <c r="A7" s="2936"/>
      <c r="B7" s="2943" t="s">
        <v>530</v>
      </c>
      <c r="C7" s="518">
        <f>'数据-取费表'!B2</f>
        <v>43104</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10" t="s">
        <v>531</v>
      </c>
      <c r="Q7" s="3419"/>
      <c r="R7" s="1567" t="s">
        <v>8</v>
      </c>
      <c r="S7" s="1568">
        <f t="shared" ref="S7:S14" si="0">F7</f>
        <v>0</v>
      </c>
      <c r="T7" s="1567" t="s">
        <v>8</v>
      </c>
      <c r="U7" s="1568">
        <f t="shared" ref="U7:U14" si="1">H7</f>
        <v>0</v>
      </c>
      <c r="V7" s="1567" t="s">
        <v>8</v>
      </c>
      <c r="W7" s="1568">
        <f t="shared" ref="W7:W14" si="2">J7</f>
        <v>0</v>
      </c>
      <c r="X7" s="1569"/>
      <c r="Y7" s="3410" t="s">
        <v>531</v>
      </c>
      <c r="Z7" s="3411"/>
      <c r="AA7" s="1570" t="e">
        <f>D7/F7</f>
        <v>#DIV/0!</v>
      </c>
      <c r="AB7" s="1570" t="e">
        <f>D7/H7</f>
        <v>#DIV/0!</v>
      </c>
      <c r="AC7" s="1570" t="e">
        <f>D7/J7</f>
        <v>#DIV/0!</v>
      </c>
    </row>
    <row r="8" spans="1:29" s="1219" customFormat="1" ht="15.75" thickBot="1">
      <c r="A8" s="2937"/>
      <c r="B8" s="2944" t="s">
        <v>532</v>
      </c>
      <c r="C8" s="524" t="s">
        <v>577</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10" t="s">
        <v>534</v>
      </c>
      <c r="Q8" s="3411"/>
      <c r="R8" s="1567" t="s">
        <v>8</v>
      </c>
      <c r="S8" s="1568">
        <f t="shared" si="0"/>
        <v>0</v>
      </c>
      <c r="T8" s="1567" t="s">
        <v>8</v>
      </c>
      <c r="U8" s="1568">
        <f t="shared" si="1"/>
        <v>0</v>
      </c>
      <c r="V8" s="1567" t="s">
        <v>8</v>
      </c>
      <c r="W8" s="1568">
        <f t="shared" si="2"/>
        <v>0</v>
      </c>
      <c r="X8" s="1569"/>
      <c r="Y8" s="3410" t="s">
        <v>534</v>
      </c>
      <c r="Z8" s="3411"/>
      <c r="AA8" s="1570" t="e">
        <f t="shared" ref="AA8:AA36" si="3">D8/F8</f>
        <v>#DIV/0!</v>
      </c>
      <c r="AB8" s="1570" t="e">
        <f t="shared" ref="AB8:AB36" si="4">D8/H8</f>
        <v>#DIV/0!</v>
      </c>
      <c r="AC8" s="1570" t="e">
        <f t="shared" ref="AC8:AC36" si="5">D8/J8</f>
        <v>#DIV/0!</v>
      </c>
    </row>
    <row r="9" spans="1:29" s="1219" customFormat="1" ht="15">
      <c r="A9" s="2938"/>
      <c r="B9" s="2945" t="s">
        <v>2761</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418" t="s">
        <v>536</v>
      </c>
      <c r="Q9" s="1150" t="str">
        <f t="shared" ref="Q9:Q14" si="6">B9</f>
        <v>用途</v>
      </c>
      <c r="R9" s="1567" t="s">
        <v>8</v>
      </c>
      <c r="S9" s="1568">
        <f t="shared" si="0"/>
        <v>100</v>
      </c>
      <c r="T9" s="1567" t="s">
        <v>8</v>
      </c>
      <c r="U9" s="1568">
        <f t="shared" si="1"/>
        <v>100</v>
      </c>
      <c r="V9" s="1567" t="s">
        <v>8</v>
      </c>
      <c r="W9" s="1568">
        <f t="shared" si="2"/>
        <v>100</v>
      </c>
      <c r="X9" s="1569"/>
      <c r="Y9" s="3375" t="s">
        <v>537</v>
      </c>
      <c r="Z9" s="1149" t="str">
        <f t="shared" ref="Z9:Z14" si="7">Q9</f>
        <v>用途</v>
      </c>
      <c r="AA9" s="1570">
        <f t="shared" si="3"/>
        <v>1</v>
      </c>
      <c r="AB9" s="1570">
        <f t="shared" si="4"/>
        <v>1</v>
      </c>
      <c r="AC9" s="1570">
        <f t="shared" si="5"/>
        <v>1</v>
      </c>
    </row>
    <row r="10" spans="1:29" s="1337" customFormat="1" ht="27">
      <c r="A10" s="2939"/>
      <c r="B10" s="2944" t="s">
        <v>2762</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418"/>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418"/>
      <c r="Q11" s="1150">
        <f t="shared" si="6"/>
        <v>111</v>
      </c>
      <c r="R11" s="1567" t="s">
        <v>8</v>
      </c>
      <c r="S11" s="1568">
        <f t="shared" si="0"/>
        <v>100</v>
      </c>
      <c r="T11" s="1567" t="s">
        <v>8</v>
      </c>
      <c r="U11" s="1568">
        <f t="shared" si="1"/>
        <v>100</v>
      </c>
      <c r="V11" s="1567" t="s">
        <v>8</v>
      </c>
      <c r="W11" s="1568">
        <f t="shared" si="2"/>
        <v>100</v>
      </c>
      <c r="X11" s="1569"/>
      <c r="Y11" s="3375"/>
      <c r="Z11" s="1149">
        <f t="shared" si="7"/>
        <v>111</v>
      </c>
      <c r="AA11" s="1570">
        <f t="shared" si="3"/>
        <v>1</v>
      </c>
      <c r="AB11" s="1570">
        <f t="shared" si="4"/>
        <v>1</v>
      </c>
      <c r="AC11" s="1570">
        <f t="shared" si="5"/>
        <v>1</v>
      </c>
    </row>
    <row r="12" spans="1:29" s="1219"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418"/>
      <c r="Q12" s="1150">
        <f t="shared" si="6"/>
        <v>111</v>
      </c>
      <c r="R12" s="1567" t="s">
        <v>8</v>
      </c>
      <c r="S12" s="1568">
        <f t="shared" si="0"/>
        <v>100</v>
      </c>
      <c r="T12" s="1567" t="s">
        <v>8</v>
      </c>
      <c r="U12" s="1568">
        <f t="shared" si="1"/>
        <v>100</v>
      </c>
      <c r="V12" s="1567" t="s">
        <v>8</v>
      </c>
      <c r="W12" s="1568">
        <f t="shared" si="2"/>
        <v>100</v>
      </c>
      <c r="X12" s="1569"/>
      <c r="Y12" s="3375"/>
      <c r="Z12" s="1149">
        <f t="shared" si="7"/>
        <v>111</v>
      </c>
      <c r="AA12" s="1570">
        <f>D12/F12</f>
        <v>1</v>
      </c>
      <c r="AB12" s="1570">
        <f>D12/H12</f>
        <v>1</v>
      </c>
      <c r="AC12" s="1570">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418"/>
      <c r="Q13" s="1150">
        <f t="shared" si="6"/>
        <v>111</v>
      </c>
      <c r="R13" s="1567" t="s">
        <v>8</v>
      </c>
      <c r="S13" s="1568">
        <f t="shared" si="0"/>
        <v>100</v>
      </c>
      <c r="T13" s="1567" t="s">
        <v>8</v>
      </c>
      <c r="U13" s="1568">
        <f t="shared" si="1"/>
        <v>100</v>
      </c>
      <c r="V13" s="1567" t="s">
        <v>8</v>
      </c>
      <c r="W13" s="1568">
        <f t="shared" si="2"/>
        <v>100</v>
      </c>
      <c r="X13" s="1569"/>
      <c r="Y13" s="3375"/>
      <c r="Z13" s="1149">
        <f t="shared" si="7"/>
        <v>111</v>
      </c>
      <c r="AA13" s="1570">
        <f t="shared" si="3"/>
        <v>1</v>
      </c>
      <c r="AB13" s="1570">
        <f t="shared" si="4"/>
        <v>1</v>
      </c>
      <c r="AC13" s="1570">
        <f t="shared" si="5"/>
        <v>1</v>
      </c>
    </row>
    <row r="14" spans="1:29" ht="85.5">
      <c r="A14" s="2934" t="s">
        <v>2759</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20" t="s">
        <v>541</v>
      </c>
      <c r="Q14" s="1571" t="str">
        <f t="shared" si="6"/>
        <v>交通便捷度</v>
      </c>
      <c r="R14" s="1572" t="s">
        <v>8</v>
      </c>
      <c r="S14" s="1573">
        <f t="shared" si="0"/>
        <v>100</v>
      </c>
      <c r="T14" s="1572" t="s">
        <v>8</v>
      </c>
      <c r="U14" s="1573">
        <f t="shared" si="1"/>
        <v>100</v>
      </c>
      <c r="V14" s="1572" t="s">
        <v>8</v>
      </c>
      <c r="W14" s="1573">
        <f t="shared" si="2"/>
        <v>100</v>
      </c>
      <c r="X14" s="1566"/>
      <c r="Y14" s="3420" t="s">
        <v>541</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0"/>
      <c r="M15" s="2132"/>
      <c r="N15" s="2132"/>
      <c r="O15" s="2139"/>
      <c r="P15" s="3421"/>
      <c r="Q15" s="1571"/>
      <c r="R15" s="1572"/>
      <c r="S15" s="1573"/>
      <c r="T15" s="1572"/>
      <c r="U15" s="1573"/>
      <c r="V15" s="1572"/>
      <c r="W15" s="1573"/>
      <c r="X15" s="1566"/>
      <c r="Y15" s="3421"/>
      <c r="Z15" s="1574"/>
      <c r="AA15" s="1575">
        <v>1</v>
      </c>
      <c r="AB15" s="1575">
        <v>1</v>
      </c>
      <c r="AC15" s="1575">
        <v>1</v>
      </c>
    </row>
    <row r="16" spans="1:29" ht="42.75">
      <c r="A16" s="514"/>
      <c r="B16" s="2625" t="s">
        <v>2549</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21"/>
      <c r="Q16" s="1571" t="str">
        <f>B16</f>
        <v>公共配套设施</v>
      </c>
      <c r="R16" s="1572" t="s">
        <v>8</v>
      </c>
      <c r="S16" s="1573">
        <f>F16</f>
        <v>100</v>
      </c>
      <c r="T16" s="1572" t="s">
        <v>8</v>
      </c>
      <c r="U16" s="1573">
        <f>H16</f>
        <v>100</v>
      </c>
      <c r="V16" s="1572" t="s">
        <v>8</v>
      </c>
      <c r="W16" s="1573">
        <f>J16</f>
        <v>100</v>
      </c>
      <c r="X16" s="1566"/>
      <c r="Y16" s="3421"/>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0"/>
      <c r="M17" s="2132"/>
      <c r="N17" s="2132"/>
      <c r="O17" s="2139"/>
      <c r="P17" s="3421"/>
      <c r="Q17" s="1571"/>
      <c r="R17" s="1572"/>
      <c r="S17" s="1573"/>
      <c r="T17" s="1572"/>
      <c r="U17" s="1573"/>
      <c r="V17" s="1572"/>
      <c r="W17" s="1573"/>
      <c r="X17" s="1566"/>
      <c r="Y17" s="3421"/>
      <c r="Z17" s="1574"/>
      <c r="AA17" s="1575">
        <v>1</v>
      </c>
      <c r="AB17" s="1575">
        <v>1</v>
      </c>
      <c r="AC17" s="1575">
        <v>1</v>
      </c>
    </row>
    <row r="18" spans="1:29" ht="28.5">
      <c r="A18" s="514"/>
      <c r="B18" s="2613" t="s">
        <v>2561</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21"/>
      <c r="Q18" s="2601" t="str">
        <f>B18</f>
        <v>基础设施水平</v>
      </c>
      <c r="R18" s="1572" t="s">
        <v>8</v>
      </c>
      <c r="S18" s="1573">
        <f>F18</f>
        <v>100</v>
      </c>
      <c r="T18" s="1572" t="s">
        <v>8</v>
      </c>
      <c r="U18" s="1573">
        <f>H18</f>
        <v>100</v>
      </c>
      <c r="V18" s="1572" t="s">
        <v>8</v>
      </c>
      <c r="W18" s="1573">
        <f>J18</f>
        <v>100</v>
      </c>
      <c r="X18" s="2603"/>
      <c r="Y18" s="3421"/>
      <c r="Z18" s="2602"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4"/>
      <c r="L19" s="2140"/>
      <c r="M19" s="2132"/>
      <c r="N19" s="2132"/>
      <c r="O19" s="2139"/>
      <c r="P19" s="3421"/>
      <c r="Q19" s="2601"/>
      <c r="R19" s="1572"/>
      <c r="S19" s="1573"/>
      <c r="T19" s="1572"/>
      <c r="U19" s="1573"/>
      <c r="V19" s="1572"/>
      <c r="W19" s="1573"/>
      <c r="X19" s="2603"/>
      <c r="Y19" s="3421"/>
      <c r="Z19" s="2602"/>
      <c r="AA19" s="1575">
        <v>1</v>
      </c>
      <c r="AB19" s="1575">
        <v>1</v>
      </c>
      <c r="AC19" s="1575">
        <v>1</v>
      </c>
    </row>
    <row r="20" spans="1:29" ht="57">
      <c r="A20" s="514"/>
      <c r="B20" s="559" t="s">
        <v>805</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21"/>
      <c r="Q20" s="1571" t="str">
        <f>B20</f>
        <v>自然及人文环境</v>
      </c>
      <c r="R20" s="1572" t="s">
        <v>8</v>
      </c>
      <c r="S20" s="1573">
        <f>F20</f>
        <v>100</v>
      </c>
      <c r="T20" s="1572" t="s">
        <v>8</v>
      </c>
      <c r="U20" s="1573">
        <f>H20</f>
        <v>100</v>
      </c>
      <c r="V20" s="1572" t="s">
        <v>8</v>
      </c>
      <c r="W20" s="1573">
        <f>J20</f>
        <v>100</v>
      </c>
      <c r="X20" s="1566"/>
      <c r="Y20" s="3421"/>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0"/>
      <c r="M21" s="2132"/>
      <c r="N21" s="2132"/>
      <c r="O21" s="2139"/>
      <c r="P21" s="3421"/>
      <c r="Q21" s="1571"/>
      <c r="R21" s="1572"/>
      <c r="S21" s="1573"/>
      <c r="T21" s="1572"/>
      <c r="U21" s="1573"/>
      <c r="V21" s="1572"/>
      <c r="W21" s="1573"/>
      <c r="X21" s="1566"/>
      <c r="Y21" s="3421"/>
      <c r="Z21" s="1574"/>
      <c r="AA21" s="1575">
        <v>1</v>
      </c>
      <c r="AB21" s="1575">
        <v>1</v>
      </c>
      <c r="AC21" s="1575">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21"/>
      <c r="Q22" s="1571" t="str">
        <f>B22</f>
        <v>楼层</v>
      </c>
      <c r="R22" s="1572" t="s">
        <v>8</v>
      </c>
      <c r="S22" s="1573">
        <f>F22</f>
        <v>100</v>
      </c>
      <c r="T22" s="1572" t="s">
        <v>8</v>
      </c>
      <c r="U22" s="1573">
        <f>H22</f>
        <v>100</v>
      </c>
      <c r="V22" s="1572" t="s">
        <v>8</v>
      </c>
      <c r="W22" s="1573">
        <f>J22</f>
        <v>100</v>
      </c>
      <c r="X22" s="1566"/>
      <c r="Y22" s="3421"/>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21"/>
      <c r="Q23" s="1571">
        <f>B23</f>
        <v>111</v>
      </c>
      <c r="R23" s="1572" t="s">
        <v>8</v>
      </c>
      <c r="S23" s="1573">
        <f>F23</f>
        <v>100</v>
      </c>
      <c r="T23" s="1572" t="s">
        <v>8</v>
      </c>
      <c r="U23" s="1573">
        <f>H23</f>
        <v>100</v>
      </c>
      <c r="V23" s="1572" t="s">
        <v>8</v>
      </c>
      <c r="W23" s="1573">
        <f>J23</f>
        <v>100</v>
      </c>
      <c r="X23" s="1566"/>
      <c r="Y23" s="3421"/>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21"/>
      <c r="Q24" s="1571">
        <f t="shared" ref="Q24:Q36" si="11">B24</f>
        <v>111</v>
      </c>
      <c r="R24" s="1572" t="s">
        <v>8</v>
      </c>
      <c r="S24" s="1573">
        <f>F24</f>
        <v>100</v>
      </c>
      <c r="T24" s="1572" t="s">
        <v>8</v>
      </c>
      <c r="U24" s="1573">
        <f>H24</f>
        <v>100</v>
      </c>
      <c r="V24" s="1572" t="s">
        <v>8</v>
      </c>
      <c r="W24" s="1573">
        <f>J24</f>
        <v>100</v>
      </c>
      <c r="X24" s="1566"/>
      <c r="Y24" s="3421"/>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21"/>
      <c r="Q25" s="1150">
        <f t="shared" si="11"/>
        <v>111</v>
      </c>
      <c r="R25" s="1567" t="s">
        <v>8</v>
      </c>
      <c r="S25" s="1568">
        <f>F25</f>
        <v>100</v>
      </c>
      <c r="T25" s="1567" t="s">
        <v>8</v>
      </c>
      <c r="U25" s="1568">
        <f>H25</f>
        <v>100</v>
      </c>
      <c r="V25" s="1567" t="s">
        <v>8</v>
      </c>
      <c r="W25" s="1568">
        <f>J25</f>
        <v>100</v>
      </c>
      <c r="X25" s="1569"/>
      <c r="Y25" s="3421"/>
      <c r="Z25" s="1149">
        <f>Q25</f>
        <v>111</v>
      </c>
      <c r="AA25" s="1575">
        <f>D25/F25</f>
        <v>1</v>
      </c>
      <c r="AB25" s="1575">
        <f>D25/H25</f>
        <v>1</v>
      </c>
      <c r="AC25" s="1575">
        <f>D25/J25</f>
        <v>1</v>
      </c>
    </row>
    <row r="26" spans="1:29" ht="15">
      <c r="A26" s="2931" t="s">
        <v>2760</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22"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3" t="s">
        <v>551</v>
      </c>
      <c r="Z26" s="1574" t="str">
        <f t="shared" ref="Z26:Z36" si="15">Q26</f>
        <v>配套类型</v>
      </c>
      <c r="AA26" s="1575">
        <f t="shared" si="3"/>
        <v>1</v>
      </c>
      <c r="AB26" s="1575">
        <f t="shared" si="4"/>
        <v>1</v>
      </c>
      <c r="AC26" s="1575">
        <f t="shared" si="5"/>
        <v>1</v>
      </c>
    </row>
    <row r="27" spans="1:29" s="1338" customFormat="1" ht="15">
      <c r="A27" s="928"/>
      <c r="B27" s="581" t="s">
        <v>808</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23"/>
      <c r="Q27" s="1604" t="str">
        <f t="shared" si="11"/>
        <v>项目停车位配比</v>
      </c>
      <c r="R27" s="1576" t="s">
        <v>8</v>
      </c>
      <c r="S27" s="1577">
        <f t="shared" si="12"/>
        <v>100</v>
      </c>
      <c r="T27" s="1576" t="s">
        <v>8</v>
      </c>
      <c r="U27" s="1577">
        <f t="shared" si="13"/>
        <v>100</v>
      </c>
      <c r="V27" s="1576" t="s">
        <v>8</v>
      </c>
      <c r="W27" s="1577">
        <f t="shared" si="14"/>
        <v>100</v>
      </c>
      <c r="X27" s="1578"/>
      <c r="Y27" s="3423"/>
      <c r="Z27" s="1579" t="str">
        <f t="shared" si="15"/>
        <v>项目停车位配比</v>
      </c>
      <c r="AA27" s="1575">
        <f t="shared" si="3"/>
        <v>1</v>
      </c>
      <c r="AB27" s="1575">
        <f t="shared" si="4"/>
        <v>1</v>
      </c>
      <c r="AC27" s="1575">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23"/>
      <c r="Q28" s="1571" t="str">
        <f t="shared" si="11"/>
        <v>公共部分装修</v>
      </c>
      <c r="R28" s="1572" t="s">
        <v>8</v>
      </c>
      <c r="S28" s="1573">
        <f t="shared" si="12"/>
        <v>100</v>
      </c>
      <c r="T28" s="1572" t="s">
        <v>8</v>
      </c>
      <c r="U28" s="1573">
        <f t="shared" si="13"/>
        <v>100</v>
      </c>
      <c r="V28" s="1572" t="s">
        <v>8</v>
      </c>
      <c r="W28" s="1573">
        <f t="shared" si="14"/>
        <v>100</v>
      </c>
      <c r="X28" s="1566"/>
      <c r="Y28" s="3423"/>
      <c r="Z28" s="1574" t="str">
        <f t="shared" si="15"/>
        <v>公共部分装修</v>
      </c>
      <c r="AA28" s="1575">
        <f t="shared" si="3"/>
        <v>1</v>
      </c>
      <c r="AB28" s="1575">
        <f t="shared" si="4"/>
        <v>1</v>
      </c>
      <c r="AC28" s="1575">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23"/>
      <c r="Q29" s="1571" t="str">
        <f t="shared" si="11"/>
        <v>成新率</v>
      </c>
      <c r="R29" s="1572" t="s">
        <v>8</v>
      </c>
      <c r="S29" s="1573" t="e">
        <f t="shared" si="12"/>
        <v>#N/A</v>
      </c>
      <c r="T29" s="1572" t="s">
        <v>8</v>
      </c>
      <c r="U29" s="1573" t="e">
        <f t="shared" si="13"/>
        <v>#N/A</v>
      </c>
      <c r="V29" s="1572" t="s">
        <v>8</v>
      </c>
      <c r="W29" s="1573" t="e">
        <f t="shared" si="14"/>
        <v>#N/A</v>
      </c>
      <c r="X29" s="1566"/>
      <c r="Y29" s="3423"/>
      <c r="Z29" s="1574" t="str">
        <f t="shared" si="15"/>
        <v>成新率</v>
      </c>
      <c r="AA29" s="1575" t="e">
        <f t="shared" si="3"/>
        <v>#N/A</v>
      </c>
      <c r="AB29" s="1575" t="e">
        <f t="shared" si="4"/>
        <v>#N/A</v>
      </c>
      <c r="AC29" s="1575"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23"/>
      <c r="Q30" s="1571" t="str">
        <f t="shared" si="11"/>
        <v>物业等级</v>
      </c>
      <c r="R30" s="1572" t="s">
        <v>8</v>
      </c>
      <c r="S30" s="1573">
        <f t="shared" si="12"/>
        <v>100</v>
      </c>
      <c r="T30" s="1572" t="s">
        <v>8</v>
      </c>
      <c r="U30" s="1573">
        <f t="shared" si="13"/>
        <v>100</v>
      </c>
      <c r="V30" s="1572" t="s">
        <v>8</v>
      </c>
      <c r="W30" s="1573">
        <f t="shared" si="14"/>
        <v>100</v>
      </c>
      <c r="X30" s="1566"/>
      <c r="Y30" s="3423"/>
      <c r="Z30" s="1574" t="str">
        <f t="shared" si="15"/>
        <v>物业等级</v>
      </c>
      <c r="AA30" s="1575">
        <f t="shared" si="3"/>
        <v>1</v>
      </c>
      <c r="AB30" s="1575">
        <f t="shared" si="4"/>
        <v>1</v>
      </c>
      <c r="AC30" s="1575">
        <f t="shared" si="5"/>
        <v>1</v>
      </c>
    </row>
    <row r="31" spans="1:29" s="1219" customFormat="1" ht="15">
      <c r="A31" s="932"/>
      <c r="B31" s="581" t="s">
        <v>812</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23"/>
      <c r="Q31" s="1150" t="str">
        <f t="shared" si="11"/>
        <v>停车位面积</v>
      </c>
      <c r="R31" s="1567" t="s">
        <v>8</v>
      </c>
      <c r="S31" s="1568" t="e">
        <f t="shared" si="12"/>
        <v>#N/A</v>
      </c>
      <c r="T31" s="1567" t="s">
        <v>8</v>
      </c>
      <c r="U31" s="1568" t="e">
        <f t="shared" si="13"/>
        <v>#N/A</v>
      </c>
      <c r="V31" s="1567" t="s">
        <v>8</v>
      </c>
      <c r="W31" s="1568" t="e">
        <f t="shared" si="14"/>
        <v>#N/A</v>
      </c>
      <c r="X31" s="1569"/>
      <c r="Y31" s="3423"/>
      <c r="Z31" s="1149" t="str">
        <f t="shared" si="15"/>
        <v>停车位面积</v>
      </c>
      <c r="AA31" s="1570" t="e">
        <f t="shared" si="3"/>
        <v>#N/A</v>
      </c>
      <c r="AB31" s="1570" t="e">
        <f t="shared" si="4"/>
        <v>#N/A</v>
      </c>
      <c r="AC31" s="1570"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23" t="s">
        <v>551</v>
      </c>
      <c r="Q32" s="1571" t="str">
        <f t="shared" si="11"/>
        <v>车位类型</v>
      </c>
      <c r="R32" s="1572" t="s">
        <v>8</v>
      </c>
      <c r="S32" s="1573">
        <f t="shared" si="12"/>
        <v>100</v>
      </c>
      <c r="T32" s="1572" t="s">
        <v>8</v>
      </c>
      <c r="U32" s="1573">
        <f t="shared" si="13"/>
        <v>100</v>
      </c>
      <c r="V32" s="1572" t="s">
        <v>8</v>
      </c>
      <c r="W32" s="1573">
        <f t="shared" si="14"/>
        <v>100</v>
      </c>
      <c r="X32" s="1566"/>
      <c r="Y32" s="3423" t="s">
        <v>551</v>
      </c>
      <c r="Z32" s="1574" t="str">
        <f t="shared" si="15"/>
        <v>车位类型</v>
      </c>
      <c r="AA32" s="1575">
        <f t="shared" si="3"/>
        <v>1</v>
      </c>
      <c r="AB32" s="1575">
        <f t="shared" si="4"/>
        <v>1</v>
      </c>
      <c r="AC32" s="1575">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23"/>
      <c r="Q33" s="1571" t="str">
        <f t="shared" si="11"/>
        <v>是否直接入户</v>
      </c>
      <c r="R33" s="1572" t="s">
        <v>8</v>
      </c>
      <c r="S33" s="1573">
        <f t="shared" si="12"/>
        <v>100</v>
      </c>
      <c r="T33" s="1572" t="s">
        <v>8</v>
      </c>
      <c r="U33" s="1573">
        <f t="shared" si="13"/>
        <v>100</v>
      </c>
      <c r="V33" s="1572" t="s">
        <v>8</v>
      </c>
      <c r="W33" s="1573">
        <f t="shared" si="14"/>
        <v>100</v>
      </c>
      <c r="X33" s="1566"/>
      <c r="Y33" s="3423"/>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23"/>
      <c r="Q34" s="1571">
        <f t="shared" si="11"/>
        <v>111</v>
      </c>
      <c r="R34" s="1572" t="s">
        <v>8</v>
      </c>
      <c r="S34" s="1573">
        <f t="shared" si="12"/>
        <v>100</v>
      </c>
      <c r="T34" s="1572" t="s">
        <v>8</v>
      </c>
      <c r="U34" s="1573">
        <f t="shared" si="13"/>
        <v>100</v>
      </c>
      <c r="V34" s="1572" t="s">
        <v>8</v>
      </c>
      <c r="W34" s="1573">
        <f t="shared" si="14"/>
        <v>100</v>
      </c>
      <c r="X34" s="1566"/>
      <c r="Y34" s="3423"/>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23"/>
      <c r="Q35" s="1604">
        <f t="shared" si="11"/>
        <v>111</v>
      </c>
      <c r="R35" s="1576" t="s">
        <v>8</v>
      </c>
      <c r="S35" s="1577">
        <f t="shared" si="12"/>
        <v>100</v>
      </c>
      <c r="T35" s="1576" t="s">
        <v>8</v>
      </c>
      <c r="U35" s="1577">
        <f t="shared" si="13"/>
        <v>100</v>
      </c>
      <c r="V35" s="1576" t="s">
        <v>8</v>
      </c>
      <c r="W35" s="1577">
        <f t="shared" si="14"/>
        <v>100</v>
      </c>
      <c r="X35" s="1578"/>
      <c r="Y35" s="3423"/>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23"/>
      <c r="Q36" s="1571">
        <f t="shared" si="11"/>
        <v>111</v>
      </c>
      <c r="R36" s="1572" t="s">
        <v>8</v>
      </c>
      <c r="S36" s="1573">
        <f t="shared" si="12"/>
        <v>100</v>
      </c>
      <c r="T36" s="1572" t="s">
        <v>8</v>
      </c>
      <c r="U36" s="1573">
        <f t="shared" si="13"/>
        <v>100</v>
      </c>
      <c r="V36" s="1572" t="s">
        <v>8</v>
      </c>
      <c r="W36" s="1573">
        <f t="shared" si="14"/>
        <v>100</v>
      </c>
      <c r="X36" s="1566"/>
      <c r="Y36" s="3423"/>
      <c r="Z36" s="1574">
        <f t="shared" si="15"/>
        <v>111</v>
      </c>
      <c r="AA36" s="1575">
        <f t="shared" si="3"/>
        <v>1</v>
      </c>
      <c r="AB36" s="1575">
        <f t="shared" si="4"/>
        <v>1</v>
      </c>
      <c r="AC36" s="1575">
        <f t="shared" si="5"/>
        <v>1</v>
      </c>
    </row>
    <row r="37" spans="1:29" ht="15">
      <c r="A37" s="1844" t="s">
        <v>2079</v>
      </c>
      <c r="B37" s="1845" t="s">
        <v>2080</v>
      </c>
      <c r="C37" s="2649" t="s">
        <v>1</v>
      </c>
      <c r="D37" s="2650"/>
      <c r="E37" s="2651"/>
      <c r="F37" s="2652"/>
      <c r="G37" s="2653"/>
      <c r="H37" s="2654"/>
      <c r="I37" s="2651"/>
      <c r="J37" s="2654"/>
      <c r="K37" s="1610"/>
      <c r="L37" s="2142"/>
      <c r="M37" s="2143"/>
      <c r="N37" s="2132"/>
      <c r="O37" s="2143"/>
      <c r="P37" s="3418" t="str">
        <f>A37</f>
        <v>成交单价</v>
      </c>
      <c r="Q37" s="3418"/>
      <c r="R37" s="3500">
        <f>E37</f>
        <v>0</v>
      </c>
      <c r="S37" s="3500"/>
      <c r="T37" s="3500">
        <f>G37</f>
        <v>0</v>
      </c>
      <c r="U37" s="3500"/>
      <c r="V37" s="3500">
        <f>I37</f>
        <v>0</v>
      </c>
      <c r="W37" s="3500"/>
      <c r="X37" s="1558"/>
      <c r="Y37" s="1580"/>
      <c r="Z37" s="1558"/>
      <c r="AA37" s="1558"/>
      <c r="AB37" s="1558"/>
      <c r="AC37" s="1558"/>
    </row>
    <row r="38" spans="1:29" ht="15.75" thickBot="1">
      <c r="A38" s="614" t="s">
        <v>2765</v>
      </c>
      <c r="B38" s="887"/>
      <c r="C38" s="2655" t="e">
        <f>R39</f>
        <v>#DIV/0!</v>
      </c>
      <c r="D38" s="2656"/>
      <c r="E38" s="2657" t="e">
        <f>R38</f>
        <v>#DIV/0!</v>
      </c>
      <c r="F38" s="2657"/>
      <c r="G38" s="2655" t="e">
        <f>T38</f>
        <v>#DIV/0!</v>
      </c>
      <c r="H38" s="2656"/>
      <c r="I38" s="2657" t="e">
        <f>V38</f>
        <v>#DIV/0!</v>
      </c>
      <c r="J38" s="2656"/>
      <c r="K38" s="1611"/>
      <c r="L38" s="2142"/>
      <c r="M38" s="2143"/>
      <c r="N38" s="2143"/>
      <c r="O38" s="2143"/>
      <c r="P38" s="3418" t="str">
        <f>A38</f>
        <v>比较价格（元/平方米）</v>
      </c>
      <c r="Q38" s="3418"/>
      <c r="R38" s="3500" t="e">
        <f>IF(F1="售价",ROUND(PRODUCT(R37,AA7:AA36),0),ROUND(PRODUCT(R37,AA7:AA36),1))</f>
        <v>#DIV/0!</v>
      </c>
      <c r="S38" s="3500"/>
      <c r="T38" s="3500" t="e">
        <f>IF(F1="售价",ROUND(PRODUCT(T37,AB7:AB36),0),ROUND(PRODUCT(T37,AB7:AB36),1))</f>
        <v>#DIV/0!</v>
      </c>
      <c r="U38" s="3500"/>
      <c r="V38" s="3500" t="e">
        <f>IF(F1="售价",ROUND(PRODUCT(V37,AC7:AC36),0),ROUND(PRODUCT(V37,AC7:AC36),1))</f>
        <v>#DIV/0!</v>
      </c>
      <c r="W38" s="3500"/>
      <c r="X38" s="1558"/>
      <c r="Y38" s="1558"/>
      <c r="Z38" s="1558"/>
      <c r="AA38" s="1558"/>
      <c r="AB38" s="1558"/>
      <c r="AC38" s="1558"/>
    </row>
    <row r="39" spans="1:29" ht="15.75" thickBot="1">
      <c r="A39" s="620" t="s">
        <v>2938</v>
      </c>
      <c r="B39" s="621"/>
      <c r="C39" s="2658" t="e">
        <f>R39</f>
        <v>#DIV/0!</v>
      </c>
      <c r="D39" s="2658"/>
      <c r="E39" s="2658"/>
      <c r="F39" s="2658"/>
      <c r="G39" s="2658"/>
      <c r="H39" s="2658"/>
      <c r="I39" s="2658"/>
      <c r="J39" s="2658"/>
      <c r="K39" s="1612"/>
      <c r="L39" s="2142"/>
      <c r="M39" s="2143"/>
      <c r="N39" s="2143"/>
      <c r="O39" s="2143"/>
      <c r="P39" s="3441" t="str">
        <f>A39</f>
        <v>估价对象XX用房的比较价格（楼面单价，元/平方米）</v>
      </c>
      <c r="Q39" s="3442"/>
      <c r="R39" s="3499" t="e">
        <f>IF(F1="售价",ROUND(AVERAGE(R38:V38),0),ROUND(AVERAGE(R38:V38),1))</f>
        <v>#DIV/0!</v>
      </c>
      <c r="S39" s="3499"/>
      <c r="T39" s="3499"/>
      <c r="U39" s="3499"/>
      <c r="V39" s="3499"/>
      <c r="W39" s="3499"/>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575</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530</v>
      </c>
      <c r="B48" s="645"/>
      <c r="C48" s="2826" t="str">
        <f>YEAR(C7)&amp;"-"&amp;MONTH(C7)</f>
        <v>2018-1</v>
      </c>
      <c r="D48" s="2828">
        <f>EDATE(C48,-1)</f>
        <v>43070</v>
      </c>
      <c r="E48" s="2828">
        <f t="shared" ref="E48:O48" si="16">EDATE(D48,-1)</f>
        <v>43040</v>
      </c>
      <c r="F48" s="2828">
        <f t="shared" si="16"/>
        <v>43009</v>
      </c>
      <c r="G48" s="2828">
        <f t="shared" si="16"/>
        <v>42979</v>
      </c>
      <c r="H48" s="2828">
        <f t="shared" si="16"/>
        <v>42948</v>
      </c>
      <c r="I48" s="2828">
        <f t="shared" si="16"/>
        <v>42917</v>
      </c>
      <c r="J48" s="2828">
        <f t="shared" si="16"/>
        <v>42887</v>
      </c>
      <c r="K48" s="2828">
        <f t="shared" si="16"/>
        <v>42856</v>
      </c>
      <c r="L48" s="2828">
        <f t="shared" si="16"/>
        <v>42826</v>
      </c>
      <c r="M48" s="2828">
        <f t="shared" si="16"/>
        <v>42795</v>
      </c>
      <c r="N48" s="2828">
        <f t="shared" si="16"/>
        <v>42767</v>
      </c>
      <c r="O48" s="2828">
        <f t="shared" si="16"/>
        <v>42736</v>
      </c>
      <c r="P48" s="2158"/>
      <c r="Q48" s="2159"/>
      <c r="R48" s="2159"/>
      <c r="S48" s="2159"/>
      <c r="T48" s="2159"/>
      <c r="U48" s="2159"/>
      <c r="V48" s="2159"/>
      <c r="W48" s="2159"/>
      <c r="X48" s="2159"/>
      <c r="Y48" s="2159"/>
      <c r="Z48" s="2159"/>
      <c r="AA48" s="2159"/>
      <c r="AB48" s="2159"/>
      <c r="AC48" s="2159"/>
    </row>
    <row r="49" spans="1:29" s="1219" customFormat="1" ht="15">
      <c r="A49" s="646"/>
      <c r="B49" s="647"/>
      <c r="C49" s="2827">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576</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532</v>
      </c>
      <c r="B51" s="647"/>
      <c r="C51" s="659" t="s">
        <v>577</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578</v>
      </c>
      <c r="B53" s="664" t="s">
        <v>535</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2560</v>
      </c>
      <c r="C65" s="707" t="s">
        <v>580</v>
      </c>
      <c r="D65" s="707" t="s">
        <v>581</v>
      </c>
      <c r="E65" s="707" t="s">
        <v>582</v>
      </c>
      <c r="F65" s="707" t="s">
        <v>583</v>
      </c>
      <c r="G65" s="707" t="s">
        <v>584</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619" t="s">
        <v>2561</v>
      </c>
      <c r="C67" s="2620" t="s">
        <v>2562</v>
      </c>
      <c r="D67" s="2620" t="s">
        <v>2563</v>
      </c>
      <c r="E67" s="2620" t="s">
        <v>2564</v>
      </c>
      <c r="F67" s="2620" t="s">
        <v>2565</v>
      </c>
      <c r="G67" s="2620" t="s">
        <v>2566</v>
      </c>
      <c r="H67" s="673"/>
      <c r="I67" s="673"/>
      <c r="J67" s="673"/>
      <c r="K67" s="673"/>
      <c r="L67" s="673"/>
      <c r="M67" s="2623"/>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707" t="s">
        <v>580</v>
      </c>
      <c r="D69" s="707" t="s">
        <v>581</v>
      </c>
      <c r="E69" s="707" t="s">
        <v>582</v>
      </c>
      <c r="F69" s="707" t="s">
        <v>583</v>
      </c>
      <c r="G69" s="707" t="s">
        <v>584</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746</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552</v>
      </c>
      <c r="B79" s="664" t="s">
        <v>815</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816</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752</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818</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820</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821</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1"/>
      <c r="G1" s="1600" t="s">
        <v>794</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795</v>
      </c>
      <c r="B2" s="849"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796</v>
      </c>
      <c r="B3" s="509" t="e">
        <f>C37</f>
        <v>#DIV/0!</v>
      </c>
      <c r="C3" s="851" t="s">
        <v>797</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798</v>
      </c>
      <c r="B4" s="512"/>
      <c r="C4" s="3424" t="s">
        <v>799</v>
      </c>
      <c r="D4" s="3425"/>
      <c r="E4" s="3450" t="s">
        <v>800</v>
      </c>
      <c r="F4" s="3451"/>
      <c r="G4" s="3424" t="s">
        <v>801</v>
      </c>
      <c r="H4" s="3425"/>
      <c r="I4" s="3424" t="s">
        <v>802</v>
      </c>
      <c r="J4" s="3425"/>
      <c r="K4" s="513" t="s">
        <v>803</v>
      </c>
      <c r="L4" s="2131"/>
      <c r="M4" s="2132"/>
      <c r="N4" s="2132"/>
      <c r="O4" s="2132"/>
      <c r="P4" s="3426" t="s">
        <v>804</v>
      </c>
      <c r="Q4" s="3427"/>
      <c r="R4" s="3412" t="s">
        <v>800</v>
      </c>
      <c r="S4" s="3413"/>
      <c r="T4" s="3412" t="s">
        <v>801</v>
      </c>
      <c r="U4" s="3413"/>
      <c r="V4" s="3432" t="s">
        <v>802</v>
      </c>
      <c r="W4" s="3432"/>
      <c r="X4" s="1566"/>
      <c r="Y4" s="3412" t="s">
        <v>804</v>
      </c>
      <c r="Z4" s="3413"/>
      <c r="AA4" s="3407" t="s">
        <v>800</v>
      </c>
      <c r="AB4" s="3408" t="s">
        <v>801</v>
      </c>
      <c r="AC4" s="3407" t="s">
        <v>802</v>
      </c>
    </row>
    <row r="5" spans="1:29" ht="15">
      <c r="A5" s="514"/>
      <c r="B5" s="515"/>
      <c r="C5" s="3437" t="s">
        <v>2932</v>
      </c>
      <c r="D5" s="3436"/>
      <c r="E5" s="3452" t="s">
        <v>2933</v>
      </c>
      <c r="F5" s="3453"/>
      <c r="G5" s="3437" t="s">
        <v>2934</v>
      </c>
      <c r="H5" s="3436"/>
      <c r="I5" s="3437" t="s">
        <v>2935</v>
      </c>
      <c r="J5" s="3436"/>
      <c r="K5" s="513"/>
      <c r="L5" s="2131"/>
      <c r="M5" s="2132"/>
      <c r="N5" s="2132"/>
      <c r="O5" s="2132"/>
      <c r="P5" s="3428"/>
      <c r="Q5" s="3429"/>
      <c r="R5" s="3414"/>
      <c r="S5" s="3415"/>
      <c r="T5" s="3414"/>
      <c r="U5" s="3415"/>
      <c r="V5" s="3432"/>
      <c r="W5" s="3432"/>
      <c r="X5" s="1566"/>
      <c r="Y5" s="3414"/>
      <c r="Z5" s="3415"/>
      <c r="AA5" s="3408"/>
      <c r="AB5" s="3408"/>
      <c r="AC5" s="3408"/>
    </row>
    <row r="6" spans="1:29" ht="15.75" thickBot="1">
      <c r="A6" s="516"/>
      <c r="B6" s="517"/>
      <c r="C6" s="3454" t="s">
        <v>2936</v>
      </c>
      <c r="D6" s="3434"/>
      <c r="E6" s="3455" t="s">
        <v>2936</v>
      </c>
      <c r="F6" s="3456"/>
      <c r="G6" s="3454" t="s">
        <v>2936</v>
      </c>
      <c r="H6" s="3434"/>
      <c r="I6" s="3454" t="s">
        <v>2936</v>
      </c>
      <c r="J6" s="3434"/>
      <c r="K6" s="513" t="s">
        <v>529</v>
      </c>
      <c r="L6" s="2131"/>
      <c r="M6" s="2132"/>
      <c r="N6" s="2132"/>
      <c r="O6" s="2132"/>
      <c r="P6" s="3430"/>
      <c r="Q6" s="3431"/>
      <c r="R6" s="3414"/>
      <c r="S6" s="3415"/>
      <c r="T6" s="3416"/>
      <c r="U6" s="3417"/>
      <c r="V6" s="3432"/>
      <c r="W6" s="3432"/>
      <c r="X6" s="1566"/>
      <c r="Y6" s="3416"/>
      <c r="Z6" s="3417"/>
      <c r="AA6" s="3409"/>
      <c r="AB6" s="3409"/>
      <c r="AC6" s="3409"/>
    </row>
    <row r="7" spans="1:29" s="1219" customFormat="1" ht="15.75" thickBot="1">
      <c r="A7" s="2936"/>
      <c r="B7" s="2943" t="s">
        <v>530</v>
      </c>
      <c r="C7" s="518">
        <f>'数据-取费表'!B2</f>
        <v>43104</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10" t="s">
        <v>531</v>
      </c>
      <c r="Q7" s="3419"/>
      <c r="R7" s="1567" t="s">
        <v>8</v>
      </c>
      <c r="S7" s="1568">
        <f t="shared" ref="S7:S14" si="0">F7</f>
        <v>0</v>
      </c>
      <c r="T7" s="1567" t="s">
        <v>8</v>
      </c>
      <c r="U7" s="1568">
        <f t="shared" ref="U7:U14" si="1">H7</f>
        <v>0</v>
      </c>
      <c r="V7" s="1567" t="s">
        <v>8</v>
      </c>
      <c r="W7" s="1568">
        <f t="shared" ref="W7:W14" si="2">J7</f>
        <v>0</v>
      </c>
      <c r="X7" s="1569"/>
      <c r="Y7" s="3410" t="s">
        <v>531</v>
      </c>
      <c r="Z7" s="3411"/>
      <c r="AA7" s="1570" t="e">
        <f>D7/F7</f>
        <v>#DIV/0!</v>
      </c>
      <c r="AB7" s="1570" t="e">
        <f>D7/H7</f>
        <v>#DIV/0!</v>
      </c>
      <c r="AC7" s="1570" t="e">
        <f>D7/J7</f>
        <v>#DIV/0!</v>
      </c>
    </row>
    <row r="8" spans="1:29" s="1219" customFormat="1" ht="15.75" thickBot="1">
      <c r="A8" s="2937"/>
      <c r="B8" s="2944" t="s">
        <v>532</v>
      </c>
      <c r="C8" s="524" t="s">
        <v>577</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10" t="s">
        <v>534</v>
      </c>
      <c r="Q8" s="3411"/>
      <c r="R8" s="1567" t="s">
        <v>8</v>
      </c>
      <c r="S8" s="1568">
        <f t="shared" si="0"/>
        <v>0</v>
      </c>
      <c r="T8" s="1567" t="s">
        <v>8</v>
      </c>
      <c r="U8" s="1568">
        <f t="shared" si="1"/>
        <v>0</v>
      </c>
      <c r="V8" s="1567" t="s">
        <v>8</v>
      </c>
      <c r="W8" s="1568">
        <f t="shared" si="2"/>
        <v>0</v>
      </c>
      <c r="X8" s="1569"/>
      <c r="Y8" s="3410" t="s">
        <v>534</v>
      </c>
      <c r="Z8" s="3411"/>
      <c r="AA8" s="1570" t="e">
        <f t="shared" ref="AA8:AA34" si="3">D8/F8</f>
        <v>#DIV/0!</v>
      </c>
      <c r="AB8" s="1570" t="e">
        <f t="shared" ref="AB8:AB34" si="4">D8/H8</f>
        <v>#DIV/0!</v>
      </c>
      <c r="AC8" s="1570" t="e">
        <f t="shared" ref="AC8:AC34" si="5">D8/J8</f>
        <v>#DIV/0!</v>
      </c>
    </row>
    <row r="9" spans="1:29" s="1219" customFormat="1" ht="15">
      <c r="A9" s="2938"/>
      <c r="B9" s="2945" t="s">
        <v>2761</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418" t="s">
        <v>536</v>
      </c>
      <c r="Q9" s="1150" t="str">
        <f t="shared" ref="Q9:Q14" si="6">B9</f>
        <v>用途</v>
      </c>
      <c r="R9" s="1567" t="s">
        <v>8</v>
      </c>
      <c r="S9" s="1568">
        <f t="shared" si="0"/>
        <v>100</v>
      </c>
      <c r="T9" s="1567" t="s">
        <v>8</v>
      </c>
      <c r="U9" s="1568">
        <f t="shared" si="1"/>
        <v>100</v>
      </c>
      <c r="V9" s="1567" t="s">
        <v>8</v>
      </c>
      <c r="W9" s="1568">
        <f t="shared" si="2"/>
        <v>100</v>
      </c>
      <c r="X9" s="1569"/>
      <c r="Y9" s="3375" t="s">
        <v>537</v>
      </c>
      <c r="Z9" s="1149" t="str">
        <f t="shared" ref="Z9:Z14" si="7">Q9</f>
        <v>用途</v>
      </c>
      <c r="AA9" s="1570">
        <f t="shared" si="3"/>
        <v>1</v>
      </c>
      <c r="AB9" s="1570">
        <f t="shared" si="4"/>
        <v>1</v>
      </c>
      <c r="AC9" s="1570">
        <f t="shared" si="5"/>
        <v>1</v>
      </c>
    </row>
    <row r="10" spans="1:29" s="1337" customFormat="1" ht="27">
      <c r="A10" s="2939"/>
      <c r="B10" s="2944" t="s">
        <v>2762</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418"/>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418"/>
      <c r="Q11" s="1150">
        <f t="shared" si="6"/>
        <v>111</v>
      </c>
      <c r="R11" s="1567" t="s">
        <v>8</v>
      </c>
      <c r="S11" s="1568">
        <f t="shared" si="0"/>
        <v>100</v>
      </c>
      <c r="T11" s="1567" t="s">
        <v>8</v>
      </c>
      <c r="U11" s="1568">
        <f t="shared" si="1"/>
        <v>100</v>
      </c>
      <c r="V11" s="1567" t="s">
        <v>8</v>
      </c>
      <c r="W11" s="1568">
        <f t="shared" si="2"/>
        <v>100</v>
      </c>
      <c r="X11" s="1569"/>
      <c r="Y11" s="3375"/>
      <c r="Z11" s="1149">
        <f t="shared" si="7"/>
        <v>111</v>
      </c>
      <c r="AA11" s="1570">
        <f t="shared" si="3"/>
        <v>1</v>
      </c>
      <c r="AB11" s="1570">
        <f t="shared" si="4"/>
        <v>1</v>
      </c>
      <c r="AC11" s="1570">
        <f t="shared" si="5"/>
        <v>1</v>
      </c>
    </row>
    <row r="12" spans="1:29" s="1219"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418"/>
      <c r="Q12" s="1150">
        <f t="shared" si="6"/>
        <v>111</v>
      </c>
      <c r="R12" s="1567" t="s">
        <v>8</v>
      </c>
      <c r="S12" s="1568">
        <f t="shared" si="0"/>
        <v>100</v>
      </c>
      <c r="T12" s="1567" t="s">
        <v>8</v>
      </c>
      <c r="U12" s="1568">
        <f t="shared" si="1"/>
        <v>100</v>
      </c>
      <c r="V12" s="1567" t="s">
        <v>8</v>
      </c>
      <c r="W12" s="1568">
        <f t="shared" si="2"/>
        <v>100</v>
      </c>
      <c r="X12" s="1569"/>
      <c r="Y12" s="3375"/>
      <c r="Z12" s="1149">
        <f t="shared" si="7"/>
        <v>111</v>
      </c>
      <c r="AA12" s="1570">
        <f>D12/F12</f>
        <v>1</v>
      </c>
      <c r="AB12" s="1570">
        <f>D12/H12</f>
        <v>1</v>
      </c>
      <c r="AC12" s="1570">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418"/>
      <c r="Q13" s="1150">
        <f t="shared" si="6"/>
        <v>111</v>
      </c>
      <c r="R13" s="1567" t="s">
        <v>8</v>
      </c>
      <c r="S13" s="1568">
        <f t="shared" si="0"/>
        <v>100</v>
      </c>
      <c r="T13" s="1567" t="s">
        <v>8</v>
      </c>
      <c r="U13" s="1568">
        <f t="shared" si="1"/>
        <v>100</v>
      </c>
      <c r="V13" s="1567" t="s">
        <v>8</v>
      </c>
      <c r="W13" s="1568">
        <f t="shared" si="2"/>
        <v>100</v>
      </c>
      <c r="X13" s="1569"/>
      <c r="Y13" s="3375"/>
      <c r="Z13" s="1149">
        <f t="shared" si="7"/>
        <v>111</v>
      </c>
      <c r="AA13" s="1570">
        <f t="shared" si="3"/>
        <v>1</v>
      </c>
      <c r="AB13" s="1570">
        <f t="shared" si="4"/>
        <v>1</v>
      </c>
      <c r="AC13" s="1570">
        <f t="shared" si="5"/>
        <v>1</v>
      </c>
    </row>
    <row r="14" spans="1:29" ht="85.5">
      <c r="A14" s="2934" t="s">
        <v>2759</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20" t="s">
        <v>541</v>
      </c>
      <c r="Q14" s="1571" t="str">
        <f t="shared" si="6"/>
        <v>交通便捷度</v>
      </c>
      <c r="R14" s="1572" t="s">
        <v>8</v>
      </c>
      <c r="S14" s="1573">
        <f t="shared" si="0"/>
        <v>100</v>
      </c>
      <c r="T14" s="1572" t="s">
        <v>8</v>
      </c>
      <c r="U14" s="1573">
        <f t="shared" si="1"/>
        <v>100</v>
      </c>
      <c r="V14" s="1572" t="s">
        <v>8</v>
      </c>
      <c r="W14" s="1573">
        <f t="shared" si="2"/>
        <v>100</v>
      </c>
      <c r="X14" s="1566"/>
      <c r="Y14" s="3420" t="s">
        <v>541</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0"/>
      <c r="M15" s="2132"/>
      <c r="N15" s="2132"/>
      <c r="O15" s="2139"/>
      <c r="P15" s="3421"/>
      <c r="Q15" s="1571"/>
      <c r="R15" s="1572"/>
      <c r="S15" s="1573"/>
      <c r="T15" s="1572"/>
      <c r="U15" s="1573"/>
      <c r="V15" s="1572"/>
      <c r="W15" s="1573"/>
      <c r="X15" s="1566"/>
      <c r="Y15" s="3421"/>
      <c r="Z15" s="1574"/>
      <c r="AA15" s="1575">
        <v>1</v>
      </c>
      <c r="AB15" s="1575">
        <v>1</v>
      </c>
      <c r="AC15" s="1575">
        <v>1</v>
      </c>
    </row>
    <row r="16" spans="1:29" ht="42.75">
      <c r="A16" s="531"/>
      <c r="B16" s="2625" t="s">
        <v>2549</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21"/>
      <c r="Q16" s="1571" t="str">
        <f>B16</f>
        <v>公共配套设施</v>
      </c>
      <c r="R16" s="1572" t="s">
        <v>8</v>
      </c>
      <c r="S16" s="1573">
        <f>F16</f>
        <v>100</v>
      </c>
      <c r="T16" s="1572" t="s">
        <v>8</v>
      </c>
      <c r="U16" s="1573">
        <f>H16</f>
        <v>100</v>
      </c>
      <c r="V16" s="1572" t="s">
        <v>8</v>
      </c>
      <c r="W16" s="1573">
        <f>J16</f>
        <v>100</v>
      </c>
      <c r="X16" s="1566"/>
      <c r="Y16" s="3421"/>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0"/>
      <c r="M17" s="2132"/>
      <c r="N17" s="2132"/>
      <c r="O17" s="2139"/>
      <c r="P17" s="3421"/>
      <c r="Q17" s="1571"/>
      <c r="R17" s="1572"/>
      <c r="S17" s="1573"/>
      <c r="T17" s="1572"/>
      <c r="U17" s="1573"/>
      <c r="V17" s="1572"/>
      <c r="W17" s="1573"/>
      <c r="X17" s="1566"/>
      <c r="Y17" s="3421"/>
      <c r="Z17" s="1574"/>
      <c r="AA17" s="1575">
        <v>1</v>
      </c>
      <c r="AB17" s="1575">
        <v>1</v>
      </c>
      <c r="AC17" s="1575">
        <v>1</v>
      </c>
    </row>
    <row r="18" spans="1:29" ht="28.5">
      <c r="A18" s="531"/>
      <c r="B18" s="2613" t="s">
        <v>2561</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21"/>
      <c r="Q18" s="2601" t="str">
        <f>B18</f>
        <v>基础设施水平</v>
      </c>
      <c r="R18" s="1572" t="s">
        <v>8</v>
      </c>
      <c r="S18" s="1573">
        <f>F18</f>
        <v>100</v>
      </c>
      <c r="T18" s="1572" t="s">
        <v>8</v>
      </c>
      <c r="U18" s="1573">
        <f>H18</f>
        <v>100</v>
      </c>
      <c r="V18" s="1572" t="s">
        <v>8</v>
      </c>
      <c r="W18" s="1573">
        <f>J18</f>
        <v>100</v>
      </c>
      <c r="X18" s="2603"/>
      <c r="Y18" s="3421"/>
      <c r="Z18" s="2602"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4"/>
      <c r="L19" s="2140"/>
      <c r="M19" s="2132"/>
      <c r="N19" s="2132"/>
      <c r="O19" s="2139"/>
      <c r="P19" s="3421"/>
      <c r="Q19" s="2601"/>
      <c r="R19" s="1572"/>
      <c r="S19" s="1573"/>
      <c r="T19" s="1572"/>
      <c r="U19" s="1573"/>
      <c r="V19" s="1572"/>
      <c r="W19" s="1573"/>
      <c r="X19" s="2603"/>
      <c r="Y19" s="3421"/>
      <c r="Z19" s="2602"/>
      <c r="AA19" s="1575">
        <v>1</v>
      </c>
      <c r="AB19" s="1575">
        <v>1</v>
      </c>
      <c r="AC19" s="1575">
        <v>1</v>
      </c>
    </row>
    <row r="20" spans="1:29" ht="57">
      <c r="A20" s="531"/>
      <c r="B20" s="870" t="s">
        <v>805</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21"/>
      <c r="Q20" s="1571" t="str">
        <f>B20</f>
        <v>自然及人文环境</v>
      </c>
      <c r="R20" s="1572" t="s">
        <v>8</v>
      </c>
      <c r="S20" s="1573">
        <f>F20</f>
        <v>100</v>
      </c>
      <c r="T20" s="1572" t="s">
        <v>8</v>
      </c>
      <c r="U20" s="1573">
        <f>H20</f>
        <v>100</v>
      </c>
      <c r="V20" s="1572" t="s">
        <v>8</v>
      </c>
      <c r="W20" s="1573">
        <f>J20</f>
        <v>100</v>
      </c>
      <c r="X20" s="1566"/>
      <c r="Y20" s="3421"/>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0"/>
      <c r="M21" s="2132"/>
      <c r="N21" s="2132"/>
      <c r="O21" s="2139"/>
      <c r="P21" s="3421"/>
      <c r="Q21" s="1571"/>
      <c r="R21" s="1572"/>
      <c r="S21" s="1573"/>
      <c r="T21" s="1572"/>
      <c r="U21" s="1573"/>
      <c r="V21" s="1572"/>
      <c r="W21" s="1573"/>
      <c r="X21" s="1566"/>
      <c r="Y21" s="3421"/>
      <c r="Z21" s="1574"/>
      <c r="AA21" s="1575">
        <v>1</v>
      </c>
      <c r="AB21" s="1575">
        <v>1</v>
      </c>
      <c r="AC21" s="1575">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21"/>
      <c r="Q22" s="1571" t="str">
        <f>B22</f>
        <v>楼层</v>
      </c>
      <c r="R22" s="1572" t="s">
        <v>8</v>
      </c>
      <c r="S22" s="1573">
        <f>F22</f>
        <v>100</v>
      </c>
      <c r="T22" s="1572" t="s">
        <v>8</v>
      </c>
      <c r="U22" s="1573">
        <f>H22</f>
        <v>100</v>
      </c>
      <c r="V22" s="1572" t="s">
        <v>8</v>
      </c>
      <c r="W22" s="1573">
        <f>J22</f>
        <v>100</v>
      </c>
      <c r="X22" s="1566"/>
      <c r="Y22" s="3421"/>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21"/>
      <c r="Q23" s="1571">
        <f>B23</f>
        <v>111</v>
      </c>
      <c r="R23" s="1572" t="s">
        <v>8</v>
      </c>
      <c r="S23" s="1573">
        <f>F23</f>
        <v>100</v>
      </c>
      <c r="T23" s="1572" t="s">
        <v>8</v>
      </c>
      <c r="U23" s="1573">
        <f>H23</f>
        <v>100</v>
      </c>
      <c r="V23" s="1572" t="s">
        <v>8</v>
      </c>
      <c r="W23" s="1573">
        <f>J23</f>
        <v>100</v>
      </c>
      <c r="X23" s="1566"/>
      <c r="Y23" s="3421"/>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21"/>
      <c r="Q24" s="1571">
        <f t="shared" ref="Q24:Q34" si="11">B24</f>
        <v>111</v>
      </c>
      <c r="R24" s="1572" t="s">
        <v>8</v>
      </c>
      <c r="S24" s="1573">
        <f>F24</f>
        <v>100</v>
      </c>
      <c r="T24" s="1572" t="s">
        <v>8</v>
      </c>
      <c r="U24" s="1573">
        <f>H24</f>
        <v>100</v>
      </c>
      <c r="V24" s="1572" t="s">
        <v>8</v>
      </c>
      <c r="W24" s="1573">
        <f>J24</f>
        <v>100</v>
      </c>
      <c r="X24" s="1566"/>
      <c r="Y24" s="3421"/>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21"/>
      <c r="Q25" s="1150">
        <f t="shared" si="11"/>
        <v>111</v>
      </c>
      <c r="R25" s="1567" t="s">
        <v>8</v>
      </c>
      <c r="S25" s="1568">
        <f>F25</f>
        <v>100</v>
      </c>
      <c r="T25" s="1567" t="s">
        <v>8</v>
      </c>
      <c r="U25" s="1568">
        <f>H25</f>
        <v>100</v>
      </c>
      <c r="V25" s="1567" t="s">
        <v>8</v>
      </c>
      <c r="W25" s="1568">
        <f>J25</f>
        <v>100</v>
      </c>
      <c r="X25" s="1569"/>
      <c r="Y25" s="3421"/>
      <c r="Z25" s="1149">
        <f>Q25</f>
        <v>111</v>
      </c>
      <c r="AA25" s="1575">
        <f>D25/F25</f>
        <v>1</v>
      </c>
      <c r="AB25" s="1575">
        <f>D25/H25</f>
        <v>1</v>
      </c>
      <c r="AC25" s="1575">
        <f>D25/J25</f>
        <v>1</v>
      </c>
    </row>
    <row r="26" spans="1:29" ht="15">
      <c r="A26" s="2931" t="s">
        <v>2760</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22"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3" t="s">
        <v>822</v>
      </c>
      <c r="Z26" s="1574" t="str">
        <f t="shared" ref="Z26:Z34" si="15">Q26</f>
        <v>公共部分装修</v>
      </c>
      <c r="AA26" s="1575">
        <f t="shared" si="3"/>
        <v>1</v>
      </c>
      <c r="AB26" s="1575">
        <f t="shared" si="4"/>
        <v>1</v>
      </c>
      <c r="AC26" s="1575">
        <f t="shared" si="5"/>
        <v>1</v>
      </c>
    </row>
    <row r="27" spans="1:29" s="1338" customFormat="1" ht="15">
      <c r="A27" s="602"/>
      <c r="B27" s="526" t="s">
        <v>810</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23"/>
      <c r="Q27" s="1604" t="str">
        <f t="shared" si="11"/>
        <v>成新率</v>
      </c>
      <c r="R27" s="1576" t="s">
        <v>8</v>
      </c>
      <c r="S27" s="1577" t="e">
        <f t="shared" si="12"/>
        <v>#N/A</v>
      </c>
      <c r="T27" s="1576" t="s">
        <v>8</v>
      </c>
      <c r="U27" s="1577" t="e">
        <f t="shared" si="13"/>
        <v>#N/A</v>
      </c>
      <c r="V27" s="1576" t="s">
        <v>8</v>
      </c>
      <c r="W27" s="1577" t="e">
        <f t="shared" si="14"/>
        <v>#N/A</v>
      </c>
      <c r="X27" s="1578"/>
      <c r="Y27" s="3423"/>
      <c r="Z27" s="1579" t="str">
        <f t="shared" si="15"/>
        <v>成新率</v>
      </c>
      <c r="AA27" s="1575" t="e">
        <f t="shared" si="3"/>
        <v>#N/A</v>
      </c>
      <c r="AB27" s="1575" t="e">
        <f t="shared" si="4"/>
        <v>#N/A</v>
      </c>
      <c r="AC27" s="1575"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23"/>
      <c r="Q28" s="1571" t="str">
        <f t="shared" si="11"/>
        <v>物业等级</v>
      </c>
      <c r="R28" s="1572" t="s">
        <v>8</v>
      </c>
      <c r="S28" s="1573">
        <f t="shared" si="12"/>
        <v>100</v>
      </c>
      <c r="T28" s="1572" t="s">
        <v>8</v>
      </c>
      <c r="U28" s="1573">
        <f t="shared" si="13"/>
        <v>100</v>
      </c>
      <c r="V28" s="1572" t="s">
        <v>8</v>
      </c>
      <c r="W28" s="1573">
        <f t="shared" si="14"/>
        <v>100</v>
      </c>
      <c r="X28" s="1566"/>
      <c r="Y28" s="3423"/>
      <c r="Z28" s="1574" t="str">
        <f t="shared" si="15"/>
        <v>物业等级</v>
      </c>
      <c r="AA28" s="1575">
        <f t="shared" si="3"/>
        <v>1</v>
      </c>
      <c r="AB28" s="1575">
        <f t="shared" si="4"/>
        <v>1</v>
      </c>
      <c r="AC28" s="1575">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23"/>
      <c r="Q29" s="1571" t="str">
        <f t="shared" si="11"/>
        <v>有无电梯</v>
      </c>
      <c r="R29" s="1572" t="s">
        <v>8</v>
      </c>
      <c r="S29" s="1573">
        <f t="shared" si="12"/>
        <v>100</v>
      </c>
      <c r="T29" s="1572" t="s">
        <v>8</v>
      </c>
      <c r="U29" s="1573">
        <f t="shared" si="13"/>
        <v>100</v>
      </c>
      <c r="V29" s="1572" t="s">
        <v>8</v>
      </c>
      <c r="W29" s="1573">
        <f t="shared" si="14"/>
        <v>100</v>
      </c>
      <c r="X29" s="1566"/>
      <c r="Y29" s="3423"/>
      <c r="Z29" s="1574" t="str">
        <f t="shared" si="15"/>
        <v>有无电梯</v>
      </c>
      <c r="AA29" s="1575">
        <f t="shared" si="3"/>
        <v>1</v>
      </c>
      <c r="AB29" s="1575">
        <f t="shared" si="4"/>
        <v>1</v>
      </c>
      <c r="AC29" s="1575">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23"/>
      <c r="Q30" s="1571" t="str">
        <f t="shared" si="11"/>
        <v>建筑面积</v>
      </c>
      <c r="R30" s="1572" t="s">
        <v>8</v>
      </c>
      <c r="S30" s="1573" t="e">
        <f t="shared" si="12"/>
        <v>#N/A</v>
      </c>
      <c r="T30" s="1572" t="s">
        <v>8</v>
      </c>
      <c r="U30" s="1573" t="e">
        <f t="shared" si="13"/>
        <v>#N/A</v>
      </c>
      <c r="V30" s="1572" t="s">
        <v>8</v>
      </c>
      <c r="W30" s="1573" t="e">
        <f t="shared" si="14"/>
        <v>#N/A</v>
      </c>
      <c r="X30" s="1566"/>
      <c r="Y30" s="3423"/>
      <c r="Z30" s="1574" t="str">
        <f t="shared" si="15"/>
        <v>建筑面积</v>
      </c>
      <c r="AA30" s="1575" t="e">
        <f t="shared" si="3"/>
        <v>#N/A</v>
      </c>
      <c r="AB30" s="1575" t="e">
        <f t="shared" si="4"/>
        <v>#N/A</v>
      </c>
      <c r="AC30" s="1575" t="e">
        <f t="shared" si="5"/>
        <v>#N/A</v>
      </c>
    </row>
    <row r="31" spans="1:29" s="1219" customFormat="1" ht="15">
      <c r="A31" s="599"/>
      <c r="B31" s="526" t="s">
        <v>825</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23"/>
      <c r="Q31" s="1150" t="str">
        <f t="shared" si="11"/>
        <v>是否封闭</v>
      </c>
      <c r="R31" s="1567" t="s">
        <v>8</v>
      </c>
      <c r="S31" s="1568">
        <f t="shared" si="12"/>
        <v>100</v>
      </c>
      <c r="T31" s="1567" t="s">
        <v>8</v>
      </c>
      <c r="U31" s="1568">
        <f t="shared" si="13"/>
        <v>100</v>
      </c>
      <c r="V31" s="1567" t="s">
        <v>8</v>
      </c>
      <c r="W31" s="1568">
        <f t="shared" si="14"/>
        <v>100</v>
      </c>
      <c r="X31" s="1569"/>
      <c r="Y31" s="3423"/>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23" t="s">
        <v>551</v>
      </c>
      <c r="Q32" s="1571">
        <f t="shared" si="11"/>
        <v>111</v>
      </c>
      <c r="R32" s="1572" t="s">
        <v>8</v>
      </c>
      <c r="S32" s="1573">
        <f t="shared" si="12"/>
        <v>100</v>
      </c>
      <c r="T32" s="1572" t="s">
        <v>8</v>
      </c>
      <c r="U32" s="1573">
        <f t="shared" si="13"/>
        <v>100</v>
      </c>
      <c r="V32" s="1572" t="s">
        <v>8</v>
      </c>
      <c r="W32" s="1573">
        <f t="shared" si="14"/>
        <v>100</v>
      </c>
      <c r="X32" s="1566"/>
      <c r="Y32" s="3423" t="s">
        <v>551</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23"/>
      <c r="Q33" s="1571">
        <f t="shared" si="11"/>
        <v>111</v>
      </c>
      <c r="R33" s="1572" t="s">
        <v>8</v>
      </c>
      <c r="S33" s="1573">
        <f t="shared" si="12"/>
        <v>100</v>
      </c>
      <c r="T33" s="1572" t="s">
        <v>8</v>
      </c>
      <c r="U33" s="1573">
        <f t="shared" si="13"/>
        <v>100</v>
      </c>
      <c r="V33" s="1572" t="s">
        <v>8</v>
      </c>
      <c r="W33" s="1573">
        <f t="shared" si="14"/>
        <v>100</v>
      </c>
      <c r="X33" s="1566"/>
      <c r="Y33" s="3423"/>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23"/>
      <c r="Q34" s="1571">
        <f t="shared" si="11"/>
        <v>111</v>
      </c>
      <c r="R34" s="1572" t="s">
        <v>8</v>
      </c>
      <c r="S34" s="1573">
        <f t="shared" si="12"/>
        <v>100</v>
      </c>
      <c r="T34" s="1572" t="s">
        <v>8</v>
      </c>
      <c r="U34" s="1573">
        <f t="shared" si="13"/>
        <v>100</v>
      </c>
      <c r="V34" s="1572" t="s">
        <v>8</v>
      </c>
      <c r="W34" s="1573">
        <f t="shared" si="14"/>
        <v>100</v>
      </c>
      <c r="X34" s="1566"/>
      <c r="Y34" s="3423"/>
      <c r="Z34" s="1574">
        <f t="shared" si="15"/>
        <v>111</v>
      </c>
      <c r="AA34" s="1575">
        <f t="shared" si="3"/>
        <v>1</v>
      </c>
      <c r="AB34" s="1575">
        <f t="shared" si="4"/>
        <v>1</v>
      </c>
      <c r="AC34" s="1575">
        <f t="shared" si="5"/>
        <v>1</v>
      </c>
    </row>
    <row r="35" spans="1:29" ht="15">
      <c r="A35" s="606" t="s">
        <v>737</v>
      </c>
      <c r="B35" s="886"/>
      <c r="C35" s="2649" t="s">
        <v>1</v>
      </c>
      <c r="D35" s="2650"/>
      <c r="E35" s="2651"/>
      <c r="F35" s="2652"/>
      <c r="G35" s="2653"/>
      <c r="H35" s="2654"/>
      <c r="I35" s="2651"/>
      <c r="J35" s="2654"/>
      <c r="K35" s="1610"/>
      <c r="L35" s="2142"/>
      <c r="M35" s="2143"/>
      <c r="N35" s="2132"/>
      <c r="O35" s="2143"/>
      <c r="P35" s="3418" t="str">
        <f>A35</f>
        <v>成交单价（元/平方米）</v>
      </c>
      <c r="Q35" s="3418"/>
      <c r="R35" s="3500">
        <f>E35</f>
        <v>0</v>
      </c>
      <c r="S35" s="3500"/>
      <c r="T35" s="3500">
        <f>G35</f>
        <v>0</v>
      </c>
      <c r="U35" s="3500"/>
      <c r="V35" s="3500">
        <f>I35</f>
        <v>0</v>
      </c>
      <c r="W35" s="3500"/>
      <c r="X35" s="1558"/>
      <c r="Y35" s="1580"/>
      <c r="Z35" s="1558"/>
      <c r="AA35" s="1558"/>
      <c r="AB35" s="1558"/>
      <c r="AC35" s="1558"/>
    </row>
    <row r="36" spans="1:29" ht="15.75" thickBot="1">
      <c r="A36" s="614" t="s">
        <v>2765</v>
      </c>
      <c r="B36" s="887"/>
      <c r="C36" s="2655" t="e">
        <f>R37</f>
        <v>#DIV/0!</v>
      </c>
      <c r="D36" s="2656"/>
      <c r="E36" s="2657" t="e">
        <f>R36</f>
        <v>#DIV/0!</v>
      </c>
      <c r="F36" s="2657"/>
      <c r="G36" s="2655" t="e">
        <f>T36</f>
        <v>#DIV/0!</v>
      </c>
      <c r="H36" s="2656"/>
      <c r="I36" s="2657" t="e">
        <f>V36</f>
        <v>#DIV/0!</v>
      </c>
      <c r="J36" s="2656"/>
      <c r="K36" s="1611"/>
      <c r="L36" s="2142"/>
      <c r="M36" s="2143"/>
      <c r="N36" s="2132"/>
      <c r="O36" s="2143"/>
      <c r="P36" s="3418" t="str">
        <f>A36</f>
        <v>比较价格（元/平方米）</v>
      </c>
      <c r="Q36" s="3418"/>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1558"/>
      <c r="Y36" s="1558"/>
      <c r="Z36" s="1558"/>
      <c r="AA36" s="1558"/>
      <c r="AB36" s="1558"/>
      <c r="AC36" s="1558"/>
    </row>
    <row r="37" spans="1:29" ht="15.75" thickBot="1">
      <c r="A37" s="620" t="s">
        <v>2938</v>
      </c>
      <c r="B37" s="621"/>
      <c r="C37" s="2658" t="e">
        <f>R37</f>
        <v>#DIV/0!</v>
      </c>
      <c r="D37" s="2658"/>
      <c r="E37" s="2658"/>
      <c r="F37" s="2658"/>
      <c r="G37" s="2658"/>
      <c r="H37" s="2658"/>
      <c r="I37" s="2658"/>
      <c r="J37" s="2658"/>
      <c r="K37" s="1612"/>
      <c r="L37" s="2142"/>
      <c r="M37" s="2143"/>
      <c r="N37" s="2143"/>
      <c r="O37" s="2143"/>
      <c r="P37" s="3441" t="str">
        <f>A37</f>
        <v>估价对象XX用房的比较价格（楼面单价，元/平方米）</v>
      </c>
      <c r="Q37" s="3442"/>
      <c r="R37" s="3499" t="e">
        <f>IF(F1="售价",ROUND(AVERAGE(R36:V36),0),ROUND(AVERAGE(R36:V36),1))</f>
        <v>#DIV/0!</v>
      </c>
      <c r="S37" s="3499"/>
      <c r="T37" s="3499"/>
      <c r="U37" s="3499"/>
      <c r="V37" s="3499"/>
      <c r="W37" s="3499"/>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575</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6" customFormat="1" ht="15">
      <c r="A46" s="644" t="s">
        <v>530</v>
      </c>
      <c r="B46" s="645"/>
      <c r="C46" s="2826" t="str">
        <f>YEAR(C7)&amp;"-"&amp;MONTH(C7)</f>
        <v>2018-1</v>
      </c>
      <c r="D46" s="2828">
        <f>EDATE(C46,-1)</f>
        <v>43070</v>
      </c>
      <c r="E46" s="2828">
        <f t="shared" ref="E46:O46" si="16">EDATE(D46,-1)</f>
        <v>43040</v>
      </c>
      <c r="F46" s="2828">
        <f t="shared" si="16"/>
        <v>43009</v>
      </c>
      <c r="G46" s="2828">
        <f t="shared" si="16"/>
        <v>42979</v>
      </c>
      <c r="H46" s="2828">
        <f t="shared" si="16"/>
        <v>42948</v>
      </c>
      <c r="I46" s="2828">
        <f t="shared" si="16"/>
        <v>42917</v>
      </c>
      <c r="J46" s="2828">
        <f t="shared" si="16"/>
        <v>42887</v>
      </c>
      <c r="K46" s="2828">
        <f t="shared" si="16"/>
        <v>42856</v>
      </c>
      <c r="L46" s="2828">
        <f t="shared" si="16"/>
        <v>42826</v>
      </c>
      <c r="M46" s="2828">
        <f t="shared" si="16"/>
        <v>42795</v>
      </c>
      <c r="N46" s="2828">
        <f t="shared" si="16"/>
        <v>42767</v>
      </c>
      <c r="O46" s="2828">
        <f t="shared" si="16"/>
        <v>42736</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576</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532</v>
      </c>
      <c r="B49" s="647"/>
      <c r="C49" s="659" t="s">
        <v>577</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578</v>
      </c>
      <c r="B51" s="664" t="s">
        <v>535</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2560</v>
      </c>
      <c r="C63" s="707" t="s">
        <v>580</v>
      </c>
      <c r="D63" s="707" t="s">
        <v>581</v>
      </c>
      <c r="E63" s="707" t="s">
        <v>582</v>
      </c>
      <c r="F63" s="707" t="s">
        <v>583</v>
      </c>
      <c r="G63" s="707" t="s">
        <v>584</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619" t="s">
        <v>2561</v>
      </c>
      <c r="C65" s="2620" t="s">
        <v>2562</v>
      </c>
      <c r="D65" s="2620" t="s">
        <v>2563</v>
      </c>
      <c r="E65" s="2620" t="s">
        <v>2564</v>
      </c>
      <c r="F65" s="2620" t="s">
        <v>2565</v>
      </c>
      <c r="G65" s="2620" t="s">
        <v>2566</v>
      </c>
      <c r="H65" s="673"/>
      <c r="I65" s="673"/>
      <c r="J65" s="673"/>
      <c r="K65" s="673"/>
      <c r="L65" s="673"/>
      <c r="M65" s="2623"/>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745</v>
      </c>
      <c r="C67" s="707" t="s">
        <v>580</v>
      </c>
      <c r="D67" s="707" t="s">
        <v>581</v>
      </c>
      <c r="E67" s="707" t="s">
        <v>582</v>
      </c>
      <c r="F67" s="707" t="s">
        <v>583</v>
      </c>
      <c r="G67" s="707" t="s">
        <v>584</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746</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552</v>
      </c>
      <c r="B77" s="664" t="s">
        <v>752</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818</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826</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828</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2" t="s">
        <v>2305</v>
      </c>
      <c r="C1" s="3532" t="s">
        <v>2306</v>
      </c>
      <c r="D1" s="3533"/>
      <c r="E1" s="3533"/>
      <c r="F1" s="3533"/>
      <c r="G1" s="3533"/>
      <c r="H1" s="3533"/>
      <c r="I1" s="3533"/>
      <c r="J1" s="3533"/>
      <c r="K1" s="3533"/>
      <c r="L1" s="3533"/>
      <c r="M1" s="3533"/>
      <c r="N1" s="3533"/>
      <c r="O1" s="3533"/>
      <c r="P1" s="3533"/>
      <c r="Q1" s="3533"/>
      <c r="R1" s="3533"/>
      <c r="S1" s="3534"/>
      <c r="T1" s="2232"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4" t="s">
        <v>2931</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6" t="s">
        <v>2930</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6" t="s">
        <v>2929</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5"/>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4" t="s">
        <v>2944</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4" t="s">
        <v>2928</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4" t="s">
        <v>2927</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2309</v>
      </c>
      <c r="B17" s="2276" t="s">
        <v>2310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829</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830</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831</v>
      </c>
      <c r="B22" s="53">
        <f>SUM(B24:B10000)</f>
        <v>0</v>
      </c>
      <c r="C22" s="3529" t="s">
        <v>20</v>
      </c>
      <c r="D22" s="3530"/>
      <c r="E22" s="3530"/>
      <c r="F22" s="3530"/>
      <c r="G22" s="3530"/>
      <c r="H22" s="3530"/>
      <c r="I22" s="3530"/>
      <c r="J22" s="3530"/>
      <c r="K22" s="3530"/>
      <c r="L22" s="3530"/>
      <c r="M22" s="3530"/>
      <c r="N22" s="3530"/>
      <c r="O22" s="3530"/>
      <c r="P22" s="3530"/>
      <c r="Q22" s="3531"/>
      <c r="R22" s="489" t="e">
        <f>ROUND(S22*10000/B22,0)</f>
        <v>#DIV/0!</v>
      </c>
      <c r="S22" s="53">
        <f>SUM(S24:S10000)</f>
        <v>0</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4"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四川峨眉山宏远实业有限公司：</v>
      </c>
    </row>
    <row r="4" spans="1:4" ht="37.5">
      <c r="A4" s="1790" t="str">
        <f>"受贵公司委托，我公司对"&amp;项目基本情况!K2&amp;项目基本情况!B9&amp;"进行了预评估。"</f>
        <v>受贵公司委托，我公司对四川省峨眉山市峨山镇保宁村2宗住宅、商业出让国有建设用地使用权抵押价格进行了预评估。</v>
      </c>
    </row>
    <row r="5" spans="1:4" ht="18.75">
      <c r="A5" s="1793" t="s">
        <v>1907</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峨眉山市峨山镇保宁村2宗住宅、商业出让国有建设用地使用权。根据《国有土地使用证》[峨眉国用（2014）第73369、73373、86590号]，估价对象（分摊）出让国有建设用地使用权面积为87492平方米。根据《国有建设用地使用权出让合同》[电子监管号：]及附件，估价对象规划建筑面积为104990.4平方米。</v>
      </c>
    </row>
    <row r="7" spans="1:4" ht="93.75">
      <c r="A7" s="2897" t="s">
        <v>2753</v>
      </c>
    </row>
    <row r="8" spans="1:4" ht="18.75">
      <c r="A8" s="1793" t="s">
        <v>1908</v>
      </c>
    </row>
    <row r="9" spans="1:4" ht="56.25">
      <c r="A9" s="1795"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2028</v>
      </c>
    </row>
    <row r="11" spans="1:4" ht="18.75">
      <c r="A11" s="1779" t="str">
        <f>TEXT(项目基本情况!D3,"yyyy年m月d日;;")&amp;IF(项目基本情况!B3=项目基本情况!D3,"（评估专业人员勘察现场之日）","")</f>
        <v>2018年1月4日（评估专业人员勘察现场之日）</v>
      </c>
    </row>
    <row r="12" spans="1:4" ht="18.75">
      <c r="A12" s="1796" t="s">
        <v>2027</v>
      </c>
    </row>
    <row r="13" spans="1:4" ht="18.75">
      <c r="A13" s="1790" t="s">
        <v>2073</v>
      </c>
    </row>
    <row r="14" spans="1:4" ht="37.5">
      <c r="A14" s="1790" t="str">
        <f>"根据"&amp;项目基本情况!F12&amp;"，本次评估估价对象证载（地类）用途为"&amp;项目基本情况!B12&amp;"。"</f>
        <v>根据《国有土地使用证》[峨眉国用（2012）第57823、57824号]，本次评估估价对象证载（地类）用途为商住。</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宗地内有需要移除的树木。</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2075</v>
      </c>
    </row>
    <row r="20" spans="1:1" ht="7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峨眉国用（2014）第73369、73373、86590号]，估价对象（分摊）出让国有建设用地使用权面积为87492平方米。根据《国有建设用地使用权出让合同》[电子监管号：]及附件，估价对象规划建筑面积为104990.4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2076</v>
      </c>
    </row>
    <row r="23" spans="1:1" ht="18.75">
      <c r="A23" s="2899" t="s">
        <v>2754</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2018年1月4日，在规划利用条件下、设定土地开发程度为红线外“七通”、宗地内场地平整，设定用途为住宅、商业，剩余土地使用年限为住宅66.4年，商业36.4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2793</v>
      </c>
      <c r="C1" s="3028">
        <f>项目基本情况!D3</f>
        <v>43104</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2824</v>
      </c>
      <c r="C2" s="3029">
        <f>'数据-取费表'!B22</f>
        <v>2</v>
      </c>
      <c r="D2" s="3024" t="s">
        <v>2794</v>
      </c>
      <c r="E2" s="3027">
        <f ca="1">INDIRECT("I"&amp;$I$1)/100</f>
        <v>4.7500000000000001E-2</v>
      </c>
      <c r="G2" s="2964"/>
      <c r="H2" s="2964"/>
      <c r="I2" s="2964" t="s">
        <v>2795</v>
      </c>
      <c r="K2" s="2964"/>
      <c r="L2" s="2964"/>
      <c r="M2" s="2964"/>
      <c r="N2" s="2964" t="s">
        <v>2796</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2826</v>
      </c>
      <c r="C3" s="3026">
        <f>'数据-取费表'!B19</f>
        <v>0</v>
      </c>
      <c r="D3" s="3024" t="s">
        <v>2794</v>
      </c>
      <c r="E3" s="3027">
        <f ca="1">INDIRECT("J"&amp;$J$1)/100</f>
        <v>0</v>
      </c>
      <c r="G3" s="2966" t="s">
        <v>2797</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2825</v>
      </c>
      <c r="C4" s="3027">
        <f ca="1">N4/100</f>
        <v>1.4999999999999999E-2</v>
      </c>
      <c r="G4" s="2972" t="s">
        <v>2798</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2799</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2800</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2801</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2802</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2803</v>
      </c>
      <c r="C10" s="2991"/>
      <c r="D10" s="2991"/>
      <c r="E10" s="2991"/>
      <c r="F10" s="2991"/>
      <c r="G10" s="2991"/>
      <c r="H10" s="2991"/>
      <c r="I10" s="2965"/>
      <c r="J10" s="2965"/>
      <c r="K10" s="2991"/>
      <c r="L10" s="2992" t="s">
        <v>2804</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2805</v>
      </c>
      <c r="C11" s="2996" t="s">
        <v>2806</v>
      </c>
      <c r="D11" s="2997" t="s">
        <v>2807</v>
      </c>
      <c r="E11" s="2998"/>
      <c r="F11" s="2997" t="s">
        <v>2808</v>
      </c>
      <c r="G11" s="2999"/>
      <c r="H11" s="2998"/>
      <c r="I11" s="2997" t="s">
        <v>2809</v>
      </c>
      <c r="J11" s="2998"/>
      <c r="K11" s="2994"/>
      <c r="L11" s="2995" t="s">
        <v>2805</v>
      </c>
      <c r="M11" s="2996" t="s">
        <v>2806</v>
      </c>
      <c r="N11" s="2995" t="s">
        <v>2810</v>
      </c>
      <c r="O11" s="2997" t="s">
        <v>2811</v>
      </c>
      <c r="P11" s="2999"/>
      <c r="Q11" s="2999"/>
      <c r="R11" s="2999"/>
      <c r="S11" s="2999"/>
      <c r="T11" s="2998"/>
      <c r="U11" s="2997" t="s">
        <v>2812</v>
      </c>
      <c r="V11" s="2999"/>
      <c r="W11" s="2998"/>
      <c r="X11" s="2995" t="s">
        <v>2813</v>
      </c>
      <c r="Y11" s="2995" t="s">
        <v>2814</v>
      </c>
      <c r="Z11" s="2995" t="s">
        <v>2815</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2816</v>
      </c>
      <c r="E12" s="3004" t="s">
        <v>2817</v>
      </c>
      <c r="F12" s="3004" t="s">
        <v>2818</v>
      </c>
      <c r="G12" s="3004" t="s">
        <v>2819</v>
      </c>
      <c r="H12" s="3004" t="s">
        <v>2801</v>
      </c>
      <c r="I12" s="3005" t="s">
        <v>2820</v>
      </c>
      <c r="J12" s="3005" t="s">
        <v>2820</v>
      </c>
      <c r="K12" s="3001"/>
      <c r="L12" s="3002"/>
      <c r="M12" s="3003"/>
      <c r="N12" s="3002"/>
      <c r="O12" s="3005" t="s">
        <v>2821</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2822</v>
      </c>
      <c r="C13" s="3009">
        <v>42301</v>
      </c>
      <c r="D13" s="3010">
        <v>4.3499999999999996</v>
      </c>
      <c r="E13" s="3010">
        <v>4.3499999999999996</v>
      </c>
      <c r="F13" s="3010">
        <v>4.75</v>
      </c>
      <c r="G13" s="3010">
        <v>4.75</v>
      </c>
      <c r="H13" s="3010">
        <v>4.9000000000000004</v>
      </c>
      <c r="I13" s="3010">
        <v>2.75</v>
      </c>
      <c r="J13" s="3010">
        <v>3.25</v>
      </c>
      <c r="K13" s="3007"/>
      <c r="L13" s="3008" t="s">
        <v>2822</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2823</v>
      </c>
      <c r="Y42" s="3014" t="s">
        <v>2823</v>
      </c>
      <c r="Z42" s="3014" t="s">
        <v>2823</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2823</v>
      </c>
      <c r="Y43" s="3014" t="s">
        <v>2823</v>
      </c>
      <c r="Z43" s="3014" t="s">
        <v>2823</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2823</v>
      </c>
      <c r="Y44" s="3014" t="s">
        <v>2823</v>
      </c>
      <c r="Z44" s="3014" t="s">
        <v>2823</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2823</v>
      </c>
      <c r="Y45" s="3014" t="s">
        <v>2823</v>
      </c>
      <c r="Z45" s="3014" t="s">
        <v>2823</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2823</v>
      </c>
      <c r="Y46" s="3014" t="s">
        <v>2823</v>
      </c>
      <c r="Z46" s="3014" t="s">
        <v>2823</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2823</v>
      </c>
      <c r="Y47" s="3014" t="s">
        <v>2823</v>
      </c>
      <c r="Z47" s="3014" t="s">
        <v>2823</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2823</v>
      </c>
      <c r="Y48" s="3014" t="s">
        <v>2823</v>
      </c>
      <c r="Z48" s="3014" t="s">
        <v>2823</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2823</v>
      </c>
      <c r="Y49" s="3014" t="s">
        <v>2823</v>
      </c>
      <c r="Z49" s="3014" t="s">
        <v>2823</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2823</v>
      </c>
      <c r="Y50" s="3014" t="s">
        <v>2823</v>
      </c>
      <c r="Z50" s="3014" t="s">
        <v>2823</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2823</v>
      </c>
      <c r="V51" s="3014" t="s">
        <v>2823</v>
      </c>
      <c r="W51" s="3014" t="s">
        <v>2823</v>
      </c>
      <c r="X51" s="3014" t="s">
        <v>2823</v>
      </c>
      <c r="Y51" s="3014" t="s">
        <v>2823</v>
      </c>
      <c r="Z51" s="3014" t="s">
        <v>2823</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2823</v>
      </c>
      <c r="J55" s="3014" t="s">
        <v>2823</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A1:R47"/>
  <sheetViews>
    <sheetView topLeftCell="M1" workbookViewId="0">
      <selection sqref="A1:R33"/>
    </sheetView>
  </sheetViews>
  <sheetFormatPr defaultRowHeight="13.5"/>
  <cols>
    <col min="1" max="1" width="4.125" style="2963" customWidth="1"/>
    <col min="2" max="2" width="6.875" style="2963" customWidth="1"/>
    <col min="3" max="3" width="4.125" style="2963" customWidth="1"/>
    <col min="4" max="4" width="10.5" style="2963" customWidth="1"/>
    <col min="5" max="5" width="20.75" style="2963" customWidth="1"/>
    <col min="6" max="6" width="28.25" style="2963" customWidth="1"/>
    <col min="7" max="7" width="19.125" style="2963" customWidth="1"/>
    <col min="8" max="8" width="7.5" style="2963" customWidth="1"/>
    <col min="9" max="9" width="9.625" style="2963" customWidth="1"/>
    <col min="10" max="11" width="11.625" style="2963" customWidth="1"/>
    <col min="12" max="13" width="11.875" style="2963" customWidth="1"/>
    <col min="14" max="14" width="26.75" style="2963" customWidth="1"/>
    <col min="15" max="15" width="4.75" style="2963" customWidth="1"/>
    <col min="16" max="16" width="5.125" style="2963" customWidth="1"/>
    <col min="17" max="17" width="5.25" style="2963" customWidth="1"/>
    <col min="18" max="16384" width="9" style="2963"/>
  </cols>
  <sheetData>
    <row r="1" spans="1:18">
      <c r="A1" s="3177" t="s">
        <v>3086</v>
      </c>
      <c r="B1" s="3177"/>
      <c r="C1" s="2963" t="s">
        <v>2976</v>
      </c>
      <c r="D1" s="2963" t="s">
        <v>2977</v>
      </c>
      <c r="E1" s="2963" t="s">
        <v>2978</v>
      </c>
      <c r="F1" s="2963" t="s">
        <v>2979</v>
      </c>
      <c r="G1" s="2963" t="s">
        <v>2980</v>
      </c>
      <c r="H1" s="2963" t="s">
        <v>2981</v>
      </c>
      <c r="I1" s="2963" t="s">
        <v>2982</v>
      </c>
      <c r="J1" s="2963" t="s">
        <v>2983</v>
      </c>
      <c r="K1" s="3195" t="s">
        <v>3090</v>
      </c>
      <c r="L1" s="3195" t="s">
        <v>3088</v>
      </c>
      <c r="M1" s="3195" t="s">
        <v>3089</v>
      </c>
      <c r="N1" s="2963" t="s">
        <v>2984</v>
      </c>
      <c r="O1" s="2963" t="s">
        <v>2985</v>
      </c>
      <c r="P1" s="2963" t="s">
        <v>2986</v>
      </c>
      <c r="Q1" s="2963" t="s">
        <v>2987</v>
      </c>
      <c r="R1" s="2963" t="s">
        <v>2988</v>
      </c>
    </row>
    <row r="2" spans="1:18" s="3183" customFormat="1">
      <c r="A2" s="3535">
        <v>1</v>
      </c>
      <c r="B2" s="3540" t="s">
        <v>3233</v>
      </c>
      <c r="C2" s="3183">
        <v>1</v>
      </c>
      <c r="D2" s="3201" t="s">
        <v>3109</v>
      </c>
      <c r="E2" s="3183" t="s">
        <v>2989</v>
      </c>
      <c r="F2" s="3201" t="s">
        <v>3105</v>
      </c>
      <c r="G2" s="3201" t="s">
        <v>3100</v>
      </c>
      <c r="H2" s="3184" t="s">
        <v>2990</v>
      </c>
      <c r="I2" s="3183" t="s">
        <v>2991</v>
      </c>
      <c r="J2" s="3185">
        <v>15509</v>
      </c>
      <c r="K2" s="3185">
        <f>ROUND(J2*O2,2)</f>
        <v>31018</v>
      </c>
      <c r="L2" s="3185">
        <f>K2*0.95</f>
        <v>29467.1</v>
      </c>
      <c r="M2" s="3185">
        <f>K2-L2</f>
        <v>1550.9000000000015</v>
      </c>
      <c r="N2" s="3186" t="s">
        <v>2992</v>
      </c>
      <c r="O2" s="3183">
        <v>2</v>
      </c>
      <c r="P2" s="3187">
        <v>0.4</v>
      </c>
      <c r="Q2" s="3183">
        <f>O2/P2</f>
        <v>5</v>
      </c>
    </row>
    <row r="3" spans="1:18" s="3183" customFormat="1">
      <c r="A3" s="3535"/>
      <c r="B3" s="3535"/>
      <c r="C3" s="3183">
        <v>2</v>
      </c>
      <c r="D3" s="3201" t="s">
        <v>3110</v>
      </c>
      <c r="E3" s="3201" t="s">
        <v>3094</v>
      </c>
      <c r="F3" s="3201" t="s">
        <v>3106</v>
      </c>
      <c r="G3" s="3183" t="s">
        <v>2993</v>
      </c>
      <c r="H3" s="3184" t="s">
        <v>2994</v>
      </c>
      <c r="I3" s="3183" t="s">
        <v>2991</v>
      </c>
      <c r="J3" s="3185">
        <v>42406</v>
      </c>
      <c r="K3" s="3185">
        <f t="shared" ref="K3:K4" si="0">ROUND(J3*O3,2)</f>
        <v>81419.520000000004</v>
      </c>
      <c r="L3" s="3185">
        <f>ROUND(K3*0.95,2)</f>
        <v>77348.539999999994</v>
      </c>
      <c r="M3" s="3185">
        <f t="shared" ref="M3:M4" si="1">K3-L3</f>
        <v>4070.9800000000105</v>
      </c>
      <c r="N3" s="3186" t="s">
        <v>2992</v>
      </c>
      <c r="O3" s="3183">
        <v>1.92</v>
      </c>
      <c r="P3" s="3187">
        <v>0.4</v>
      </c>
      <c r="Q3" s="3183">
        <f>O3/P3</f>
        <v>4.8</v>
      </c>
    </row>
    <row r="4" spans="1:18" s="3183" customFormat="1">
      <c r="A4" s="3535"/>
      <c r="B4" s="3535"/>
      <c r="C4" s="3183">
        <v>3</v>
      </c>
      <c r="D4" s="3201" t="s">
        <v>3111</v>
      </c>
      <c r="E4" s="3183" t="s">
        <v>3029</v>
      </c>
      <c r="F4" s="3201" t="s">
        <v>3107</v>
      </c>
      <c r="G4" s="3183" t="s">
        <v>3058</v>
      </c>
      <c r="H4" s="3184" t="s">
        <v>3059</v>
      </c>
      <c r="I4" s="3183" t="s">
        <v>3043</v>
      </c>
      <c r="J4" s="3185">
        <v>2844</v>
      </c>
      <c r="K4" s="3185">
        <f t="shared" si="0"/>
        <v>5688</v>
      </c>
      <c r="L4" s="3185">
        <f t="shared" ref="L4" si="2">K4*0.95</f>
        <v>5403.5999999999995</v>
      </c>
      <c r="M4" s="3185">
        <f t="shared" si="1"/>
        <v>284.40000000000055</v>
      </c>
      <c r="N4" s="3186" t="s">
        <v>3044</v>
      </c>
      <c r="O4" s="3183">
        <v>2</v>
      </c>
      <c r="P4" s="3187">
        <v>0.4</v>
      </c>
      <c r="Q4" s="3183">
        <f>O4/P4</f>
        <v>5</v>
      </c>
      <c r="R4" s="3187" t="s">
        <v>3045</v>
      </c>
    </row>
    <row r="5" spans="1:18">
      <c r="A5" s="3177" t="s">
        <v>3087</v>
      </c>
      <c r="B5" s="3177"/>
      <c r="J5" s="2963">
        <f>SUM(J2:J4)</f>
        <v>60759</v>
      </c>
      <c r="K5" s="2963">
        <f t="shared" ref="K5:M5" si="3">SUM(K2:K4)</f>
        <v>118125.52</v>
      </c>
      <c r="L5" s="2963">
        <f t="shared" si="3"/>
        <v>112219.23999999999</v>
      </c>
      <c r="M5" s="2963">
        <f t="shared" si="3"/>
        <v>5906.2800000000125</v>
      </c>
    </row>
    <row r="6" spans="1:18" s="3170" customFormat="1">
      <c r="A6" s="3536">
        <v>2</v>
      </c>
      <c r="B6" s="3541" t="s">
        <v>3234</v>
      </c>
      <c r="C6" s="3170">
        <v>4</v>
      </c>
      <c r="D6" s="3170" t="s">
        <v>3015</v>
      </c>
      <c r="E6" s="3170" t="s">
        <v>2989</v>
      </c>
      <c r="F6" s="3170" t="s">
        <v>3016</v>
      </c>
      <c r="G6" s="3170" t="s">
        <v>3017</v>
      </c>
      <c r="H6" s="3171" t="s">
        <v>3018</v>
      </c>
      <c r="I6" s="3170" t="s">
        <v>3019</v>
      </c>
      <c r="J6" s="3172">
        <v>5676.4</v>
      </c>
      <c r="K6" s="3172">
        <f>ROUND(J6*O6,2)</f>
        <v>17029.2</v>
      </c>
      <c r="L6" s="3172">
        <f>ROUND(K6*0.95,2)</f>
        <v>16177.74</v>
      </c>
      <c r="M6" s="3172">
        <f>K6-L6</f>
        <v>851.46000000000095</v>
      </c>
      <c r="N6" s="3173" t="s">
        <v>3020</v>
      </c>
      <c r="O6" s="3170">
        <v>3</v>
      </c>
      <c r="P6" s="3174">
        <v>0.3</v>
      </c>
      <c r="Q6" s="3170">
        <f t="shared" ref="Q6:Q11" si="4">O6/P6</f>
        <v>10</v>
      </c>
    </row>
    <row r="7" spans="1:18" s="3170" customFormat="1">
      <c r="A7" s="3536"/>
      <c r="B7" s="3536"/>
      <c r="C7" s="3170">
        <v>5</v>
      </c>
      <c r="D7" s="3170" t="s">
        <v>3021</v>
      </c>
      <c r="E7" s="3170" t="s">
        <v>3022</v>
      </c>
      <c r="F7" s="3170" t="s">
        <v>3023</v>
      </c>
      <c r="G7" s="3170" t="s">
        <v>3024</v>
      </c>
      <c r="H7" s="3171" t="s">
        <v>3025</v>
      </c>
      <c r="I7" s="3170" t="s">
        <v>3026</v>
      </c>
      <c r="J7" s="3172">
        <v>12207.5</v>
      </c>
      <c r="K7" s="3172">
        <f t="shared" ref="K7:K11" si="5">ROUND(J7*O7,2)</f>
        <v>36622.5</v>
      </c>
      <c r="L7" s="3172">
        <f t="shared" ref="L7:L11" si="6">ROUND(K7*0.95,2)</f>
        <v>34791.379999999997</v>
      </c>
      <c r="M7" s="3172">
        <f t="shared" ref="M7:M11" si="7">K7-L7</f>
        <v>1831.1200000000026</v>
      </c>
      <c r="N7" s="3173" t="s">
        <v>3027</v>
      </c>
      <c r="O7" s="3170">
        <v>3</v>
      </c>
      <c r="P7" s="3174">
        <v>0.4</v>
      </c>
      <c r="Q7" s="3170">
        <f t="shared" si="4"/>
        <v>7.5</v>
      </c>
    </row>
    <row r="8" spans="1:18" s="3170" customFormat="1">
      <c r="A8" s="3536"/>
      <c r="B8" s="3536"/>
      <c r="C8" s="3170">
        <v>6</v>
      </c>
      <c r="D8" s="3170" t="s">
        <v>3028</v>
      </c>
      <c r="E8" s="3170" t="s">
        <v>3029</v>
      </c>
      <c r="F8" s="3170" t="s">
        <v>3030</v>
      </c>
      <c r="G8" s="3170" t="s">
        <v>3031</v>
      </c>
      <c r="H8" s="3171" t="s">
        <v>3032</v>
      </c>
      <c r="I8" s="3170" t="s">
        <v>3033</v>
      </c>
      <c r="J8" s="3172">
        <v>93868</v>
      </c>
      <c r="K8" s="3172">
        <f t="shared" si="5"/>
        <v>281604</v>
      </c>
      <c r="L8" s="3172">
        <f t="shared" si="6"/>
        <v>267523.8</v>
      </c>
      <c r="M8" s="3172">
        <f t="shared" si="7"/>
        <v>14080.200000000012</v>
      </c>
      <c r="N8" s="3173" t="s">
        <v>3034</v>
      </c>
      <c r="O8" s="3170">
        <v>3</v>
      </c>
      <c r="P8" s="3174">
        <v>0.3</v>
      </c>
      <c r="Q8" s="3170">
        <f t="shared" si="4"/>
        <v>10</v>
      </c>
    </row>
    <row r="9" spans="1:18" s="3170" customFormat="1">
      <c r="A9" s="3536"/>
      <c r="B9" s="3536"/>
      <c r="C9" s="3170">
        <v>7</v>
      </c>
      <c r="D9" s="3170" t="s">
        <v>3035</v>
      </c>
      <c r="E9" s="3170" t="s">
        <v>3029</v>
      </c>
      <c r="F9" s="3170" t="s">
        <v>3036</v>
      </c>
      <c r="G9" s="3170" t="s">
        <v>3037</v>
      </c>
      <c r="H9" s="3171" t="s">
        <v>3038</v>
      </c>
      <c r="I9" s="3170" t="s">
        <v>3033</v>
      </c>
      <c r="J9" s="3172">
        <v>37315.599999999999</v>
      </c>
      <c r="K9" s="3172">
        <f t="shared" si="5"/>
        <v>111946.8</v>
      </c>
      <c r="L9" s="3172">
        <f t="shared" si="6"/>
        <v>106349.46</v>
      </c>
      <c r="M9" s="3172">
        <f t="shared" si="7"/>
        <v>5597.3399999999965</v>
      </c>
      <c r="N9" s="3173" t="s">
        <v>3034</v>
      </c>
      <c r="O9" s="3170">
        <v>3</v>
      </c>
      <c r="P9" s="3174">
        <v>0.4</v>
      </c>
      <c r="Q9" s="3170">
        <f t="shared" si="4"/>
        <v>7.5</v>
      </c>
    </row>
    <row r="10" spans="1:18" s="3170" customFormat="1">
      <c r="A10" s="3536"/>
      <c r="B10" s="3536"/>
      <c r="C10" s="3170">
        <v>8</v>
      </c>
      <c r="D10" s="3170" t="s">
        <v>3040</v>
      </c>
      <c r="E10" s="3170" t="s">
        <v>3029</v>
      </c>
      <c r="F10" s="3170" t="s">
        <v>3041</v>
      </c>
      <c r="G10" s="3170" t="s">
        <v>3039</v>
      </c>
      <c r="H10" s="3171" t="s">
        <v>3042</v>
      </c>
      <c r="I10" s="3170" t="s">
        <v>3043</v>
      </c>
      <c r="J10" s="3172">
        <v>4267.1000000000004</v>
      </c>
      <c r="K10" s="3172">
        <f t="shared" si="5"/>
        <v>12801.3</v>
      </c>
      <c r="L10" s="3172">
        <f t="shared" si="6"/>
        <v>12161.24</v>
      </c>
      <c r="M10" s="3172">
        <f t="shared" si="7"/>
        <v>640.05999999999949</v>
      </c>
      <c r="N10" s="3173" t="s">
        <v>3044</v>
      </c>
      <c r="O10" s="3170">
        <v>3</v>
      </c>
      <c r="P10" s="3174">
        <v>0.4</v>
      </c>
      <c r="Q10" s="3170">
        <f t="shared" si="4"/>
        <v>7.5</v>
      </c>
      <c r="R10" s="3174" t="s">
        <v>3045</v>
      </c>
    </row>
    <row r="11" spans="1:18" s="3170" customFormat="1">
      <c r="A11" s="3536"/>
      <c r="B11" s="3536"/>
      <c r="C11" s="3170">
        <v>9</v>
      </c>
      <c r="D11" s="3170" t="s">
        <v>3054</v>
      </c>
      <c r="E11" s="3170" t="s">
        <v>3029</v>
      </c>
      <c r="F11" s="3170" t="s">
        <v>3055</v>
      </c>
      <c r="G11" s="3170" t="s">
        <v>3056</v>
      </c>
      <c r="H11" s="3171" t="s">
        <v>3057</v>
      </c>
      <c r="I11" s="3170" t="s">
        <v>3043</v>
      </c>
      <c r="J11" s="3172">
        <v>19342.099999999999</v>
      </c>
      <c r="K11" s="3172">
        <f t="shared" si="5"/>
        <v>58026.3</v>
      </c>
      <c r="L11" s="3172">
        <f t="shared" si="6"/>
        <v>55124.99</v>
      </c>
      <c r="M11" s="3172">
        <f t="shared" si="7"/>
        <v>2901.3100000000049</v>
      </c>
      <c r="N11" s="3173" t="s">
        <v>3044</v>
      </c>
      <c r="O11" s="3170">
        <v>3</v>
      </c>
      <c r="P11" s="3174">
        <v>0.3</v>
      </c>
      <c r="Q11" s="3170">
        <f t="shared" si="4"/>
        <v>10</v>
      </c>
      <c r="R11" s="3174" t="s">
        <v>3045</v>
      </c>
    </row>
    <row r="12" spans="1:18">
      <c r="A12" s="3177" t="s">
        <v>3087</v>
      </c>
      <c r="B12" s="3177"/>
      <c r="J12" s="2963">
        <f>SUM(J6:J11)</f>
        <v>172676.7</v>
      </c>
      <c r="K12" s="2963">
        <f t="shared" ref="K12:M12" si="8">SUM(K6:K11)</f>
        <v>518030.1</v>
      </c>
      <c r="L12" s="2963">
        <f t="shared" si="8"/>
        <v>492128.61</v>
      </c>
      <c r="M12" s="2963">
        <f t="shared" si="8"/>
        <v>25901.490000000013</v>
      </c>
    </row>
    <row r="13" spans="1:18" s="3188" customFormat="1">
      <c r="A13" s="3537">
        <v>3</v>
      </c>
      <c r="B13" s="3542" t="s">
        <v>3234</v>
      </c>
      <c r="C13" s="3188">
        <v>10</v>
      </c>
      <c r="D13" s="3188" t="s">
        <v>3046</v>
      </c>
      <c r="E13" s="3188" t="s">
        <v>3029</v>
      </c>
      <c r="F13" s="3188" t="s">
        <v>3047</v>
      </c>
      <c r="G13" s="3188" t="s">
        <v>3048</v>
      </c>
      <c r="H13" s="3189" t="s">
        <v>3049</v>
      </c>
      <c r="I13" s="3188" t="s">
        <v>3043</v>
      </c>
      <c r="J13" s="3190">
        <v>280.2</v>
      </c>
      <c r="K13" s="3190">
        <f>ROUND(J13*O13,2)</f>
        <v>840.6</v>
      </c>
      <c r="L13" s="3190">
        <f>ROUND(K13*0.51,2)</f>
        <v>428.71</v>
      </c>
      <c r="M13" s="3190">
        <f>K13-L13</f>
        <v>411.89000000000004</v>
      </c>
      <c r="N13" s="3191" t="s">
        <v>3044</v>
      </c>
      <c r="O13" s="3188">
        <v>3</v>
      </c>
      <c r="P13" s="3192">
        <v>0.3</v>
      </c>
      <c r="Q13" s="3188">
        <f>O13/P13</f>
        <v>10</v>
      </c>
      <c r="R13" s="3192" t="s">
        <v>3050</v>
      </c>
    </row>
    <row r="14" spans="1:18" s="3188" customFormat="1">
      <c r="A14" s="3537"/>
      <c r="B14" s="3537"/>
      <c r="C14" s="3188">
        <v>11</v>
      </c>
      <c r="D14" s="3188" t="s">
        <v>3051</v>
      </c>
      <c r="E14" s="3188" t="s">
        <v>3029</v>
      </c>
      <c r="F14" s="3188" t="s">
        <v>3052</v>
      </c>
      <c r="G14" s="3188" t="s">
        <v>3048</v>
      </c>
      <c r="H14" s="3189" t="s">
        <v>3053</v>
      </c>
      <c r="I14" s="3188" t="s">
        <v>3043</v>
      </c>
      <c r="J14" s="3190">
        <v>3718.6</v>
      </c>
      <c r="K14" s="3190">
        <f t="shared" ref="K14:K16" si="9">ROUND(J14*O14,2)</f>
        <v>11155.8</v>
      </c>
      <c r="L14" s="3190">
        <f t="shared" ref="L14:L16" si="10">ROUND(K14*0.51,2)</f>
        <v>5689.46</v>
      </c>
      <c r="M14" s="3190">
        <f t="shared" ref="M14:M16" si="11">K14-L14</f>
        <v>5466.3399999999992</v>
      </c>
      <c r="N14" s="3191" t="s">
        <v>3044</v>
      </c>
      <c r="O14" s="3188">
        <v>3</v>
      </c>
      <c r="P14" s="3192">
        <v>0.3</v>
      </c>
      <c r="Q14" s="3188">
        <f>O14/P14</f>
        <v>10</v>
      </c>
      <c r="R14" s="3192" t="s">
        <v>3050</v>
      </c>
    </row>
    <row r="15" spans="1:18" s="3188" customFormat="1">
      <c r="A15" s="3537"/>
      <c r="B15" s="3537"/>
      <c r="C15" s="3188">
        <v>12</v>
      </c>
      <c r="D15" s="3188" t="s">
        <v>3060</v>
      </c>
      <c r="E15" s="3188" t="s">
        <v>3029</v>
      </c>
      <c r="F15" s="3188" t="s">
        <v>3061</v>
      </c>
      <c r="G15" s="3188" t="s">
        <v>3039</v>
      </c>
      <c r="H15" s="3189" t="s">
        <v>3062</v>
      </c>
      <c r="I15" s="3188" t="s">
        <v>3043</v>
      </c>
      <c r="J15" s="3190">
        <v>1980.3</v>
      </c>
      <c r="K15" s="3190">
        <f t="shared" si="9"/>
        <v>5940.9</v>
      </c>
      <c r="L15" s="3190">
        <f t="shared" si="10"/>
        <v>3029.86</v>
      </c>
      <c r="M15" s="3190">
        <f t="shared" si="11"/>
        <v>2911.0399999999995</v>
      </c>
      <c r="N15" s="3191" t="s">
        <v>3044</v>
      </c>
      <c r="O15" s="3188">
        <v>3</v>
      </c>
      <c r="P15" s="3192">
        <v>0.4</v>
      </c>
      <c r="Q15" s="3188">
        <f>O15/P15</f>
        <v>7.5</v>
      </c>
      <c r="R15" s="3192" t="s">
        <v>3050</v>
      </c>
    </row>
    <row r="16" spans="1:18" s="3188" customFormat="1">
      <c r="A16" s="3537"/>
      <c r="B16" s="3537"/>
      <c r="C16" s="3188">
        <v>13</v>
      </c>
      <c r="D16" s="3188" t="s">
        <v>3063</v>
      </c>
      <c r="E16" s="3188" t="s">
        <v>3029</v>
      </c>
      <c r="F16" s="3188" t="s">
        <v>3064</v>
      </c>
      <c r="G16" s="3188" t="s">
        <v>3065</v>
      </c>
      <c r="H16" s="3189" t="s">
        <v>3066</v>
      </c>
      <c r="I16" s="3188" t="s">
        <v>3043</v>
      </c>
      <c r="J16" s="3190">
        <v>1047.8</v>
      </c>
      <c r="K16" s="3190">
        <f t="shared" si="9"/>
        <v>3143.4</v>
      </c>
      <c r="L16" s="3190">
        <f t="shared" si="10"/>
        <v>1603.13</v>
      </c>
      <c r="M16" s="3190">
        <f t="shared" si="11"/>
        <v>1540.27</v>
      </c>
      <c r="N16" s="3191" t="s">
        <v>3044</v>
      </c>
      <c r="O16" s="3188">
        <v>3</v>
      </c>
      <c r="P16" s="3192">
        <v>0.3</v>
      </c>
      <c r="Q16" s="3188">
        <f>O16/P16</f>
        <v>10</v>
      </c>
      <c r="R16" s="3192" t="s">
        <v>3050</v>
      </c>
    </row>
    <row r="17" spans="1:18">
      <c r="A17" s="3177" t="s">
        <v>3087</v>
      </c>
      <c r="B17" s="3177"/>
      <c r="J17" s="2963">
        <f>SUM(J13:J16)</f>
        <v>7026.9</v>
      </c>
      <c r="K17" s="2963">
        <f t="shared" ref="K17:M17" si="12">SUM(K13:K16)</f>
        <v>21080.7</v>
      </c>
      <c r="L17" s="2963">
        <f t="shared" si="12"/>
        <v>10751.16</v>
      </c>
      <c r="M17" s="2963">
        <f t="shared" si="12"/>
        <v>10329.539999999999</v>
      </c>
    </row>
    <row r="18" spans="1:18" s="3178" customFormat="1">
      <c r="A18" s="3539">
        <v>4</v>
      </c>
      <c r="B18" s="3543" t="s">
        <v>3235</v>
      </c>
      <c r="C18" s="3178">
        <v>14</v>
      </c>
      <c r="D18" s="3178" t="s">
        <v>2995</v>
      </c>
      <c r="E18" s="3178" t="s">
        <v>2989</v>
      </c>
      <c r="F18" s="3178" t="s">
        <v>2996</v>
      </c>
      <c r="G18" s="3178" t="s">
        <v>2997</v>
      </c>
      <c r="H18" s="3179" t="s">
        <v>2998</v>
      </c>
      <c r="I18" s="3178" t="s">
        <v>2991</v>
      </c>
      <c r="J18" s="3180">
        <v>19015.8</v>
      </c>
      <c r="K18" s="3180">
        <f>ROUND(J18*O18,2)</f>
        <v>26622.12</v>
      </c>
      <c r="L18" s="3180">
        <f>ROUND(K18*0.95,2)</f>
        <v>25291.01</v>
      </c>
      <c r="M18" s="3180">
        <f>K18-L18</f>
        <v>1331.1100000000006</v>
      </c>
      <c r="N18" s="3181" t="s">
        <v>2992</v>
      </c>
      <c r="O18" s="3178">
        <v>1.4</v>
      </c>
      <c r="P18" s="3182">
        <v>0.35</v>
      </c>
      <c r="Q18" s="3178">
        <f>O18/P18</f>
        <v>4</v>
      </c>
    </row>
    <row r="19" spans="1:18" s="3178" customFormat="1">
      <c r="A19" s="3539"/>
      <c r="B19" s="3539"/>
      <c r="C19" s="3178">
        <v>15</v>
      </c>
      <c r="D19" s="3178" t="s">
        <v>3008</v>
      </c>
      <c r="E19" s="3178" t="s">
        <v>2989</v>
      </c>
      <c r="F19" s="3178" t="s">
        <v>3009</v>
      </c>
      <c r="G19" s="3178" t="s">
        <v>3007</v>
      </c>
      <c r="H19" s="3179" t="s">
        <v>3010</v>
      </c>
      <c r="I19" s="3178" t="s">
        <v>2991</v>
      </c>
      <c r="J19" s="3180">
        <v>39937.599999999999</v>
      </c>
      <c r="K19" s="3180">
        <f t="shared" ref="K19:K21" si="13">ROUND(J19*O19,2)</f>
        <v>59906.400000000001</v>
      </c>
      <c r="L19" s="3180">
        <f t="shared" ref="L19:L21" si="14">ROUND(K19*0.95,2)</f>
        <v>56911.08</v>
      </c>
      <c r="M19" s="3180">
        <f t="shared" ref="M19:M21" si="15">K19-L19</f>
        <v>2995.3199999999997</v>
      </c>
      <c r="N19" s="3181" t="s">
        <v>2992</v>
      </c>
      <c r="O19" s="3178">
        <v>1.5</v>
      </c>
      <c r="P19" s="3182">
        <v>0.35</v>
      </c>
      <c r="Q19" s="3178">
        <f>O19/P19</f>
        <v>4.2857142857142856</v>
      </c>
    </row>
    <row r="20" spans="1:18" s="3178" customFormat="1">
      <c r="A20" s="3539"/>
      <c r="B20" s="3539"/>
      <c r="C20" s="3178">
        <v>16</v>
      </c>
      <c r="D20" s="3178" t="s">
        <v>3011</v>
      </c>
      <c r="E20" s="3178" t="s">
        <v>2989</v>
      </c>
      <c r="F20" s="3178" t="s">
        <v>3012</v>
      </c>
      <c r="G20" s="3178" t="s">
        <v>3013</v>
      </c>
      <c r="H20" s="3179" t="s">
        <v>3014</v>
      </c>
      <c r="I20" s="3178" t="s">
        <v>2991</v>
      </c>
      <c r="J20" s="3180">
        <v>11674.2</v>
      </c>
      <c r="K20" s="3180">
        <f t="shared" si="13"/>
        <v>17511.3</v>
      </c>
      <c r="L20" s="3180">
        <f t="shared" si="14"/>
        <v>16635.740000000002</v>
      </c>
      <c r="M20" s="3180">
        <f t="shared" si="15"/>
        <v>875.55999999999767</v>
      </c>
      <c r="N20" s="3181" t="s">
        <v>2992</v>
      </c>
      <c r="O20" s="3178">
        <v>1.5</v>
      </c>
      <c r="P20" s="3182">
        <v>0.35</v>
      </c>
      <c r="Q20" s="3178">
        <f>O20/P20</f>
        <v>4.2857142857142856</v>
      </c>
    </row>
    <row r="21" spans="1:18" s="3178" customFormat="1">
      <c r="A21" s="3539"/>
      <c r="B21" s="3539"/>
      <c r="C21" s="3178">
        <v>19</v>
      </c>
      <c r="D21" s="3178" t="s">
        <v>3003</v>
      </c>
      <c r="E21" s="3178" t="s">
        <v>2989</v>
      </c>
      <c r="F21" s="3178" t="s">
        <v>3004</v>
      </c>
      <c r="G21" s="3178" t="s">
        <v>3005</v>
      </c>
      <c r="H21" s="3179" t="s">
        <v>3006</v>
      </c>
      <c r="I21" s="3178" t="s">
        <v>2991</v>
      </c>
      <c r="J21" s="3180">
        <v>10235.700000000001</v>
      </c>
      <c r="K21" s="3180">
        <f t="shared" si="13"/>
        <v>11873.41</v>
      </c>
      <c r="L21" s="3180">
        <f t="shared" si="14"/>
        <v>11279.74</v>
      </c>
      <c r="M21" s="3180">
        <f t="shared" si="15"/>
        <v>593.67000000000007</v>
      </c>
      <c r="N21" s="3181" t="s">
        <v>2992</v>
      </c>
      <c r="O21" s="3178">
        <v>1.1599999999999999</v>
      </c>
      <c r="P21" s="3182">
        <v>0.35</v>
      </c>
      <c r="Q21" s="3178">
        <f>O21/P21</f>
        <v>3.3142857142857141</v>
      </c>
    </row>
    <row r="22" spans="1:18" s="3166" customFormat="1">
      <c r="A22" s="3194" t="s">
        <v>3087</v>
      </c>
      <c r="B22" s="3194"/>
      <c r="H22" s="3167"/>
      <c r="J22" s="3168">
        <f>SUM(J18:J21)</f>
        <v>80863.299999999988</v>
      </c>
      <c r="K22" s="3168">
        <f t="shared" ref="K22:M22" si="16">SUM(K18:K21)</f>
        <v>115913.23000000001</v>
      </c>
      <c r="L22" s="3168">
        <f t="shared" si="16"/>
        <v>110117.57</v>
      </c>
      <c r="M22" s="3168">
        <f t="shared" si="16"/>
        <v>5795.659999999998</v>
      </c>
      <c r="N22" s="3169"/>
      <c r="P22" s="3193"/>
    </row>
    <row r="23" spans="1:18" s="3178" customFormat="1">
      <c r="A23" s="3539">
        <v>5</v>
      </c>
      <c r="B23" s="3543" t="s">
        <v>3235</v>
      </c>
      <c r="C23" s="3178">
        <v>17</v>
      </c>
      <c r="D23" s="3178" t="s">
        <v>3067</v>
      </c>
      <c r="E23" s="3178" t="s">
        <v>3029</v>
      </c>
      <c r="F23" s="3178" t="s">
        <v>3068</v>
      </c>
      <c r="G23" s="3178" t="s">
        <v>3069</v>
      </c>
      <c r="H23" s="3179" t="s">
        <v>3070</v>
      </c>
      <c r="I23" s="3178" t="s">
        <v>3071</v>
      </c>
      <c r="J23" s="3180">
        <v>4514.2</v>
      </c>
      <c r="K23" s="3180">
        <f>ROUND(J23*O23,2)</f>
        <v>6771.3</v>
      </c>
      <c r="L23" s="3180">
        <f>ROUND(K23*0.51,2)</f>
        <v>3453.36</v>
      </c>
      <c r="M23" s="3180">
        <f>K23-L23</f>
        <v>3317.94</v>
      </c>
      <c r="N23" s="3181" t="s">
        <v>3044</v>
      </c>
      <c r="O23" s="3178">
        <v>1.5</v>
      </c>
      <c r="P23" s="3182">
        <v>0.35</v>
      </c>
      <c r="Q23" s="3178">
        <f t="shared" ref="Q23:Q24" si="17">O23/P23</f>
        <v>4.2857142857142856</v>
      </c>
      <c r="R23" s="3182" t="s">
        <v>3050</v>
      </c>
    </row>
    <row r="24" spans="1:18" s="3178" customFormat="1">
      <c r="A24" s="3539"/>
      <c r="B24" s="3539"/>
      <c r="C24" s="3178">
        <v>18</v>
      </c>
      <c r="D24" s="3178" t="s">
        <v>3072</v>
      </c>
      <c r="E24" s="3178" t="s">
        <v>3029</v>
      </c>
      <c r="F24" s="3178" t="s">
        <v>3073</v>
      </c>
      <c r="G24" s="3178" t="s">
        <v>3074</v>
      </c>
      <c r="H24" s="3179" t="s">
        <v>3075</v>
      </c>
      <c r="I24" s="3178" t="s">
        <v>3071</v>
      </c>
      <c r="J24" s="3180">
        <v>5440.8</v>
      </c>
      <c r="K24" s="3180">
        <f>ROUND(J24*O24,2)</f>
        <v>8161.2</v>
      </c>
      <c r="L24" s="3180">
        <f>ROUND(K24*0.51,2)</f>
        <v>4162.21</v>
      </c>
      <c r="M24" s="3180">
        <f>K24-L24</f>
        <v>3998.99</v>
      </c>
      <c r="N24" s="3181" t="s">
        <v>3044</v>
      </c>
      <c r="O24" s="3178">
        <v>1.5</v>
      </c>
      <c r="P24" s="3182">
        <v>0.35</v>
      </c>
      <c r="Q24" s="3178">
        <f t="shared" si="17"/>
        <v>4.2857142857142856</v>
      </c>
      <c r="R24" s="3182" t="s">
        <v>3050</v>
      </c>
    </row>
    <row r="25" spans="1:18">
      <c r="A25" s="3177" t="s">
        <v>3087</v>
      </c>
      <c r="B25" s="3177"/>
      <c r="J25" s="2963">
        <f>SUM(J23:J24)</f>
        <v>9955</v>
      </c>
      <c r="K25" s="2963">
        <f t="shared" ref="K25:M25" si="18">SUM(K23:K24)</f>
        <v>14932.5</v>
      </c>
      <c r="L25" s="2963">
        <f t="shared" si="18"/>
        <v>7615.57</v>
      </c>
      <c r="M25" s="2963">
        <f t="shared" si="18"/>
        <v>7316.93</v>
      </c>
    </row>
    <row r="26" spans="1:18" s="3196" customFormat="1">
      <c r="A26" s="3196">
        <v>5</v>
      </c>
      <c r="B26" s="3214" t="s">
        <v>3236</v>
      </c>
      <c r="C26" s="3196">
        <v>20</v>
      </c>
      <c r="D26" s="3196" t="s">
        <v>2999</v>
      </c>
      <c r="E26" s="3196" t="s">
        <v>2989</v>
      </c>
      <c r="F26" s="3196" t="s">
        <v>3000</v>
      </c>
      <c r="G26" s="3196" t="s">
        <v>3001</v>
      </c>
      <c r="H26" s="3197" t="s">
        <v>3002</v>
      </c>
      <c r="I26" s="3196" t="s">
        <v>2991</v>
      </c>
      <c r="J26" s="3198">
        <v>4082.9</v>
      </c>
      <c r="K26" s="3198">
        <f>ROUND(J26*O26,2)</f>
        <v>204.15</v>
      </c>
      <c r="L26" s="3198">
        <f>ROUND(K26*0.95,2)</f>
        <v>193.94</v>
      </c>
      <c r="M26" s="3198">
        <f>K26-L26</f>
        <v>10.210000000000008</v>
      </c>
      <c r="N26" s="3199" t="s">
        <v>2992</v>
      </c>
      <c r="O26" s="3196">
        <v>0.05</v>
      </c>
      <c r="P26" s="3200">
        <v>0.05</v>
      </c>
      <c r="Q26" s="3196">
        <f>O26/P26</f>
        <v>1</v>
      </c>
    </row>
    <row r="27" spans="1:18">
      <c r="A27" s="3177" t="s">
        <v>3087</v>
      </c>
      <c r="B27" s="3177"/>
      <c r="J27" s="2963">
        <f>SUM(J26)</f>
        <v>4082.9</v>
      </c>
      <c r="K27" s="2963">
        <f t="shared" ref="K27:M27" si="19">SUM(K26)</f>
        <v>204.15</v>
      </c>
      <c r="L27" s="2963">
        <f t="shared" si="19"/>
        <v>193.94</v>
      </c>
      <c r="M27" s="2963">
        <f t="shared" si="19"/>
        <v>10.210000000000008</v>
      </c>
    </row>
    <row r="28" spans="1:18" s="3175" customFormat="1">
      <c r="A28" s="3538">
        <v>6</v>
      </c>
      <c r="B28" s="3215" t="s">
        <v>3236</v>
      </c>
      <c r="C28" s="3175">
        <v>21</v>
      </c>
      <c r="E28" s="3216" t="s">
        <v>3246</v>
      </c>
      <c r="F28" s="3216" t="s">
        <v>3077</v>
      </c>
      <c r="G28" s="3216" t="s">
        <v>3078</v>
      </c>
      <c r="H28" s="3175" t="s">
        <v>3079</v>
      </c>
      <c r="I28" s="3175" t="s">
        <v>3080</v>
      </c>
      <c r="J28" s="3176">
        <v>49183</v>
      </c>
      <c r="K28" s="3176">
        <f>ROUND(J28*O28,2)</f>
        <v>7377.45</v>
      </c>
      <c r="L28" s="3176">
        <f>ROUND(K28*0.95,2)</f>
        <v>7008.58</v>
      </c>
      <c r="M28" s="3176">
        <f>K28-L28</f>
        <v>368.86999999999989</v>
      </c>
      <c r="N28" s="3175" t="s">
        <v>3081</v>
      </c>
      <c r="O28" s="3175">
        <v>0.15</v>
      </c>
    </row>
    <row r="29" spans="1:18" s="3175" customFormat="1">
      <c r="A29" s="3538"/>
      <c r="B29" s="3215" t="s">
        <v>3237</v>
      </c>
      <c r="C29" s="3175">
        <v>22</v>
      </c>
      <c r="E29" s="3175" t="s">
        <v>3076</v>
      </c>
      <c r="F29" s="3216" t="s">
        <v>3082</v>
      </c>
      <c r="G29" s="3175" t="s">
        <v>3078</v>
      </c>
      <c r="H29" s="3175" t="s">
        <v>3083</v>
      </c>
      <c r="I29" s="3175" t="s">
        <v>3084</v>
      </c>
      <c r="J29" s="3176">
        <v>87492</v>
      </c>
      <c r="K29" s="3176">
        <f>ROUND(J29*O29,2)</f>
        <v>104990.39999999999</v>
      </c>
      <c r="L29" s="3176">
        <f>ROUND(K29*0.95,2)</f>
        <v>99740.88</v>
      </c>
      <c r="M29" s="3176">
        <f>K29-L29</f>
        <v>5249.5199999999895</v>
      </c>
      <c r="N29" s="3175" t="s">
        <v>3081</v>
      </c>
      <c r="O29" s="3175">
        <v>1.2</v>
      </c>
    </row>
    <row r="30" spans="1:18">
      <c r="A30" s="3177" t="s">
        <v>3087</v>
      </c>
      <c r="B30" s="3177"/>
      <c r="J30" s="2963">
        <f>SUM(J28:J29)</f>
        <v>136675</v>
      </c>
      <c r="K30" s="2963">
        <f t="shared" ref="K30:M30" si="20">SUM(K28:K29)</f>
        <v>112367.84999999999</v>
      </c>
      <c r="L30" s="2963">
        <f t="shared" si="20"/>
        <v>106749.46</v>
      </c>
      <c r="M30" s="2963">
        <f t="shared" si="20"/>
        <v>5618.3899999999894</v>
      </c>
    </row>
    <row r="33" spans="8:13">
      <c r="H33" s="3177" t="s">
        <v>3091</v>
      </c>
      <c r="J33" s="2963">
        <f>J5+J12+J17+J22+J25+J27+J30</f>
        <v>472038.80000000005</v>
      </c>
      <c r="K33" s="2963">
        <f t="shared" ref="K33:M33" si="21">K5+K12+K17+K22+K25+K27+K30</f>
        <v>900654.04999999993</v>
      </c>
      <c r="L33" s="2963">
        <f t="shared" si="21"/>
        <v>839775.54999999993</v>
      </c>
      <c r="M33" s="2963">
        <f t="shared" si="21"/>
        <v>60878.500000000015</v>
      </c>
    </row>
    <row r="47" spans="8:13">
      <c r="I47" s="2963" t="s">
        <v>3085</v>
      </c>
      <c r="J47" s="2963" t="e">
        <f>J29+#REF!+J28+J24+J23+J16+J15+J4+J11+J14+J13+#REF!+J10+J9+J8+J7+J6+J19+J20+#REF!+J21+J26+J18+J3+J2</f>
        <v>#REF!</v>
      </c>
    </row>
  </sheetData>
  <mergeCells count="11">
    <mergeCell ref="B2:B4"/>
    <mergeCell ref="B6:B11"/>
    <mergeCell ref="B13:B16"/>
    <mergeCell ref="B18:B21"/>
    <mergeCell ref="B23:B24"/>
    <mergeCell ref="A2:A4"/>
    <mergeCell ref="A6:A11"/>
    <mergeCell ref="A13:A16"/>
    <mergeCell ref="A28:A29"/>
    <mergeCell ref="A18:A21"/>
    <mergeCell ref="A23:A24"/>
  </mergeCells>
  <phoneticPr fontId="233" type="noConversion"/>
  <pageMargins left="0.70866141732283472" right="0.70866141732283472" top="0.74803149606299213" bottom="0.74803149606299213" header="0.31496062992125984" footer="0.31496062992125984"/>
  <pageSetup paperSize="9" scale="60" orientation="landscape"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2" t="s">
        <v>2040</v>
      </c>
      <c r="B1" s="3242"/>
      <c r="C1" s="3242"/>
      <c r="D1" s="3242"/>
      <c r="E1" s="3242"/>
      <c r="F1" s="3242"/>
      <c r="G1" s="3242"/>
      <c r="H1" s="3242"/>
      <c r="I1" s="3242"/>
      <c r="J1" s="3242"/>
      <c r="K1" s="3242"/>
      <c r="L1" s="3242"/>
      <c r="M1" s="3242"/>
      <c r="N1" s="3242"/>
      <c r="O1" s="3242"/>
      <c r="P1" s="3242"/>
      <c r="Q1" s="3242"/>
      <c r="R1" s="3242"/>
    </row>
    <row r="2" spans="1:18">
      <c r="A2" s="1806" t="s">
        <v>2042</v>
      </c>
      <c r="B2" s="1806"/>
      <c r="C2" s="1806"/>
      <c r="D2" s="1806"/>
      <c r="E2" s="1806"/>
      <c r="F2" s="1806"/>
      <c r="G2" s="1806"/>
      <c r="H2" s="1806"/>
      <c r="I2" s="1807"/>
      <c r="J2" s="1807"/>
      <c r="K2" s="1808" t="str">
        <f>"估价期日："&amp;TEXT(项目基本情况!D3,"yyyy年m月d日;;")</f>
        <v>估价期日：2018年1月4日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43" t="s">
        <v>2031</v>
      </c>
      <c r="B3" s="3243" t="s">
        <v>2736</v>
      </c>
      <c r="C3" s="3244" t="s">
        <v>2032</v>
      </c>
      <c r="D3" s="3243" t="s">
        <v>2740</v>
      </c>
      <c r="E3" s="3238" t="s">
        <v>2033</v>
      </c>
      <c r="F3" s="3238"/>
      <c r="G3" s="3238"/>
      <c r="H3" s="3238" t="s">
        <v>2034</v>
      </c>
      <c r="I3" s="3238"/>
      <c r="J3" s="3238"/>
      <c r="K3" s="3244" t="s">
        <v>2035</v>
      </c>
      <c r="L3" s="3244" t="s">
        <v>2036</v>
      </c>
      <c r="M3" s="3243" t="s">
        <v>2737</v>
      </c>
      <c r="N3" s="3245" t="str">
        <f>"（分摊）"&amp;项目基本情况!B16&amp;"国有建设用地使用权面积/㎡"</f>
        <v>（分摊）出让国有建设用地使用权面积/㎡</v>
      </c>
      <c r="O3" s="3243" t="s">
        <v>2065</v>
      </c>
      <c r="P3" s="3244" t="s">
        <v>2045</v>
      </c>
      <c r="Q3" s="3244" t="s">
        <v>2066</v>
      </c>
      <c r="R3" s="3244" t="s">
        <v>2037</v>
      </c>
    </row>
    <row r="4" spans="1:18" ht="36.75" customHeight="1">
      <c r="A4" s="3243"/>
      <c r="B4" s="3243"/>
      <c r="C4" s="3244"/>
      <c r="D4" s="3243"/>
      <c r="E4" s="2672" t="s">
        <v>2044</v>
      </c>
      <c r="F4" s="2672" t="s">
        <v>2749</v>
      </c>
      <c r="G4" s="2672" t="s">
        <v>2038</v>
      </c>
      <c r="H4" s="2672" t="s">
        <v>2039</v>
      </c>
      <c r="I4" s="2672" t="s">
        <v>2750</v>
      </c>
      <c r="J4" s="2672" t="s">
        <v>2038</v>
      </c>
      <c r="K4" s="3244"/>
      <c r="L4" s="3244"/>
      <c r="M4" s="3243"/>
      <c r="N4" s="3245"/>
      <c r="O4" s="3243"/>
      <c r="P4" s="3244"/>
      <c r="Q4" s="3244"/>
      <c r="R4" s="3244"/>
    </row>
    <row r="5" spans="1:18" ht="135" customHeight="1">
      <c r="A5" s="1941" t="s">
        <v>2660</v>
      </c>
      <c r="B5" s="2891" t="s">
        <v>2658</v>
      </c>
      <c r="C5" s="2671">
        <v>22</v>
      </c>
      <c r="D5" s="2670" t="s">
        <v>2659</v>
      </c>
      <c r="E5" s="1809" t="str">
        <f>项目基本情况!B12</f>
        <v>商住</v>
      </c>
      <c r="F5" s="2670">
        <v>258</v>
      </c>
      <c r="G5" s="1809" t="str">
        <f>项目基本情况!B13</f>
        <v>住宅、商业</v>
      </c>
      <c r="H5" s="2670">
        <v>1.5</v>
      </c>
      <c r="I5" s="2670">
        <v>1.5</v>
      </c>
      <c r="J5" s="2670">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红线外七通、宗地红线内场地平整</v>
      </c>
      <c r="M5" s="1809" t="str">
        <f>IF(项目基本情况!B16="出让",项目基本情况!D20,"——")</f>
        <v>住宅66.4年，商业36.4年</v>
      </c>
      <c r="N5" s="1809">
        <f>项目基本情况!C22</f>
        <v>87492</v>
      </c>
      <c r="O5" s="1809">
        <f>项目基本情况!C21</f>
        <v>104990.39999999999</v>
      </c>
      <c r="P5" s="1809">
        <f ca="1">结果表!E42</f>
        <v>3937</v>
      </c>
      <c r="Q5" s="1809">
        <f ca="1">结果表!D42</f>
        <v>3281</v>
      </c>
      <c r="R5" s="1810">
        <f ca="1">结果表!C42</f>
        <v>34446</v>
      </c>
    </row>
    <row r="6" spans="1:18">
      <c r="A6" s="3239" t="str">
        <f>IF(项目基本情况!B9="市场价格","——","抵押价格")</f>
        <v>抵押价格</v>
      </c>
      <c r="B6" s="3240"/>
      <c r="C6" s="3240"/>
      <c r="D6" s="3240"/>
      <c r="E6" s="3240"/>
      <c r="F6" s="3240"/>
      <c r="G6" s="3240"/>
      <c r="H6" s="3240"/>
      <c r="I6" s="3240"/>
      <c r="J6" s="3240"/>
      <c r="K6" s="3240"/>
      <c r="L6" s="3240"/>
      <c r="M6" s="3240"/>
      <c r="N6" s="3240"/>
      <c r="O6" s="3240"/>
      <c r="P6" s="3240"/>
      <c r="Q6" s="3241"/>
      <c r="R6" s="1811">
        <f ca="1">结果表!O39</f>
        <v>34446</v>
      </c>
    </row>
    <row r="7" spans="1:18">
      <c r="A7" s="3239" t="str">
        <f>IF(项目基本情况!B9="市场价格","——",IF(项目基本情况!E8="已注销及未注销","抵押担保权已注销时的抵押价格","——"))</f>
        <v>——</v>
      </c>
      <c r="B7" s="3240"/>
      <c r="C7" s="3240"/>
      <c r="D7" s="3240"/>
      <c r="E7" s="3240"/>
      <c r="F7" s="3240"/>
      <c r="G7" s="3240"/>
      <c r="H7" s="3240"/>
      <c r="I7" s="3240"/>
      <c r="J7" s="3240"/>
      <c r="K7" s="3240"/>
      <c r="L7" s="3240"/>
      <c r="M7" s="3240"/>
      <c r="N7" s="3240"/>
      <c r="O7" s="3240"/>
      <c r="P7" s="3240"/>
      <c r="Q7" s="3241"/>
      <c r="R7" s="1811" t="str">
        <f>结果表!O40</f>
        <v>——</v>
      </c>
    </row>
    <row r="8" spans="1:18">
      <c r="A8" s="3239" t="str">
        <f>IF(项目基本情况!B9="市场价格","——",项目基本情况!E9)</f>
        <v>——</v>
      </c>
      <c r="B8" s="3240"/>
      <c r="C8" s="3240"/>
      <c r="D8" s="3240"/>
      <c r="E8" s="3240"/>
      <c r="F8" s="3240"/>
      <c r="G8" s="3240"/>
      <c r="H8" s="3240"/>
      <c r="I8" s="3240"/>
      <c r="J8" s="3240"/>
      <c r="K8" s="3240"/>
      <c r="L8" s="3240"/>
      <c r="M8" s="3240"/>
      <c r="N8" s="3240"/>
      <c r="O8" s="3240"/>
      <c r="P8" s="3240"/>
      <c r="Q8" s="3241"/>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46" t="s">
        <v>2067</v>
      </c>
      <c r="B1" s="3246"/>
      <c r="C1" s="3246"/>
      <c r="D1" s="3246"/>
    </row>
    <row r="2" spans="1:4" ht="47.25" customHeight="1">
      <c r="A2" s="3250" t="str">
        <f>"1.权利限制："&amp;项目基本情况!L24&amp;"未设定租赁等其他他项权利。"</f>
        <v>1.权利限制：根据估价对象《国有土地使用权》复印件，截至估价期日，估价对象抵押权未见登记。未设定租赁等其他他项权利。</v>
      </c>
      <c r="B2" s="3250"/>
      <c r="C2" s="3250"/>
      <c r="D2" s="3250"/>
    </row>
    <row r="3" spans="1:4" ht="48" customHeight="1">
      <c r="A3" s="3246"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46"/>
      <c r="C3" s="3246"/>
      <c r="D3" s="3246"/>
    </row>
    <row r="4" spans="1:4" ht="36.75" customHeight="1">
      <c r="A4" s="3246" t="str">
        <f>"3.估价规划限制条件：详见"&amp;项目基本情况!E21&amp;"。"</f>
        <v>3.估价规划限制条件：详见《国有建设用地使用权出让合同》[电子监管号：]及附件。</v>
      </c>
      <c r="B4" s="3246"/>
      <c r="C4" s="3246"/>
      <c r="D4" s="3246"/>
    </row>
    <row r="5" spans="1:4">
      <c r="A5" s="3249" t="s">
        <v>2068</v>
      </c>
      <c r="B5" s="3249"/>
      <c r="C5" s="3249"/>
      <c r="D5" s="3249"/>
    </row>
    <row r="6" spans="1:4">
      <c r="A6" s="3246" t="s">
        <v>2046</v>
      </c>
      <c r="B6" s="3246"/>
      <c r="C6" s="3246"/>
      <c r="D6" s="3246"/>
    </row>
    <row r="7" spans="1:4" ht="33" customHeight="1">
      <c r="A7" s="3246" t="s">
        <v>2578</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6"/>
      <c r="C8" s="3246"/>
      <c r="D8" s="3246"/>
    </row>
    <row r="9" spans="1:4" ht="33.75" customHeight="1">
      <c r="A9" s="32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6"/>
      <c r="C9" s="3246"/>
      <c r="D9" s="3246"/>
    </row>
    <row r="10" spans="1:4">
      <c r="A10" s="3246" t="str">
        <f>IF(项目基本情况!B8="抵押","4.估价师所知悉的法定优先受偿款情况为：","——")</f>
        <v>4.估价师所知悉的法定优先受偿款情况为：</v>
      </c>
      <c r="B10" s="3246"/>
      <c r="C10" s="3246"/>
      <c r="D10" s="3246"/>
    </row>
    <row r="11" spans="1:4" ht="37.5" customHeight="1">
      <c r="A11" s="3248" t="str">
        <f>IF(项目基本情况!B8="抵押","（1）"&amp;CONCATENATE(项目基本情况!L24,项目基本情况!L25,项目基本情况!L26),"——")</f>
        <v>（1）根据估价对象《国有土地使用权》复印件，截至估价期日，估价对象抵押权未见登记。</v>
      </c>
      <c r="B11" s="3248"/>
      <c r="C11" s="3248"/>
      <c r="D11" s="3248"/>
    </row>
    <row r="12" spans="1:4" ht="168" customHeight="1">
      <c r="A12" s="3249" t="s">
        <v>2070</v>
      </c>
      <c r="B12" s="3249"/>
      <c r="C12" s="3249"/>
      <c r="D12" s="3249"/>
    </row>
    <row r="13" spans="1:4">
      <c r="A13" s="3247" t="s">
        <v>2751</v>
      </c>
      <c r="B13" s="3247"/>
      <c r="C13" s="3247"/>
      <c r="D13" s="3247"/>
    </row>
    <row r="14" spans="1:4">
      <c r="A14" s="3248" t="str">
        <f>IF(项目基本情况!B8="抵押","综上，"&amp;结果表!K47,"——")</f>
        <v>综上，本次评估不存在估价师知悉的法定优先受偿款</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2707</v>
      </c>
      <c r="B17" s="3246"/>
      <c r="C17" s="3246"/>
      <c r="D17" s="3246"/>
    </row>
    <row r="18" spans="1:4">
      <c r="A18" s="3246" t="s">
        <v>2699</v>
      </c>
      <c r="B18" s="3246"/>
      <c r="C18" s="3246"/>
      <c r="D18" s="3246"/>
    </row>
    <row r="19" spans="1:4">
      <c r="A19" s="2892" t="s">
        <v>2700</v>
      </c>
      <c r="B19" s="2892" t="s">
        <v>2701</v>
      </c>
      <c r="C19" s="2892" t="s">
        <v>2702</v>
      </c>
      <c r="D19" s="2892" t="s">
        <v>2703</v>
      </c>
    </row>
    <row r="20" spans="1:4">
      <c r="A20" s="2892" t="str">
        <f>项目基本情况!B4</f>
        <v>王鹏</v>
      </c>
      <c r="B20" s="2892">
        <f ca="1">项目基本情况!C4</f>
        <v>2002110030</v>
      </c>
      <c r="C20" s="2894"/>
      <c r="D20" s="1799" t="s">
        <v>2708</v>
      </c>
    </row>
    <row r="21" spans="1:4">
      <c r="A21" s="2892" t="str">
        <f>项目基本情况!D4</f>
        <v>郑燚</v>
      </c>
      <c r="B21" s="2892">
        <f>项目基本情况!E4</f>
        <v>2014110011</v>
      </c>
      <c r="C21" s="2894"/>
      <c r="D21" s="1799" t="s">
        <v>2709</v>
      </c>
    </row>
    <row r="23" spans="1:4">
      <c r="A23" s="3246" t="s">
        <v>2704</v>
      </c>
      <c r="B23" s="3246"/>
      <c r="C23" s="3246"/>
      <c r="D23" s="3246"/>
    </row>
    <row r="24" spans="1:4">
      <c r="A24" s="2892" t="s">
        <v>2700</v>
      </c>
      <c r="B24" s="2892" t="s">
        <v>2705</v>
      </c>
      <c r="C24" s="2892" t="s">
        <v>2702</v>
      </c>
      <c r="D24" s="2892" t="s">
        <v>2703</v>
      </c>
    </row>
    <row r="25" spans="1:4">
      <c r="A25" s="2895" t="s">
        <v>2706</v>
      </c>
      <c r="B25" s="2892" t="s">
        <v>953</v>
      </c>
      <c r="C25" s="2894"/>
      <c r="D25" s="1799" t="s">
        <v>2709</v>
      </c>
    </row>
    <row r="29" spans="1:4">
      <c r="D29" s="2893" t="s">
        <v>2041</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258" t="s">
        <v>53</v>
      </c>
      <c r="B15" s="3259" t="s">
        <v>847</v>
      </c>
      <c r="C15" s="3255"/>
    </row>
    <row r="16" spans="1:7" ht="14.25">
      <c r="A16" s="3258"/>
      <c r="B16" s="3256" t="s">
        <v>54</v>
      </c>
      <c r="C16" s="1171" t="s">
        <v>53</v>
      </c>
    </row>
    <row r="17" spans="1:3" ht="14.25">
      <c r="A17" s="3258"/>
      <c r="B17" s="3256"/>
      <c r="C17" s="1171" t="s">
        <v>55</v>
      </c>
    </row>
    <row r="18" spans="1:3" ht="14.25">
      <c r="A18" s="3258"/>
      <c r="B18" s="3256"/>
      <c r="C18" s="1171" t="s">
        <v>56</v>
      </c>
    </row>
    <row r="19" spans="1:3" ht="14.25">
      <c r="A19" s="3258"/>
      <c r="B19" s="3254" t="s">
        <v>57</v>
      </c>
      <c r="C19" s="3255"/>
    </row>
    <row r="20" spans="1:3" ht="14.25">
      <c r="A20" s="1172" t="s">
        <v>58</v>
      </c>
      <c r="B20" s="1173"/>
      <c r="C20" s="1174"/>
    </row>
    <row r="21" spans="1:3" ht="14.25">
      <c r="A21" s="3257" t="s">
        <v>59</v>
      </c>
      <c r="B21" s="3254" t="s">
        <v>60</v>
      </c>
      <c r="C21" s="3255"/>
    </row>
    <row r="22" spans="1:3" ht="14.25">
      <c r="A22" s="3257"/>
      <c r="B22" s="3254" t="s">
        <v>61</v>
      </c>
      <c r="C22" s="3255"/>
    </row>
    <row r="23" spans="1:3" ht="14.25">
      <c r="A23" s="3257"/>
      <c r="B23" s="3254" t="s">
        <v>62</v>
      </c>
      <c r="C23" s="3255"/>
    </row>
    <row r="24" spans="1:3" ht="14.25">
      <c r="A24" s="3257"/>
      <c r="B24" s="3260" t="s">
        <v>63</v>
      </c>
      <c r="C24" s="1175" t="s">
        <v>838</v>
      </c>
    </row>
    <row r="25" spans="1:3" ht="14.25">
      <c r="A25" s="3257"/>
      <c r="B25" s="3261"/>
      <c r="C25" s="1175" t="s">
        <v>839</v>
      </c>
    </row>
    <row r="26" spans="1:3" ht="14.25">
      <c r="A26" s="3257"/>
      <c r="B26" s="3261"/>
      <c r="C26" s="1175" t="s">
        <v>840</v>
      </c>
    </row>
    <row r="27" spans="1:3" ht="14.25">
      <c r="A27" s="3257"/>
      <c r="B27" s="3261"/>
      <c r="C27" s="1175" t="s">
        <v>841</v>
      </c>
    </row>
    <row r="28" spans="1:3" ht="14.25">
      <c r="A28" s="3257"/>
      <c r="B28" s="3261"/>
      <c r="C28" s="1175" t="s">
        <v>842</v>
      </c>
    </row>
    <row r="29" spans="1:3" ht="14.25">
      <c r="A29" s="3257"/>
      <c r="B29" s="3261"/>
      <c r="C29" s="1175" t="s">
        <v>843</v>
      </c>
    </row>
    <row r="30" spans="1:3" ht="14.25">
      <c r="A30" s="3257"/>
      <c r="B30" s="3261"/>
      <c r="C30" s="1175" t="s">
        <v>844</v>
      </c>
    </row>
    <row r="31" spans="1:3" ht="14.25">
      <c r="A31" s="3257"/>
      <c r="B31" s="3261"/>
      <c r="C31" s="1175" t="s">
        <v>845</v>
      </c>
    </row>
    <row r="32" spans="1:3" ht="14.25">
      <c r="A32" s="3257"/>
      <c r="B32" s="3261"/>
      <c r="C32" s="1175" t="s">
        <v>1648</v>
      </c>
    </row>
    <row r="33" spans="1:3" ht="14.25">
      <c r="A33" s="3257"/>
      <c r="B33" s="3251" t="s">
        <v>1654</v>
      </c>
      <c r="C33" s="1175" t="s">
        <v>1649</v>
      </c>
    </row>
    <row r="34" spans="1:3" ht="14.25">
      <c r="A34" s="3257"/>
      <c r="B34" s="3252"/>
      <c r="C34" s="1180" t="s">
        <v>1650</v>
      </c>
    </row>
    <row r="35" spans="1:3" ht="14.25">
      <c r="A35" s="3257"/>
      <c r="B35" s="3252"/>
      <c r="C35" s="1181" t="s">
        <v>1651</v>
      </c>
    </row>
    <row r="36" spans="1:3" ht="14.25">
      <c r="A36" s="3257"/>
      <c r="B36" s="3252"/>
      <c r="C36" s="1181" t="s">
        <v>1652</v>
      </c>
    </row>
    <row r="37" spans="1:3" ht="14.25">
      <c r="A37" s="3257"/>
      <c r="B37" s="3253"/>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6">
        <f ca="1">TODAY()</f>
        <v>43115</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3030">
        <v>43849</v>
      </c>
      <c r="D4" s="2341" t="s">
        <v>1916</v>
      </c>
      <c r="E4" s="2341">
        <f ca="1">IF(F4&lt;B2,"已过期",96010014)</f>
        <v>96010014</v>
      </c>
      <c r="F4" s="3031">
        <v>47118</v>
      </c>
    </row>
    <row r="5" spans="1:6" ht="20.25" customHeight="1">
      <c r="A5" s="2341" t="s">
        <v>1917</v>
      </c>
      <c r="B5" s="2341">
        <f ca="1">IF(C5&lt;B2,"已过期",1119970074)</f>
        <v>1119970074</v>
      </c>
      <c r="C5" s="3030">
        <v>43849</v>
      </c>
      <c r="D5" s="2341" t="s">
        <v>1917</v>
      </c>
      <c r="E5" s="2341">
        <f ca="1">IF(F5&lt;B2,"已过期",2002110027)</f>
        <v>2002110027</v>
      </c>
      <c r="F5" s="3031">
        <v>46752</v>
      </c>
    </row>
    <row r="6" spans="1:6" ht="20.25" customHeight="1">
      <c r="A6" s="2341" t="s">
        <v>1918</v>
      </c>
      <c r="B6" s="2341">
        <f ca="1">IF(C6&lt;B2,"已过期",1119970111)</f>
        <v>1119970111</v>
      </c>
      <c r="C6" s="3030">
        <v>43849</v>
      </c>
      <c r="D6" s="2341" t="s">
        <v>1918</v>
      </c>
      <c r="E6" s="2341">
        <f ca="1">IF(F6&lt;B2,"已过期",94010078)</f>
        <v>94010078</v>
      </c>
      <c r="F6" s="3031">
        <v>46387</v>
      </c>
    </row>
    <row r="7" spans="1:6" ht="20.25" customHeight="1">
      <c r="A7" s="2341" t="s">
        <v>1919</v>
      </c>
      <c r="B7" s="2341">
        <f ca="1">IF(C7&lt;B2,"已过期",1120050019)</f>
        <v>1120050019</v>
      </c>
      <c r="C7" s="3030">
        <v>43359</v>
      </c>
      <c r="D7" s="2341" t="s">
        <v>1919</v>
      </c>
      <c r="E7" s="2341">
        <f ca="1">IF(F7&lt;B2,"已过期",2002110030)</f>
        <v>2002110030</v>
      </c>
      <c r="F7" s="3031">
        <v>46387</v>
      </c>
    </row>
    <row r="8" spans="1:6" ht="20.25" customHeight="1">
      <c r="A8" s="2341" t="s">
        <v>1920</v>
      </c>
      <c r="B8" s="2341">
        <f ca="1">IF(C8&lt;B2,"已过期",1120000080)</f>
        <v>1120000080</v>
      </c>
      <c r="C8" s="3030">
        <v>43849</v>
      </c>
      <c r="D8" s="2341" t="s">
        <v>1920</v>
      </c>
      <c r="E8" s="2341">
        <f ca="1">IF(F8&lt;B2,"已过期",2000110082)</f>
        <v>2000110082</v>
      </c>
      <c r="F8" s="3031">
        <v>46387</v>
      </c>
    </row>
    <row r="9" spans="1:6" ht="20.25" customHeight="1">
      <c r="A9" s="2341" t="s">
        <v>1921</v>
      </c>
      <c r="B9" s="2341">
        <f ca="1">IF(C9&lt;B2,"已过期",1419970001)</f>
        <v>1419970001</v>
      </c>
      <c r="C9" s="3030">
        <v>43867</v>
      </c>
      <c r="D9" s="2341" t="s">
        <v>1921</v>
      </c>
      <c r="E9" s="2341">
        <f ca="1">IF(F9&lt;B2,"已过期",2002110125)</f>
        <v>2002110125</v>
      </c>
      <c r="F9" s="3031">
        <v>47118</v>
      </c>
    </row>
    <row r="10" spans="1:6" ht="20.25" customHeight="1">
      <c r="A10" s="2341" t="s">
        <v>1922</v>
      </c>
      <c r="B10" s="2341">
        <f ca="1">IF(C10&lt;B2,"已过期",1120060040)</f>
        <v>1120060040</v>
      </c>
      <c r="C10" s="3030">
        <v>43483</v>
      </c>
      <c r="D10" s="2341" t="s">
        <v>1922</v>
      </c>
      <c r="E10" s="2341">
        <f ca="1">IF(F10&lt;B2,"已过期",2004110096)</f>
        <v>2004110096</v>
      </c>
      <c r="F10" s="3031">
        <v>47118</v>
      </c>
    </row>
    <row r="11" spans="1:6" ht="20.25" customHeight="1">
      <c r="A11" s="2341" t="s">
        <v>1923</v>
      </c>
      <c r="B11" s="2341">
        <f ca="1">IF(C11&lt;B2,"已过期",1120100036)</f>
        <v>1120100036</v>
      </c>
      <c r="C11" s="3030">
        <v>43622</v>
      </c>
      <c r="D11" s="2341" t="s">
        <v>1923</v>
      </c>
      <c r="E11" s="2341">
        <f ca="1">IF(F11&lt;B2,"已过期",2010110070)</f>
        <v>2010110070</v>
      </c>
      <c r="F11" s="3031">
        <v>47907</v>
      </c>
    </row>
    <row r="12" spans="1:6" ht="20.25" customHeight="1">
      <c r="A12" s="2341"/>
      <c r="B12" s="2341"/>
      <c r="C12" s="3030"/>
      <c r="D12" s="2341"/>
      <c r="E12" s="2341"/>
      <c r="F12" s="2341"/>
    </row>
    <row r="13" spans="1:6" ht="20.25" customHeight="1">
      <c r="A13" s="2341" t="s">
        <v>1924</v>
      </c>
      <c r="B13" s="2341">
        <f ca="1">IF(C13&lt;B2,"已过期",1120070131)</f>
        <v>1120070131</v>
      </c>
      <c r="C13" s="3030">
        <v>43814</v>
      </c>
      <c r="D13" s="2341" t="s">
        <v>1924</v>
      </c>
      <c r="E13" s="2341">
        <v>2014110011</v>
      </c>
      <c r="F13" s="3031">
        <v>49302</v>
      </c>
    </row>
    <row r="14" spans="1:6" ht="20.25" customHeight="1">
      <c r="A14" s="2341" t="s">
        <v>1925</v>
      </c>
      <c r="B14" s="2341">
        <f ca="1">IF(C14&lt;B2,"已过期",1120130020)</f>
        <v>1120130020</v>
      </c>
      <c r="C14" s="3030">
        <v>43622</v>
      </c>
      <c r="D14" s="2341"/>
      <c r="E14" s="2341"/>
      <c r="F14" s="2341"/>
    </row>
    <row r="15" spans="1:6" ht="20.25" customHeight="1">
      <c r="A15" s="2341" t="s">
        <v>2577</v>
      </c>
      <c r="B15" s="2341">
        <v>1120070085</v>
      </c>
      <c r="C15" s="3030">
        <v>43814</v>
      </c>
      <c r="D15" s="2341" t="s">
        <v>2577</v>
      </c>
      <c r="E15" s="2341">
        <v>2004110128</v>
      </c>
      <c r="F15" s="3031">
        <v>47118</v>
      </c>
    </row>
    <row r="16" spans="1:6" ht="20.25" customHeight="1">
      <c r="A16" s="2341" t="s">
        <v>1926</v>
      </c>
      <c r="B16" s="2341">
        <f ca="1">IF(C16&lt;B2,"已过期",1120140022)</f>
        <v>1120140022</v>
      </c>
      <c r="C16" s="3030">
        <v>44029</v>
      </c>
      <c r="D16" s="2341" t="s">
        <v>1926</v>
      </c>
      <c r="E16" s="2341">
        <f ca="1">IF(F16&lt;B2,"已过期",2008110059)</f>
        <v>2008110059</v>
      </c>
      <c r="F16" s="3031">
        <v>47177</v>
      </c>
    </row>
    <row r="17" spans="1:7" ht="20.25" customHeight="1">
      <c r="A17" s="2341"/>
      <c r="B17" s="2341"/>
      <c r="C17" s="3030"/>
      <c r="D17" s="2341"/>
      <c r="E17" s="2341"/>
      <c r="F17" s="3031"/>
    </row>
    <row r="18" spans="1:7" ht="20.25" customHeight="1">
      <c r="A18" s="2341"/>
      <c r="B18" s="2341"/>
      <c r="C18" s="3030"/>
      <c r="D18" s="2341"/>
      <c r="E18" s="2341"/>
      <c r="F18" s="3031"/>
    </row>
    <row r="19" spans="1:7" ht="20.25" customHeight="1">
      <c r="A19" s="2341"/>
      <c r="B19" s="2341"/>
      <c r="C19" s="3030"/>
      <c r="D19" s="2341"/>
      <c r="E19" s="2341"/>
      <c r="F19" s="2341"/>
    </row>
    <row r="20" spans="1:7" ht="20.25" customHeight="1">
      <c r="A20" s="2341"/>
      <c r="B20" s="2341"/>
      <c r="C20" s="3030"/>
      <c r="D20" s="2341"/>
      <c r="E20" s="2341"/>
      <c r="F20" s="2341"/>
    </row>
    <row r="21" spans="1:7" ht="20.25" customHeight="1">
      <c r="A21" s="2341"/>
      <c r="B21" s="2341"/>
      <c r="C21" s="3030"/>
      <c r="D21" s="2341" t="s">
        <v>1927</v>
      </c>
      <c r="E21" s="2341">
        <f ca="1">IF(F21&lt;B2,"已过期",2011110090)</f>
        <v>2011110090</v>
      </c>
      <c r="F21" s="3031">
        <v>48302</v>
      </c>
    </row>
    <row r="22" spans="1:7" ht="20.25" customHeight="1">
      <c r="A22" s="2341" t="s">
        <v>1928</v>
      </c>
      <c r="B22" s="2341">
        <f ca="1">IF(C22&lt;B2,"已过期",1120020033)</f>
        <v>1120020033</v>
      </c>
      <c r="C22" s="3030">
        <v>43304</v>
      </c>
      <c r="D22" s="2341" t="s">
        <v>1928</v>
      </c>
      <c r="E22" s="2341">
        <f ca="1">IF(F22&lt;B2,"已过期",2000110137)</f>
        <v>2000110137</v>
      </c>
      <c r="F22" s="3031">
        <v>46387</v>
      </c>
    </row>
    <row r="23" spans="1:7" ht="20.25" customHeight="1">
      <c r="A23" s="2341" t="s">
        <v>1929</v>
      </c>
      <c r="B23" s="2341">
        <f ca="1">IF(C23&lt;B2,"已过期",1120130048)</f>
        <v>1120130048</v>
      </c>
      <c r="C23" s="3030">
        <v>43686</v>
      </c>
      <c r="D23" s="2341"/>
      <c r="E23" s="2341"/>
      <c r="F23" s="2341"/>
    </row>
    <row r="24" spans="1:7" s="2345" customFormat="1" ht="20.25" customHeight="1">
      <c r="A24" s="2343" t="s">
        <v>2055</v>
      </c>
      <c r="B24" s="2343" t="s">
        <v>2055</v>
      </c>
      <c r="C24" s="3030"/>
      <c r="D24" s="3032" t="s">
        <v>2055</v>
      </c>
      <c r="E24" s="2343" t="s">
        <v>2055</v>
      </c>
      <c r="F24" s="2344"/>
    </row>
    <row r="25" spans="1:7" ht="20.25" customHeight="1">
      <c r="A25" s="3262" t="s">
        <v>1930</v>
      </c>
      <c r="B25" s="3262"/>
      <c r="C25" s="3262"/>
      <c r="D25" s="3262"/>
      <c r="E25" s="3262"/>
      <c r="F25" s="3262"/>
      <c r="G25" s="3262"/>
    </row>
    <row r="26" spans="1:7" ht="20.25" customHeight="1">
      <c r="A26" s="3263" t="s">
        <v>1931</v>
      </c>
      <c r="B26" s="3263"/>
      <c r="C26" s="3263"/>
      <c r="D26" s="3263" t="s">
        <v>1932</v>
      </c>
      <c r="E26" s="3263"/>
      <c r="F26" s="3263"/>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2948</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2548</v>
      </c>
      <c r="R1" s="2604" t="s">
        <v>2542</v>
      </c>
      <c r="S1" s="6" t="s">
        <v>146</v>
      </c>
      <c r="T1" s="7" t="s">
        <v>147</v>
      </c>
      <c r="U1" s="6" t="s">
        <v>148</v>
      </c>
      <c r="V1" s="6" t="s">
        <v>149</v>
      </c>
      <c r="W1" s="1003"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2543</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2544</v>
      </c>
      <c r="S3" s="9" t="s">
        <v>84</v>
      </c>
      <c r="T3" s="9" t="s">
        <v>85</v>
      </c>
      <c r="U3" s="9" t="s">
        <v>84</v>
      </c>
      <c r="V3" s="9" t="s">
        <v>86</v>
      </c>
      <c r="W3" s="9" t="s">
        <v>877</v>
      </c>
    </row>
    <row r="4" spans="1:23">
      <c r="A4" s="8" t="s">
        <v>87</v>
      </c>
      <c r="B4" s="8" t="s">
        <v>152</v>
      </c>
      <c r="C4" s="1550" t="s">
        <v>1713</v>
      </c>
      <c r="D4" s="9" t="s">
        <v>1997</v>
      </c>
      <c r="E4" s="9" t="s">
        <v>88</v>
      </c>
      <c r="F4" s="9" t="s">
        <v>89</v>
      </c>
      <c r="G4" s="9">
        <v>70</v>
      </c>
      <c r="H4" s="9" t="s">
        <v>90</v>
      </c>
      <c r="I4" s="9" t="s">
        <v>91</v>
      </c>
      <c r="K4" s="9" t="s">
        <v>92</v>
      </c>
      <c r="L4" s="9" t="s">
        <v>92</v>
      </c>
      <c r="M4" s="9" t="s">
        <v>92</v>
      </c>
      <c r="N4" s="9" t="s">
        <v>92</v>
      </c>
      <c r="O4" s="9" t="s">
        <v>92</v>
      </c>
      <c r="P4" s="1005" t="s">
        <v>761</v>
      </c>
      <c r="Q4" s="9" t="s">
        <v>92</v>
      </c>
      <c r="R4" s="1005" t="s">
        <v>2545</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5" t="s">
        <v>547</v>
      </c>
      <c r="Q5" s="9" t="s">
        <v>97</v>
      </c>
      <c r="R5" s="1005" t="s">
        <v>2546</v>
      </c>
      <c r="S5" s="9" t="s">
        <v>97</v>
      </c>
      <c r="T5" s="9" t="s">
        <v>98</v>
      </c>
      <c r="U5" s="9" t="s">
        <v>97</v>
      </c>
      <c r="W5" s="9" t="s">
        <v>879</v>
      </c>
    </row>
    <row r="6" spans="1:23">
      <c r="A6" s="8" t="s">
        <v>99</v>
      </c>
      <c r="B6" s="1148" t="s">
        <v>1642</v>
      </c>
      <c r="C6" s="1552" t="s">
        <v>1715</v>
      </c>
      <c r="F6" s="9" t="s">
        <v>71</v>
      </c>
      <c r="H6" s="9" t="s">
        <v>72</v>
      </c>
      <c r="I6" s="9" t="s">
        <v>100</v>
      </c>
      <c r="K6" s="9" t="s">
        <v>101</v>
      </c>
      <c r="L6" s="9" t="s">
        <v>101</v>
      </c>
      <c r="M6" s="9" t="s">
        <v>101</v>
      </c>
      <c r="N6" s="9" t="s">
        <v>101</v>
      </c>
      <c r="O6" s="9" t="s">
        <v>101</v>
      </c>
      <c r="P6" s="1005" t="s">
        <v>882</v>
      </c>
      <c r="Q6" s="9" t="s">
        <v>101</v>
      </c>
      <c r="R6" s="1005" t="s">
        <v>2547</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141" t="s">
        <v>2961</v>
      </c>
      <c r="C18" s="1553"/>
    </row>
    <row r="19" spans="1:3">
      <c r="A19" s="8" t="s">
        <v>120</v>
      </c>
      <c r="B19" s="3141" t="s">
        <v>2969</v>
      </c>
      <c r="C19" s="1553"/>
    </row>
    <row r="20" spans="1:3">
      <c r="A20" s="8" t="s">
        <v>121</v>
      </c>
      <c r="B20" s="8" t="s">
        <v>1643</v>
      </c>
      <c r="C20" s="1553"/>
    </row>
    <row r="21" spans="1:3">
      <c r="A21" s="8" t="s">
        <v>122</v>
      </c>
      <c r="B21" s="8" t="s">
        <v>1643</v>
      </c>
      <c r="C21" s="1553"/>
    </row>
    <row r="22" spans="1:3">
      <c r="A22" s="8" t="s">
        <v>123</v>
      </c>
      <c r="B22" s="8" t="s">
        <v>1643</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4" t="s">
        <v>1946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四川峨眉山宏远实业有限公司拟使用四川省峨眉山市峨山镇保宁村2宗住宅、商业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264"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4日，在规划利用条件下、设定土地开发程度为红线外“七通”、宗地内场地平整，设定用途为住宅、商业，剩余土地使用年限为住宅66.4年，商业36.4年的出让国有建设用地使用权价格。</v>
      </c>
      <c r="D53" s="1766"/>
      <c r="E53" s="1766"/>
    </row>
    <row r="54" spans="1:5">
      <c r="A54" s="3264"/>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64"/>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64"/>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64"/>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2051</v>
      </c>
      <c r="B58" s="1765"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2018-01-12T12:57:30Z</cp:lastPrinted>
  <dcterms:created xsi:type="dcterms:W3CDTF">2015-07-13T07:17:23Z</dcterms:created>
  <dcterms:modified xsi:type="dcterms:W3CDTF">2018-01-15T07:07:09Z</dcterms:modified>
</cp:coreProperties>
</file>