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D5" i="61"/>
  <c r="F3" i="61"/>
  <c r="E2" i="11"/>
  <c r="E2" i="21"/>
  <c r="F6" i="61"/>
  <c r="D7" i="61"/>
  <c r="D6" i="61"/>
  <c r="H23" i="31"/>
  <c r="F5" i="61"/>
  <c r="D4" i="61"/>
  <c r="C20" i="57"/>
  <c r="E2" i="36"/>
  <c r="C19" i="57"/>
  <c r="F7" i="61"/>
  <c r="E2" i="34"/>
  <c r="D19" i="57"/>
  <c r="D20" i="57"/>
  <c r="F4" i="61"/>
  <c r="E2" i="37"/>
  <c r="D3" i="61"/>
  <c r="E2" i="35"/>
  <c r="E2" i="33"/>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G23" i="64" s="1"/>
  <c r="S39" i="31"/>
  <c r="T32" i="31"/>
  <c r="S32" i="31"/>
  <c r="S40" i="31"/>
  <c r="T40" i="31"/>
  <c r="G24" i="64" s="1"/>
  <c r="T31" i="31"/>
  <c r="S31" i="31"/>
  <c r="S37" i="31"/>
  <c r="T37" i="31"/>
  <c r="T29" i="31"/>
  <c r="S29" i="31"/>
  <c r="S38" i="31"/>
  <c r="T38" i="31"/>
  <c r="T35" i="31"/>
  <c r="S35" i="31"/>
  <c r="S28" i="31"/>
  <c r="T28" i="31"/>
  <c r="S36" i="31"/>
  <c r="T36" i="31"/>
  <c r="D6" i="59"/>
  <c r="C5" i="59"/>
  <c r="I47" i="40"/>
  <c r="J47" i="40" s="1"/>
  <c r="E47" i="40"/>
  <c r="F47" i="40" s="1"/>
  <c r="E46" i="40"/>
  <c r="F46" i="40" s="1"/>
  <c r="C43" i="40"/>
  <c r="C42" i="40"/>
  <c r="G22" i="64" l="1"/>
  <c r="D14" i="62"/>
  <c r="G21" i="64"/>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H121" i="9"/>
  <c r="C104" i="9"/>
  <c r="I103" i="9"/>
  <c r="D122" i="9" l="1"/>
  <c r="D5" i="52" s="1"/>
  <c r="B39" i="60" s="1"/>
  <c r="C103" i="9"/>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<sst xmlns="http://schemas.openxmlformats.org/spreadsheetml/2006/main" count="6985" uniqueCount="3106">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</sst>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87.43</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131</v>
      </c>
      <c r="C5" s="2498">
        <f ca="1">ROUND(B5*10000/$B$1,0)</f>
        <v>14983</v>
      </c>
      <c r="D5" s="2498" t="e">
        <f ca="1">ROUND(B5*10000/$B$2,0)</f>
        <v>#DIV/0!</v>
      </c>
      <c r="E5" s="1561"/>
      <c r="F5" s="2499"/>
      <c r="G5" s="2499"/>
    </row>
    <row r="6" spans="1:9" ht="16.5">
      <c r="A6" s="2498" t="s">
        <v>981</v>
      </c>
      <c r="B6" s="2498">
        <f ca="1">SUM(G14:G23)</f>
        <v>173</v>
      </c>
      <c r="C6" s="2498">
        <f t="shared" ref="C6:C8" ca="1" si="0">ROUND(B6*10000/$B$1,0)</f>
        <v>19787</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典型户型修正!B38</f>
        <v>87.43</v>
      </c>
      <c r="C14" s="2834">
        <f>项目基本情况!C13</f>
        <v>0</v>
      </c>
      <c r="D14" s="2834">
        <f ca="1">典型户型修正!T38</f>
        <v>131</v>
      </c>
      <c r="E14" s="2834">
        <f ca="1">ROUND(D14*10000/B14,0)</f>
        <v>14983</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173</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173</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173</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9</v>
      </c>
      <c r="E52" s="2019" t="s">
        <v>1553</v>
      </c>
      <c r="F52" s="2492">
        <f>'数据-取费表'!E29</f>
        <v>5.5000000000000007E-2</v>
      </c>
      <c r="G52" s="2493"/>
      <c r="H52" s="905"/>
      <c r="I52" s="2897"/>
      <c r="J52" s="2772"/>
      <c r="K52" s="2453">
        <v>1</v>
      </c>
      <c r="L52" s="3424" t="s">
        <v>2513</v>
      </c>
      <c r="M52" s="3424"/>
      <c r="N52" s="2455">
        <f ca="1">D48</f>
        <v>9</v>
      </c>
      <c r="O52" s="2453" t="str">
        <f>E48</f>
        <v>销售额×税（费）率</v>
      </c>
      <c r="P52" s="2456">
        <f>F48</f>
        <v>5.5000000000000007E-2</v>
      </c>
      <c r="Q52" s="1235"/>
    </row>
    <row r="53" spans="1:17" ht="12" customHeight="1">
      <c r="A53" s="2009" t="s">
        <v>1555</v>
      </c>
      <c r="B53" s="3495" t="s">
        <v>2591</v>
      </c>
      <c r="C53" s="3484"/>
      <c r="D53" s="1027">
        <f ca="1">ROUND(D45*'数据-取费表'!E29/(1+'数据-取费表'!F30),0)</f>
        <v>9</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9</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9</v>
      </c>
      <c r="P57" s="2464"/>
      <c r="Q57" s="1233">
        <f ca="1">O57/N49</f>
        <v>5.2023121387283239E-2</v>
      </c>
    </row>
    <row r="58" spans="1:17" ht="24.75">
      <c r="A58" s="2009" t="s">
        <v>1551</v>
      </c>
      <c r="B58" s="3495" t="s">
        <v>1569</v>
      </c>
      <c r="C58" s="3483"/>
      <c r="D58" s="12">
        <f ca="1">IF(H58="转让取得",C81,C97)</f>
        <v>98</v>
      </c>
      <c r="E58" s="2019" t="s">
        <v>1564</v>
      </c>
      <c r="F58" s="235" t="s">
        <v>48</v>
      </c>
      <c r="G58" s="2493"/>
      <c r="H58" s="2495" t="s">
        <v>1570</v>
      </c>
      <c r="I58" s="2899"/>
      <c r="J58" s="2772"/>
      <c r="K58" s="3424"/>
      <c r="L58" s="3424"/>
      <c r="M58" s="2461" t="s">
        <v>2518</v>
      </c>
      <c r="N58" s="2465"/>
      <c r="O58" s="2466" t="str">
        <f ca="1">IF(H19="元",NUMBERSTRING(INT(O57),2)&amp;"元整",NUMBERSTRING(INT(O57*10000),2)&amp;"元整")</f>
        <v>玖万元整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164</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壹佰陆拾肆万元整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14593</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443"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165</v>
      </c>
      <c r="D101" s="2726">
        <f ca="1">D19</f>
        <v>182</v>
      </c>
      <c r="E101" s="1388"/>
      <c r="F101" s="3468" t="str">
        <f>项目基本情况!I1</f>
        <v>北京市房地产</v>
      </c>
      <c r="G101" s="3470"/>
      <c r="H101" s="3472">
        <f>项目基本情况!C12</f>
        <v>112.38</v>
      </c>
      <c r="I101" s="3469"/>
      <c r="J101" s="2779"/>
    </row>
    <row r="102" spans="1:36" ht="12.75">
      <c r="A102" s="3485"/>
      <c r="B102" s="2234" t="s">
        <v>2569</v>
      </c>
      <c r="C102" s="2727">
        <f ca="1">C20</f>
        <v>14646</v>
      </c>
      <c r="D102" s="2728">
        <f ca="1">D20</f>
        <v>16216</v>
      </c>
      <c r="E102" s="1388"/>
      <c r="F102" s="3455" t="s">
        <v>2565</v>
      </c>
      <c r="G102" s="3456"/>
      <c r="H102" s="2736" t="str">
        <f>C106</f>
        <v>总价（万元）</v>
      </c>
      <c r="I102" s="2737">
        <f ca="1">H121</f>
        <v>173</v>
      </c>
      <c r="J102" s="2779"/>
    </row>
    <row r="103" spans="1:36" ht="12.75">
      <c r="A103" s="3485" t="s">
        <v>2570</v>
      </c>
      <c r="B103" s="2172" t="str">
        <f>B101</f>
        <v>总价（万元）</v>
      </c>
      <c r="C103" s="2731">
        <f ca="1">H121</f>
        <v>173</v>
      </c>
      <c r="D103" s="2729"/>
      <c r="E103" s="1388"/>
      <c r="F103" s="3455"/>
      <c r="G103" s="3456"/>
      <c r="H103" s="2736" t="s">
        <v>2538</v>
      </c>
      <c r="I103" s="52">
        <f ca="1">I121</f>
        <v>15431</v>
      </c>
      <c r="J103" s="2763"/>
    </row>
    <row r="104" spans="1:36" ht="13.5" thickBot="1">
      <c r="A104" s="3486"/>
      <c r="B104" s="2733" t="s">
        <v>2569</v>
      </c>
      <c r="C104" s="2734">
        <f ca="1">I121</f>
        <v>15431</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173</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15431</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173</v>
      </c>
      <c r="J110" s="2779"/>
    </row>
    <row r="111" spans="1:36" ht="12.75">
      <c r="A111" s="3457" t="s">
        <v>2543</v>
      </c>
      <c r="B111" s="3458"/>
      <c r="C111" s="2738" t="str">
        <f>C108</f>
        <v>总额（万元）</v>
      </c>
      <c r="D111" s="52">
        <f>C38</f>
        <v>0</v>
      </c>
      <c r="E111" s="1388"/>
      <c r="F111" s="3440"/>
      <c r="G111" s="3441"/>
      <c r="H111" s="2736" t="s">
        <v>2538</v>
      </c>
      <c r="I111" s="2740">
        <f ca="1">D113</f>
        <v>15431</v>
      </c>
      <c r="J111" s="2782"/>
    </row>
    <row r="112" spans="1:36" ht="26.25" customHeight="1">
      <c r="A112" s="3455" t="str">
        <f>IF(项目基本情况!F5="已注销","——","3.房地产抵押价值")</f>
        <v>3.房地产抵押价值</v>
      </c>
      <c r="B112" s="3456"/>
      <c r="C112" s="2736" t="str">
        <f>B101</f>
        <v>总价（万元）</v>
      </c>
      <c r="D112" s="2737">
        <f ca="1">IF(A112="——","——",D106-D108)</f>
        <v>173</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15431</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48" t="s">
        <v>2555</v>
      </c>
      <c r="B122" s="3444"/>
      <c r="C122" s="3444"/>
      <c r="D122" s="3479" t="str">
        <f ca="1">IF(H19="元",NUMBERSTRING(INT(D121),2)&amp;"元整",NUMBERSTRING(INT(D121*10000),2)&amp;"元整")</f>
        <v>壹佰壹拾万元整</v>
      </c>
      <c r="E122" s="3480"/>
      <c r="F122" s="3479" t="str">
        <f ca="1">IF(H19="元",NUMBERSTRING(INT(F121),2)&amp;"元整",NUMBERSTRING(INT(F121*10000),2)&amp;"元整")</f>
        <v>陆拾叁万元整</v>
      </c>
      <c r="G122" s="3480"/>
      <c r="H122" s="3479" t="str">
        <f ca="1">IF(H19="元",NUMBERSTRING(INT(H121),2)&amp;"元整",NUMBERSTRING(INT(H121*10000),2)&amp;"元整")</f>
        <v>壹佰柒拾叁万元整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173</v>
      </c>
      <c r="E125" s="3481"/>
      <c r="F125" s="3481"/>
      <c r="G125" s="3481"/>
      <c r="H125" s="3481"/>
      <c r="I125" s="3469"/>
      <c r="J125" s="2779"/>
    </row>
    <row r="126" spans="1:16" ht="12.75">
      <c r="A126" s="3448" t="s">
        <v>2555</v>
      </c>
      <c r="B126" s="3444"/>
      <c r="C126" s="3444"/>
      <c r="D126" s="3520">
        <f ca="1">I111</f>
        <v>15431</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2207</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2207</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2207</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116</v>
      </c>
      <c r="E54" s="2019" t="s">
        <v>1553</v>
      </c>
      <c r="F54" s="2492">
        <f>'数据-取费表'!E29</f>
        <v>5.5000000000000007E-2</v>
      </c>
      <c r="G54" s="2493"/>
      <c r="H54" s="905"/>
      <c r="I54" s="2897"/>
      <c r="J54" s="2772"/>
      <c r="K54" s="2430">
        <v>1</v>
      </c>
      <c r="L54" s="3536" t="s">
        <v>1554</v>
      </c>
      <c r="M54" s="3536"/>
      <c r="N54" s="2432">
        <f ca="1">D50</f>
        <v>116</v>
      </c>
      <c r="O54" s="2430" t="str">
        <f>E50</f>
        <v>销售额×税（费）率</v>
      </c>
      <c r="P54" s="2433">
        <f>F50</f>
        <v>5.5000000000000007E-2</v>
      </c>
    </row>
    <row r="55" spans="1:17" ht="12" customHeight="1">
      <c r="A55" s="2009" t="s">
        <v>1555</v>
      </c>
      <c r="B55" s="3495" t="s">
        <v>2591</v>
      </c>
      <c r="C55" s="3484"/>
      <c r="D55" s="1027">
        <f ca="1">ROUND(D47*'数据-取费表'!E29/(1+'数据-取费表'!F30),0)</f>
        <v>116</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116</v>
      </c>
      <c r="E56" s="264" t="s">
        <v>1558</v>
      </c>
      <c r="F56" s="2492">
        <f>'数据-取费表'!E29</f>
        <v>5.5000000000000007E-2</v>
      </c>
      <c r="G56" s="2493"/>
      <c r="H56" s="2898"/>
      <c r="I56" s="2897"/>
      <c r="J56" s="2772"/>
      <c r="K56" s="2430">
        <v>3</v>
      </c>
      <c r="L56" s="3536" t="s">
        <v>1559</v>
      </c>
      <c r="M56" s="3536"/>
      <c r="N56" s="2432">
        <f t="shared" ca="1" si="1"/>
        <v>1251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22</v>
      </c>
      <c r="O57" s="2436" t="str">
        <f>E61</f>
        <v>销售额×税（费）率</v>
      </c>
      <c r="P57" s="2437">
        <f>F61</f>
        <v>0.01</v>
      </c>
    </row>
    <row r="58" spans="1:17" ht="24.75">
      <c r="A58" s="3448" t="s">
        <v>1563</v>
      </c>
      <c r="B58" s="3444"/>
      <c r="C58" s="3444"/>
      <c r="D58" s="12">
        <f ca="1">IF(H58="个人住宅",D59,D60)</f>
        <v>1251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1390</v>
      </c>
      <c r="P59" s="2441"/>
      <c r="Q59" s="1233">
        <f ca="1">O59/N51</f>
        <v>0.62981422745808791</v>
      </c>
    </row>
    <row r="60" spans="1:17" ht="24.75">
      <c r="A60" s="2009" t="s">
        <v>1551</v>
      </c>
      <c r="B60" s="3495" t="s">
        <v>1569</v>
      </c>
      <c r="C60" s="3483"/>
      <c r="D60" s="12">
        <f ca="1">IF(H60="转让取得",C83,C99)</f>
        <v>1251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壹仟叁佰玖拾万元整</v>
      </c>
      <c r="P60" s="2444"/>
    </row>
    <row r="61" spans="1:17" ht="26.25" thickBot="1">
      <c r="A61" s="3511" t="s">
        <v>1572</v>
      </c>
      <c r="B61" s="3512"/>
      <c r="C61" s="3512"/>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817</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捌佰壹拾柒万元整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72700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32"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2207</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15240</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2207</v>
      </c>
      <c r="D107" s="2732"/>
      <c r="E107" s="1388"/>
      <c r="F107" s="3491" t="s">
        <v>2539</v>
      </c>
      <c r="G107" s="3492"/>
      <c r="H107" s="2738" t="str">
        <f>C112</f>
        <v>总额（万元）</v>
      </c>
      <c r="I107" s="2737">
        <f>SUMIF(I108:I110,"&lt;9E307")</f>
        <v>0</v>
      </c>
      <c r="J107" s="2779"/>
    </row>
    <row r="108" spans="1:36" ht="15" thickBot="1">
      <c r="A108" s="3486"/>
      <c r="B108" s="2733" t="s">
        <v>2531</v>
      </c>
      <c r="C108" s="2734">
        <f ca="1">I125</f>
        <v>15240</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2207</v>
      </c>
      <c r="E110" s="1388"/>
      <c r="F110" s="3457" t="s">
        <v>2542</v>
      </c>
      <c r="G110" s="3458"/>
      <c r="H110" s="2738" t="str">
        <f>C115</f>
        <v>总额（万元）</v>
      </c>
      <c r="I110" s="52">
        <f>C40</f>
        <v>0</v>
      </c>
      <c r="J110" s="2763"/>
    </row>
    <row r="111" spans="1:36" ht="12.75">
      <c r="A111" s="3455"/>
      <c r="B111" s="3456"/>
      <c r="C111" s="2736" t="s">
        <v>2545</v>
      </c>
      <c r="D111" s="52">
        <f ca="1">I125</f>
        <v>15240</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2207</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15240</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2207</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15240</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贰仟贰佰零柒万元整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2207</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15240</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32" sqref="A32:XFD3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workbookViewId="0">
      <selection activeCell="C34" sqref="C34"/>
    </sheetView>
  </sheetViews>
  <sheetFormatPr defaultRowHeight="12"/>
  <cols>
    <col min="1" max="1" width="9" style="3324"/>
    <col min="2" max="2" width="6.375" style="3324" customWidth="1"/>
    <col min="3" max="3" width="27.875" style="3324" customWidth="1"/>
    <col min="4" max="4" width="9.625" style="3324" bestFit="1" customWidth="1"/>
    <col min="5" max="6" width="6.875" style="3324" customWidth="1"/>
    <col min="7" max="7" width="13.125" style="3324" bestFit="1" customWidth="1"/>
    <col min="8" max="8" width="13.12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173</v>
      </c>
      <c r="E7" s="1286"/>
    </row>
    <row r="8" spans="1:5" ht="14.25">
      <c r="A8" s="1286"/>
      <c r="B8" s="3332"/>
      <c r="C8" s="1294" t="s">
        <v>924</v>
      </c>
      <c r="D8" s="1295" t="str">
        <f ca="1">IF('数据-取费表'!B3="万元",NUMBERSTRING(INT(D7*10000),2)&amp;"元整",NUMBERSTRING(INT(D7),2)&amp;"元整")</f>
        <v>壹佰柒拾叁万元整</v>
      </c>
      <c r="E8" s="1286"/>
    </row>
    <row r="9" spans="1:5" ht="14.25">
      <c r="A9" s="1286"/>
      <c r="B9" s="3332"/>
      <c r="C9" s="1296" t="s">
        <v>1020</v>
      </c>
      <c r="D9" s="1293">
        <f ca="1">IF('数据-取费表'!E3="否",结果表!I103,'结果表 (1修多)'!I105)</f>
        <v>15431</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173</v>
      </c>
      <c r="E15" s="1286"/>
    </row>
    <row r="16" spans="1:5" ht="14.25">
      <c r="A16" s="1286"/>
      <c r="B16" s="3339"/>
      <c r="C16" s="1294" t="s">
        <v>924</v>
      </c>
      <c r="D16" s="1293" t="str">
        <f ca="1">IF('数据-取费表'!B3="万元",NUMBERSTRING(INT(D15*10000),2)&amp;"元整",NUMBERSTRING(INT(D15),2)&amp;"元整")</f>
        <v>壹佰柒拾叁万元整</v>
      </c>
      <c r="E16" s="1286"/>
    </row>
    <row r="17" spans="1:5" ht="14.25">
      <c r="A17" s="1286"/>
      <c r="B17" s="3339"/>
      <c r="C17" s="1296" t="s">
        <v>1020</v>
      </c>
      <c r="D17" s="1293">
        <f ca="1">IF('数据-取费表'!E3="否",结果表!I111,'结果表 (1修多)'!I113)</f>
        <v>15431</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173</v>
      </c>
      <c r="E28" s="1286"/>
    </row>
    <row r="29" spans="1:5" ht="14.25">
      <c r="A29" s="1286"/>
      <c r="B29" s="3341"/>
      <c r="C29" s="1305" t="s">
        <v>924</v>
      </c>
      <c r="D29" s="1306" t="str">
        <f ca="1">IF('数据-取费表'!B3="万元",NUMBERSTRING(INT(D28*10000),2)&amp;"元整",NUMBERSTRING(INT(D28),2)&amp;"元整")</f>
        <v>壹佰柒拾叁万元整</v>
      </c>
      <c r="E29" s="1286"/>
    </row>
    <row r="30" spans="1:5" ht="14.25">
      <c r="A30" s="1286"/>
      <c r="B30" s="3342"/>
      <c r="C30" s="1296" t="s">
        <v>927</v>
      </c>
      <c r="D30" s="1307">
        <f ca="1">IF('数据-取费表'!E3="否",结果表!I103,'结果表 (1修多)'!I105)</f>
        <v>15431</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173</v>
      </c>
      <c r="E36" s="1286"/>
    </row>
    <row r="37" spans="1:5" ht="14.25">
      <c r="A37" s="1286"/>
      <c r="B37" s="3343"/>
      <c r="C37" s="1305" t="s">
        <v>924</v>
      </c>
      <c r="D37" s="1310" t="str">
        <f ca="1">IF('数据-取费表'!B3="万元",NUMBERSTRING(INT(D36*10000),2)&amp;"元整",NUMBERSTRING(INT(D36),2)&amp;"元整")</f>
        <v>壹佰柒拾叁万元整</v>
      </c>
      <c r="E37" s="1286"/>
    </row>
    <row r="38" spans="1:5" ht="14.25">
      <c r="A38" s="1286"/>
      <c r="B38" s="3343"/>
      <c r="C38" s="1296" t="s">
        <v>928</v>
      </c>
      <c r="D38" s="1307">
        <f ca="1">IF('数据-取费表'!E3="否",结果表!D113,'结果表 (1修多)'!D117)</f>
        <v>15431</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7" t="s">
        <v>1030</v>
      </c>
      <c r="B5" s="3357"/>
      <c r="C5" s="3357"/>
      <c r="D5" s="3355" t="str">
        <f ca="1">IF('数据-取费表'!E3="否",结果表!D122,'结果表 (1修多)'!D126)</f>
        <v>壹佰壹拾万元整</v>
      </c>
      <c r="E5" s="3355"/>
      <c r="F5" s="3355" t="str">
        <f ca="1">IF('数据-取费表'!E3="否",结果表!F122,'结果表 (1修多)'!F126)</f>
        <v>陆拾叁万元整</v>
      </c>
      <c r="G5" s="3355"/>
      <c r="H5" s="3355" t="str">
        <f ca="1">IF('数据-取费表'!E3="否",结果表!H122,'结果表 (1修多)'!H126)</f>
        <v>壹佰柒拾叁万元整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173</v>
      </c>
      <c r="E8" s="3356"/>
      <c r="F8" s="3356"/>
      <c r="G8" s="3356"/>
      <c r="H8" s="3356"/>
      <c r="I8" s="3356"/>
    </row>
    <row r="9" spans="1:9" ht="15">
      <c r="A9" s="3357" t="s">
        <v>1030</v>
      </c>
      <c r="B9" s="3357"/>
      <c r="C9" s="3357"/>
      <c r="D9" s="3355">
        <f ca="1">IF('数据-取费表'!E3="否",结果表!D126,'结果表 (1修多)'!D130)</f>
        <v>15431</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2022-06-20T07:54:52Z</dcterms:modified>
</cp:coreProperties>
</file>