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308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state="hidden" r:id="rId20"/>
    <sheet name="比较法-商业" sheetId="33" r:id="rId21"/>
    <sheet name="收益法" sheetId="15" r:id="rId22"/>
    <sheet name="比较法-办公" sheetId="34" state="hidden" r:id="rId23"/>
    <sheet name="收益法-酒店模型" sheetId="63"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state="hidden"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0"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0">'比较法-商业'!$A$1:$K$54,'比较法-商业'!$A$57:$M$131</definedName>
    <definedName name="_xlnm.Print_Area" localSheetId="24">'比较法-住宅'!$A$1:$K$54,'比较法-住宅'!$A$57:$M$131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3">[2]定义!$D$1:$D$4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12" i="4" l="1"/>
  <c r="K19" i="9" l="1"/>
  <c r="E20" i="1" l="1"/>
  <c r="B23" i="1"/>
  <c r="G51" i="34" l="1"/>
  <c r="E11" i="66" l="1"/>
  <c r="C8" i="66"/>
  <c r="D7" i="66"/>
  <c r="D8" i="66" s="1"/>
  <c r="C7" i="66"/>
  <c r="B7" i="66"/>
  <c r="D6" i="66"/>
  <c r="C6" i="66"/>
  <c r="B6" i="66"/>
  <c r="D5" i="66"/>
  <c r="C5" i="66"/>
  <c r="B5" i="66"/>
  <c r="K23" i="1" l="1"/>
  <c r="J23" i="1"/>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0"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E2" i="21"/>
  <c r="F4" i="61"/>
  <c r="E2" i="37"/>
  <c r="D3" i="61"/>
  <c r="F6" i="61"/>
  <c r="E2" i="34"/>
  <c r="E2" i="33"/>
  <c r="F7" i="61"/>
  <c r="F5" i="61"/>
  <c r="D6" i="61"/>
  <c r="D4" i="61"/>
  <c r="D5" i="61"/>
  <c r="E2" i="11"/>
  <c r="E2" i="36"/>
  <c r="E2" i="35"/>
  <c r="H23" i="31"/>
  <c r="F3" i="61"/>
  <c r="D7" i="61"/>
  <c r="W8" i="33" l="1"/>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C7" i="43" l="1"/>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E42" i="37" l="1"/>
  <c r="J7" i="36"/>
  <c r="W7" i="36" s="1"/>
  <c r="C19" i="15"/>
  <c r="H7" i="36"/>
  <c r="U7"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E4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l="1"/>
  <c r="C57" i="11" s="1"/>
  <c r="B3" i="11"/>
  <c r="B2"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J39" i="15" l="1"/>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19" i="9"/>
  <c r="D20" i="9"/>
  <c r="D20" i="57"/>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102" i="9"/>
  <c r="C35" i="57"/>
  <c r="I125" i="57" s="1"/>
  <c r="D61" i="57"/>
  <c r="N57" i="57" s="1"/>
  <c r="C19" i="9"/>
  <c r="C32" i="9" l="1"/>
  <c r="I121" i="9" s="1"/>
  <c r="I4" i="52" s="1"/>
  <c r="C101" i="9"/>
  <c r="G19" i="9"/>
  <c r="D22" i="9"/>
  <c r="D111" i="57"/>
  <c r="C108" i="57"/>
  <c r="I105" i="57"/>
  <c r="I104" i="57"/>
  <c r="C107" i="57"/>
  <c r="H126" i="57"/>
  <c r="D110" i="57"/>
  <c r="C35" i="9"/>
  <c r="G121" i="9" s="1"/>
  <c r="F121" i="9" l="1"/>
  <c r="G4" i="52"/>
  <c r="B41" i="60" s="1"/>
  <c r="N50" i="57"/>
  <c r="D47" i="57"/>
  <c r="I112" i="57"/>
  <c r="N51" i="57" s="1"/>
  <c r="H121" i="9"/>
  <c r="C104" i="9"/>
  <c r="D107" i="9"/>
  <c r="I103" i="9"/>
  <c r="D9" i="50" s="1"/>
  <c r="B21" i="60" s="1"/>
  <c r="D121" i="57"/>
  <c r="D116" i="57"/>
  <c r="D117" i="57" s="1"/>
  <c r="C34" i="9"/>
  <c r="E121" i="9" s="1"/>
  <c r="D30" i="50" l="1"/>
  <c r="H4" i="52"/>
  <c r="D14" i="62"/>
  <c r="D121" i="9"/>
  <c r="E4" i="52"/>
  <c r="B38" i="60" s="1"/>
  <c r="F122" i="9"/>
  <c r="F5" i="52" s="1"/>
  <c r="B42" i="60" s="1"/>
  <c r="F4" i="52"/>
  <c r="B40" i="60" s="1"/>
  <c r="D129" i="57"/>
  <c r="I113" i="57"/>
  <c r="I117" i="57"/>
  <c r="D106" i="9"/>
  <c r="D112" i="9" s="1"/>
  <c r="H122" i="9"/>
  <c r="H5" i="52" s="1"/>
  <c r="C103" i="9"/>
  <c r="I102" i="9"/>
  <c r="C74" i="57"/>
  <c r="D54" i="57"/>
  <c r="D55" i="57"/>
  <c r="D50" i="57" s="1"/>
  <c r="N54" i="57" s="1"/>
  <c r="C66" i="57"/>
  <c r="C65" i="57" s="1"/>
  <c r="C69" i="57" s="1"/>
  <c r="C70" i="57" s="1"/>
  <c r="D56" i="57" s="1"/>
  <c r="C95" i="57"/>
  <c r="C88" i="57" s="1"/>
  <c r="C87" i="57"/>
  <c r="C80" i="57"/>
  <c r="C75" i="57" s="1"/>
  <c r="D57" i="57"/>
  <c r="N55" i="57" s="1"/>
  <c r="B5" i="62" l="1"/>
  <c r="F14" i="62"/>
  <c r="E14" i="62"/>
  <c r="D7" i="50"/>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C5" i="62" l="1"/>
  <c r="D5" i="62"/>
  <c r="I111" i="9"/>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C6" i="62" l="1"/>
  <c r="D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<sst xmlns="http://schemas.openxmlformats.org/spreadsheetml/2006/main" count="7087" uniqueCount="3094">
  <si>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</si>
  <si>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</si>
  <si>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</si>
  <si>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</si>
  <si>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</si>
  <si>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</si>
  <si>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</si>
  <si>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</si>
  <si>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</si>
  <si>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</si>
  <si>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</si>
  <si>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</si>
  <si>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</si>
  <si>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</si>
  <si>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</si>
  <si>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</si>
  <si>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</si>
  <si>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</si>
  <si>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</si>
  <si>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</si>
  <si>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</si>
  <si>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</si>
  <si>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</si>
  <si>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</si>
  <si>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</si>
  <si>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</si>
  <si>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</si>
  <si>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</si>
  <si>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</si>
  <si>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</si>
  <si>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</si>
  <si>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</si>
  <si>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</si>
  <si>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</si>
  <si>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</si>
  <si>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</si>
  <si>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</si>
  <si>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</si>
  <si>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</si>
  <si>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</si>
  <si>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</si>
  <si>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</si>
  <si>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</si>
  <si>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</si>
  <si>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</si>
  <si>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</si>
  <si>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</si>
  <si>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</si>
  <si>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</si>
  <si>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</si>
  <si>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</si>
  <si>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</si>
  <si>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</si>
  <si>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</si>
  <si>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</si>
  <si>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</si>
  <si>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</si>
  <si>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</si>
  <si>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</si>
  <si>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</si>
  <si>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</si>
  <si>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</si>
  <si>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</si>
  <si>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</si>
  <si>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</si>
  <si>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</si>
  <si>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</si>
  <si>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</si>
  <si>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</si>
  <si>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</si>
  <si>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</si>
  <si>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</si>
  <si>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</si>
  <si>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</si>
  <si>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</si>
  <si>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</si>
  <si>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</si>
  <si>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</si>
  <si>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</si>
  <si>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</si>
  <si>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</si>
  <si>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</si>
  <si>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</si>
  <si>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</si>
  <si>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</si>
  <si>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</si>
  <si>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</si>
  <si>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</si>
  <si>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</si>
  <si>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</si>
  <si>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</si>
  <si>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</si>
  <si>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</si>
  <si>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</si>
  <si>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</si>
  <si>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</si>
  <si>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</si>
  <si>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</si>
  <si>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</si>
  <si>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</si>
  <si>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</si>
  <si>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</si>
  <si>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</si>
  <si>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</si>
  <si>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</si>
  <si>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</si>
  <si>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</si>
  <si>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</si>
  <si>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</si>
  <si>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</si>
  <si>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</si>
  <si>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</si>
  <si>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</si>
  <si>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</si>
  <si>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</si>
  <si>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</si>
  <si>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</si>
  <si>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</si>
  <si>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</si>
  <si>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</si>
  <si>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</si>
  <si>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</si>
  <si>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</si>
  <si>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</si>
  <si>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</si>
  <si>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</si>
  <si>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</si>
  <si>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</si>
  <si>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</si>
  <si>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</si>
  <si>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</si>
  <si>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</si>
  <si>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</si>
  <si>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</si>
  <si>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</si>
  <si>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</si>
  <si>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</si>
  <si>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</si>
  <si>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</si>
  <si>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</si>
  <si>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</si>
  <si>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</si>
  <si>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</si>
  <si>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</si>
  <si>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</si>
  <si>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</si>
  <si>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</si>
  <si>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</si>
  <si>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</si>
  <si>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</si>
  <si>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</si>
  <si>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</si>
  <si>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</si>
  <si>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</si>
  <si>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</si>
  <si>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</si>
  <si>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</si>
  <si>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</si>
  <si>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</si>
  <si>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</si>
  <si>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</si>
  <si>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</si>
  <si>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</si>
  <si>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</si>
  <si>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</si>
  <si>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</si>
  <si>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</si>
  <si>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</si>
  <si>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</si>
  <si>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</si>
  <si>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</si>
  <si>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</si>
  <si>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</si>
  <si>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</si>
  <si>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</si>
  <si>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</si>
  <si>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</si>
  <si>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</si>
  <si>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</si>
  <si>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</si>
  <si>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</si>
  <si>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</si>
  <si>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</si>
  <si>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</si>
  <si>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</si>
  <si>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</si>
  <si>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</si>
  <si>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</si>
  <si>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</si>
  <si>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</si>
  <si>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</si>
  <si>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</si>
  <si>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</si>
  <si>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</si>
  <si>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</si>
  <si>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</si>
  <si>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</si>
  <si>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</si>
  <si>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</si>
  <si>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</si>
  <si>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</si>
  <si>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</si>
  <si>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</si>
  <si>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</si>
  <si>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</si>
  <si>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</si>
  <si>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</si>
  <si>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</si>
  <si>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</si>
  <si>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</si>
  <si>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</si>
  <si>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</si>
  <si>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</si>
  <si>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</si>
  <si>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</si>
  <si>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</si>
  <si>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</si>
  <si>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</si>
  <si>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</si>
  <si>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</si>
  <si>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</si>
  <si>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</si>
  <si>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</si>
  <si>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</si>
  <si>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</si>
  <si>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</si>
  <si>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</si>
  <si>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</si>
  <si>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</si>
  <si>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</si>
  <si>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</si>
  <si>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</si>
  <si>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</si>
  <si>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</si>
  <si>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</si>
  <si>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</si>
  <si>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</si>
  <si>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</si>
  <si>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</si>
  <si>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</si>
  <si>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</si>
  <si>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</si>
  <si>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</si>
  <si>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</si>
  <si>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</si>
  <si>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</si>
  <si>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</si>
  <si>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</si>
  <si>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</si>
  <si>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</si>
  <si>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</si>
  <si>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</si>
  <si>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</si>
  <si>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</si>
  <si>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</si>
  <si>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</si>
  <si>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</si>
  <si>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</si>
  <si>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</si>
  <si>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</si>
  <si>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</si>
  <si>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</si>
  <si>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</si>
  <si>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</si>
  <si>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</si>
  <si>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</si>
  <si>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</si>
  <si>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</si>
  <si>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</si>
  <si>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</si>
  <si>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</si>
  <si>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</si>
  <si>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</si>
  <si>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</si>
  <si>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</si>
  <si>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</si>
  <si>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</si>
  <si>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</si>
  <si>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</si>
  <si>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</si>
  <si>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</si>
  <si>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</si>
  <si>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</si>
  <si>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</si>
  <si>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</si>
  <si>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</si>
  <si>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</si>
  <si>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</si>
  <si>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</si>
  <si>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</si>
  <si>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</si>
  <si>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</si>
  <si>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</si>
  <si>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</si>
  <si>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</si>
  <si>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</si>
  <si>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</si>
  <si>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</si>
  <si>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</si>
  <si>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</si>
  <si>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</si>
  <si>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</si>
  <si>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</si>
  <si>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</si>
  <si>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</si>
  <si>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</si>
  <si>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</si>
  <si>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</si>
  <si>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</si>
  <si>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</si>
  <si>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</si>
  <si>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</si>
  <si>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</si>
  <si>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</si>
  <si>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</si>
  <si>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</si>
  <si>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</si>
  <si>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</si>
  <si>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</si>
  <si>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</si>
  <si>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</si>
  <si>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</si>
  <si>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</si>
  <si>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</si>
  <si>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</si>
  <si>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</si>
  <si>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</si>
  <si>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</si>
  <si>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</si>
  <si>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</si>
  <si>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</si>
  <si>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</si>
  <si>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</si>
  <si>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</si>
  <si>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</si>
  <si>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</si>
  <si>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</si>
  <si>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</si>
  <si>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</si>
  <si>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</si>
  <si>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</si>
  <si>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</si>
  <si>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</si>
  <si>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</si>
  <si>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</si>
  <si>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</si>
  <si>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</si>
  <si>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</si>
  <si>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</si>
  <si>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</si>
  <si>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</si>
  <si>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</si>
  <si>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</si>
  <si>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</si>
  <si>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</si>
  <si>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</si>
  <si>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</si>
  <si>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</si>
  <si>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</si>
  <si>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</si>
  <si>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</si>
  <si>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</si>
  <si>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</si>
  <si>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</si>
  <si>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</si>
  <si>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</si>
  <si>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</si>
  <si>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</si>
  <si>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</si>
  <si>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</si>
  <si>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</si>
  <si>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</si>
  <si>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</si>
  <si>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</si>
  <si>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</si>
  <si>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</si>
  <si>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</si>
  <si>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</si>
  <si>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</si>
  <si>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</si>
  <si>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</si>
  <si>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</si>
  <si>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</si>
  <si>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</si>
  <si>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</si>
  <si>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</si>
  <si>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</si>
  <si>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</si>
  <si>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</si>
  <si>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</si>
  <si>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</si>
  <si>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</si>
  <si>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</si>
  <si>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</si>
  <si>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</si>
  <si>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</si>
  <si>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</si>
  <si>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</si>
  <si>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</si>
  <si>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</si>
  <si>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</si>
  <si>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</si>
  <si>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</si>
  <si>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</si>
  <si>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</si>
  <si>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</si>
  <si>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</si>
  <si>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</si>
  <si>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</si>
  <si>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</si>
  <si>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</si>
  <si>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</si>
  <si>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</si>
  <si>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</si>
  <si>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</si>
  <si>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</si>
  <si>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</si>
  <si>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</si>
  <si>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</si>
  <si>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</si>
  <si>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</si>
  <si>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</si>
  <si>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</si>
  <si>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</si>
  <si>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</si>
  <si>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</si>
  <si>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</si>
  <si>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</si>
  <si>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</si>
  <si>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</si>
  <si>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</si>
  <si>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</si>
  <si>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</si>
  <si>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</si>
  <si>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</si>
  <si>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</si>
  <si>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</si>
  <si>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</si>
  <si>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</si>
  <si>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</si>
  <si>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</si>
  <si>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</si>
  <si>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</si>
  <si>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</si>
  <si>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</si>
  <si>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</si>
  <si>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</si>
  <si>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</si>
  <si>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</si>
  <si>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</si>
  <si>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</si>
  <si>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</si>
  <si>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</si>
  <si>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</si>
  <si>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</si>
  <si>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</si>
  <si>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</si>
  <si>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</si>
  <si>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</si>
  <si>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</si>
  <si>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</si>
  <si>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</si>
  <si>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</si>
  <si>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</si>
  <si>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</si>
  <si>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</si>
  <si>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</si>
  <si>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</si>
  <si>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</si>
  <si>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</si>
  <si>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</si>
  <si>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</si>
  <si>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</si>
  <si>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</si>
  <si>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</si>
  <si>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</si>
  <si>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</si>
  <si>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</si>
  <si>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</si>
  <si>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</si>
  <si>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</si>
  <si>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</si>
  <si>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</si>
  <si>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</si>
  <si>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</si>
  <si>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</si>
  <si>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</si>
  <si>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</si>
  <si>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</si>
  <si>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</si>
  <si>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</si>
  <si>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</si>
  <si>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</si>
  <si>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</si>
  <si>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</si>
  <si>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</si>
  <si>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</si>
  <si>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</si>
  <si>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</si>
  <si>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</si>
  <si>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</si>
  <si>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</si>
  <si>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</si>
  <si>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</si>
  <si>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</si>
  <si>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</si>
  <si>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</si>
  <si>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</si>
  <si>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</si>
  <si>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</si>
  <si>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</si>
  <si>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</si>
  <si>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</si>
  <si>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</si>
  <si>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</si>
  <si>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</si>
  <si>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</si>
  <si>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</si>
  <si>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</si>
  <si>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</si>
  <si>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</si>
  <si>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</si>
  <si>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</si>
  <si>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</si>
  <si>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</si>
  <si>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</si>
  <si>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</si>
  <si>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</si>
  <si>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</si>
  <si>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</si>
  <si>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</si>
  <si>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</si>
  <si>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</si>
  <si>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</si>
  <si>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</si>
  <si>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</si>
  <si>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</si>
  <si>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</si>
  <si>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</si>
  <si>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</si>
  <si>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</si>
  <si>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</si>
  <si>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</si>
  <si>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</si>
  <si>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</si>
  <si>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</si>
  <si>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</si>
  <si>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</si>
  <si>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</si>
  <si>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</si>
  <si>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</si>
  <si>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</si>
  <si>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</si>
  <si>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</si>
  <si>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</si>
  <si>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</si>
  <si>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</si>
  <si>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</si>
  <si>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</si>
  <si>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</si>
  <si>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</si>
  <si>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</si>
  <si>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</si>
  <si>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</si>
  <si>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</si>
  <si>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</si>
  <si>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</si>
  <si>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</si>
  <si>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</si>
  <si>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</si>
  <si>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</si>
  <si>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</si>
  <si>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</si>
  <si>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</si>
  <si>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</si>
  <si>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</si>
  <si>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</si>
  <si>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</si>
  <si>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</si>
  <si>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</si>
  <si>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</si>
  <si>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</si>
  <si>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</si>
  <si>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</si>
  <si>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</si>
  <si>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</si>
  <si>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</si>
  <si>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</si>
  <si>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</si>
  <si>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</si>
  <si>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</si>
  <si>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</si>
  <si>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</si>
  <si>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</si>
  <si>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</si>
  <si>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</si>
  <si>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</si>
  <si>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</si>
  <si>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</si>
  <si>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</si>
  <si>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</si>
  <si>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</si>
  <si>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</si>
  <si>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</si>
  <si>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</si>
  <si>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</si>
  <si>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</si>
  <si>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</si>
  <si>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</si>
  <si>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</si>
  <si>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</si>
  <si>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</si>
  <si>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</si>
  <si>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</si>
  <si>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</si>
  <si>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</si>
  <si>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</si>
  <si>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</si>
  <si>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</si>
  <si>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</si>
  <si>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</si>
  <si>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</si>
  <si>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</si>
  <si>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</si>
  <si>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</si>
  <si>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</si>
  <si>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</si>
  <si>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</si>
  <si>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</si>
  <si>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</si>
  <si>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</si>
  <si>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</si>
  <si>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</si>
  <si>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</si>
  <si>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</si>
  <si>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</si>
  <si>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</si>
  <si>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</si>
  <si>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</si>
  <si>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</si>
  <si>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</si>
  <si>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</si>
  <si>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</si>
  <si>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</si>
  <si>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</si>
  <si>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</si>
  <si>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</si>
  <si>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</si>
  <si>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</si>
  <si>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</si>
  <si>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</si>
  <si>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</si>
  <si>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</si>
  <si>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</si>
  <si>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</si>
  <si>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</si>
  <si>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</si>
  <si>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</si>
  <si>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</si>
  <si>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</si>
  <si>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</si>
  <si>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</si>
  <si>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</si>
  <si>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</si>
  <si>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</si>
  <si>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</si>
  <si>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</si>
  <si>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</si>
  <si>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</si>
  <si>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</si>
  <si>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</si>
  <si>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</si>
  <si>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</si>
  <si>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</si>
  <si>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</si>
  <si>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</si>
  <si>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</si>
  <si>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</si>
  <si>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</si>
  <si>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</si>
  <si>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</si>
  <si>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</si>
  <si>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</si>
  <si>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</si>
  <si>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</si>
  <si>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</si>
  <si>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</si>
  <si>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</si>
  <si>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</si>
  <si>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</si>
  <si>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</si>
  <si>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</si>
  <si>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</si>
  <si>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</si>
  <si>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</si>
  <si>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</si>
  <si>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</si>
  <si>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</si>
  <si>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</si>
  <si>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</si>
  <si>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</si>
  <si>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</si>
  <si>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</si>
  <si>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</si>
  <si>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</si>
  <si>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</si>
  <si>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</si>
  <si>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</si>
  <si>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</si>
  <si>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</si>
  <si>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</si>
  <si>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</si>
  <si>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</si>
  <si>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</si>
  <si>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</si>
  <si>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</si>
  <si>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</si>
  <si>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</si>
  <si>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</si>
  <si>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</si>
  <si>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</si>
  <si>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</si>
  <si>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</si>
  <si>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</si>
  <si>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</si>
  <si>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</si>
  <si>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</si>
  <si>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</si>
  <si>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</si>
  <si>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</si>
  <si>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</si>
  <si>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</si>
  <si>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</si>
  <si>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</si>
  <si>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</si>
  <si>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</si>
  <si>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</si>
  <si>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</si>
  <si>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</si>
  <si>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</si>
  <si>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</si>
  <si>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</si>
  <si>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</si>
  <si>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</si>
  <si>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</si>
  <si>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</si>
  <si>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</si>
  <si>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</si>
  <si>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</si>
  <si>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</si>
  <si>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</si>
  <si>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</si>
  <si>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</si>
  <si>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</si>
  <si>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</si>
  <si>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</si>
  <si>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</si>
  <si>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</si>
  <si>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</si>
  <si>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</si>
  <si>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</si>
  <si>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</si>
  <si>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</si>
  <si>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</si>
  <si>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</si>
  <si>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</si>
  <si>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</si>
  <si>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</si>
  <si>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</si>
  <si>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</si>
  <si>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</si>
  <si>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</si>
  <si>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</si>
  <si>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</si>
  <si>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</si>
  <si>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</si>
  <si>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</si>
  <si>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</si>
  <si>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</si>
  <si>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</si>
  <si>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</si>
  <si>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</si>
  <si>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</si>
  <si>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</si>
  <si>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</si>
  <si>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</si>
  <si>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</si>
  <si>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</si>
  <si>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</si>
  <si>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</si>
  <si>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</si>
  <si>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</si>
  <si>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</si>
  <si>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</si>
  <si>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</si>
  <si>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</si>
  <si>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</si>
  <si>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</si>
  <si>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</si>
  <si>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</si>
  <si>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</si>
  <si>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</si>
  <si>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</si>
  <si>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</si>
  <si>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</si>
  <si>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</si>
  <si>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</si>
  <si>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</si>
  <si>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</si>
  <si>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</si>
  <si>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</si>
  <si>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</si>
  <si>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</si>
  <si>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</si>
  <si>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</si>
  <si>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</si>
  <si>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</si>
  <si>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</si>
  <si>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</si>
  <si>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</si>
  <si>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</si>
  <si>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</si>
  <si>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</si>
  <si>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</si>
  <si>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</si>
  <si>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</si>
  <si>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</si>
  <si>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</si>
  <si>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</si>
  <si>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</si>
  <si>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</si>
  <si>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</si>
  <si>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</si>
  <si>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</si>
  <si>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</si>
  <si>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</si>
  <si>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</si>
  <si>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</si>
  <si>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</si>
  <si>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</si>
  <si>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</si>
  <si>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</si>
  <si>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</si>
  <si>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</si>
  <si>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</si>
  <si>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</si>
  <si>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</si>
  <si>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</si>
  <si>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</si>
  <si>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</si>
  <si>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</si>
  <si>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</si>
  <si>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</si>
  <si>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</si>
  <si>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</si>
  <si>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</si>
  <si>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</si>
  <si>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</si>
  <si>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</si>
  <si>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</si>
  <si>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</si>
  <si>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</si>
  <si>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</si>
  <si>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</si>
  <si>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</si>
  <si>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</si>
  <si>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</si>
  <si>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</si>
  <si>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</si>
  <si>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</si>
  <si>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</si>
  <si>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</si>
  <si>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</si>
  <si>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</si>
  <si>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</si>
  <si>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</si>
  <si>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</si>
  <si>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</si>
  <si>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</si>
  <si>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</si>
  <si>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</si>
  <si>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</si>
  <si>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</si>
  <si>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</si>
  <si>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</si>
  <si>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</si>
  <si>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</si>
  <si>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</si>
  <si>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</si>
  <si>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</si>
  <si>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</si>
  <si>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</si>
  <si>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</si>
  <si>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</si>
  <si>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</si>
  <si>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</si>
  <si>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</si>
  <si>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</si>
  <si>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</si>
  <si>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</si>
  <si>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</si>
  <si>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</si>
  <si>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</si>
  <si>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</si>
  <si>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</si>
  <si>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</si>
  <si>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</si>
  <si>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</si>
  <si>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</si>
  <si>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</si>
  <si>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</si>
  <si>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</si>
  <si>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</si>
  <si>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</si>
  <si>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</si>
  <si>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</si>
  <si>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</si>
  <si>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</si>
  <si>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</si>
  <si>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</si>
  <si>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</si>
  <si>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</si>
  <si>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</si>
  <si>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</si>
  <si>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</si>
  <si>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</si>
  <si>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</si>
  <si>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</si>
  <si>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</si>
  <si>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</si>
  <si>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</si>
  <si>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</si>
  <si>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</si>
  <si>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</si>
  <si>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</si>
  <si>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</si>
  <si>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</si>
  <si>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</si>
  <si>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</si>
  <si>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</si>
  <si>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</si>
  <si>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</si>
  <si>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</si>
  <si>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</si>
  <si>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</si>
  <si>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</si>
  <si>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</si>
  <si>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</si>
  <si>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</si>
  <si>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</si>
  <si>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</si>
  <si>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</si>
  <si>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</si>
  <si>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</si>
  <si>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</si>
  <si>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</si>
  <si>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</si>
  <si>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</si>
  <si>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</si>
  <si>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</si>
  <si>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</si>
  <si>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</si>
  <si>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</si>
  <si>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</si>
  <si>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</si>
  <si>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</si>
  <si>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</si>
  <si>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</si>
  <si>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</si>
  <si>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</si>
  <si>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</si>
  <si>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</si>
  <si>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</si>
  <si>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</si>
  <si>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</si>
  <si>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</si>
  <si>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</si>
  <si>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</si>
  <si>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</si>
  <si>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</si>
  <si>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</si>
  <si>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</si>
  <si>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</si>
  <si>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</si>
  <si>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</si>
  <si>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</si>
  <si>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</si>
  <si>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</si>
  <si>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</si>
  <si>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</si>
  <si>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</si>
  <si>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</si>
  <si>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</si>
  <si>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</si>
  <si>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</si>
  <si>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</si>
  <si>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</si>
  <si>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</si>
  <si>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</si>
  <si>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</si>
  <si>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</si>
  <si>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</si>
  <si>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</si>
  <si>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</si>
  <si>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</si>
  <si>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</si>
  <si>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</si>
  <si>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</si>
  <si>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</si>
  <si>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</si>
  <si>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</si>
  <si>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</si>
  <si>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</si>
  <si>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</si>
  <si>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</si>
  <si>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</si>
  <si>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</si>
  <si>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</si>
  <si>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</si>
  <si>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</si>
  <si>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</si>
  <si>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</si>
  <si>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</si>
  <si>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</si>
  <si>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</si>
  <si>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</si>
  <si>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</si>
  <si>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</si>
  <si>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</si>
  <si>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</si>
  <si>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</si>
  <si>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</si>
  <si>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</si>
  <si>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</si>
  <si>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</si>
  <si>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</si>
  <si>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</si>
  <si>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</si>
  <si>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</si>
  <si>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</si>
  <si>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</si>
  <si>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</si>
  <si>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</si>
  <si>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</si>
  <si>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</si>
  <si>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</si>
  <si>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</si>
  <si>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</si>
  <si>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</si>
  <si>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</si>
  <si>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</si>
  <si>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</si>
  <si>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</si>
  <si>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</si>
  <si>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</si>
  <si>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</si>
  <si>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</si>
  <si>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</si>
  <si>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</si>
  <si>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</si>
  <si>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</si>
  <si>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</si>
  <si>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</si>
  <si>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</si>
  <si>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</si>
  <si>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</si>
  <si>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</si>
  <si>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</si>
  <si>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</si>
  <si>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</si>
  <si>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</si>
  <si>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</si>
  <si>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</si>
  <si>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</si>
  <si>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</si>
  <si>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</si>
  <si>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</si>
  <si>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</si>
  <si>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</si>
  <si>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</si>
  <si>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</si>
  <si>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</si>
  <si>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</si>
  <si>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</si>
  <si>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</si>
  <si>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</si>
  <si>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</si>
  <si>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</si>
  <si>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</si>
  <si>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</si>
  <si>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</si>
  <si>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</si>
  <si>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</si>
  <si>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</si>
  <si>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</si>
  <si>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</si>
  <si>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</si>
  <si>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</si>
  <si>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</si>
  <si>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</si>
  <si>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</si>
  <si>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</si>
  <si>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</si>
  <si>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</si>
  <si>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</si>
  <si>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</si>
  <si>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</si>
  <si>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</si>
  <si>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</si>
  <si>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</si>
  <si>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</si>
  <si>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</si>
  <si>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</si>
  <si>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</si>
  <si>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</si>
  <si>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</si>
  <si>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</si>
  <si>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</si>
  <si>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</si>
  <si>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</si>
  <si>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</si>
  <si>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</si>
  <si>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</si>
  <si>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</si>
  <si>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</si>
  <si>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</si>
  <si>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</si>
  <si>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</si>
  <si>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</si>
  <si>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</si>
  <si>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</si>
  <si>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</si>
  <si>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</si>
  <si>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</si>
  <si>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</si>
  <si>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</si>
  <si>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</si>
  <si>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</si>
  <si>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</si>
  <si>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</si>
  <si>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</si>
  <si>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</si>
  <si>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</si>
  <si>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</si>
  <si>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</si>
  <si>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</si>
  <si>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</si>
  <si>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</si>
  <si>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</si>
  <si>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</si>
  <si>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</si>
  <si>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</si>
  <si>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</si>
  <si>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</si>
  <si>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</si>
  <si>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</si>
  <si>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</si>
  <si>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</si>
  <si>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</si>
  <si>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</si>
  <si>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</si>
  <si>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</si>
  <si>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</si>
  <si>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</si>
  <si>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</si>
  <si>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</si>
  <si>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</si>
  <si>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</si>
  <si>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</si>
  <si>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</si>
  <si>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</si>
  <si>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</si>
  <si>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</si>
  <si>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</si>
  <si>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</si>
  <si>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</si>
  <si>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</si>
  <si>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</si>
  <si>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</si>
  <si>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</si>
  <si>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</si>
  <si>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</si>
  <si>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</si>
  <si>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</si>
  <si>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</si>
  <si>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</si>
  <si>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</si>
  <si>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</si>
  <si>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</si>
  <si>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</si>
  <si>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</si>
  <si>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</si>
  <si>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</si>
  <si>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</si>
  <si>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</si>
  <si>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</si>
  <si>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</si>
  <si>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</si>
  <si>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</si>
  <si>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</si>
  <si>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</si>
  <si>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</si>
  <si>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</si>
  <si>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</si>
  <si>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</si>
  <si>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</si>
  <si>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</si>
  <si>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</si>
  <si>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</si>
  <si>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</si>
  <si>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</si>
  <si>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</si>
  <si>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</si>
  <si>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</si>
  <si>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</si>
  <si>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</si>
  <si>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</si>
  <si>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</si>
  <si>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</si>
  <si>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</si>
  <si>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</si>
  <si>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</si>
  <si>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</si>
  <si>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</si>
  <si>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</si>
  <si>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</si>
  <si>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</si>
  <si>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</si>
  <si>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</si>
  <si>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</si>
  <si>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</si>
  <si>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</si>
  <si>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</si>
  <si>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</si>
  <si>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</si>
  <si>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</si>
  <si>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</si>
  <si>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</si>
  <si>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</si>
  <si>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</si>
  <si>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</si>
  <si>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</si>
  <si>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</si>
  <si>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</si>
  <si>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</si>
  <si>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</si>
  <si>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</si>
  <si>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</si>
  <si>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</si>
  <si>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</si>
  <si>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</si>
  <si>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</si>
  <si>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</si>
  <si>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</si>
  <si>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</si>
  <si>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</si>
  <si>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</si>
  <si>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</si>
  <si>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</si>
  <si>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</si>
  <si>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</si>
  <si>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</si>
  <si>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</si>
  <si>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</si>
  <si>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</si>
  <si>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</si>
  <si>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</si>
  <si>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</si>
  <si>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</si>
  <si>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</si>
  <si>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</si>
  <si>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</si>
  <si>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</si>
  <si>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</si>
  <si>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</si>
  <si>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</si>
  <si>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</si>
  <si>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</si>
  <si>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</si>
  <si>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</si>
  <si>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</si>
  <si>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</si>
  <si>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</si>
  <si>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</si>
  <si>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</si>
  <si>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</si>
  <si>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</si>
  <si>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</si>
  <si>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</si>
  <si>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</si>
  <si>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</si>
  <si>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</si>
  <si>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</si>
  <si>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</si>
  <si>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</si>
  <si>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</si>
  <si>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</si>
  <si>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</si>
  <si>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</si>
  <si>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</si>
  <si>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</si>
  <si>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</si>
  <si>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</si>
  <si>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</si>
  <si>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</si>
  <si>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</si>
  <si>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</si>
  <si>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</si>
  <si>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</si>
  <si>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</si>
  <si>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</si>
  <si>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</si>
  <si>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</si>
  <si>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</si>
  <si>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</si>
  <si>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</si>
  <si>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</si>
  <si>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</si>
  <si>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</si>
  <si>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</si>
  <si>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</si>
  <si>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</si>
  <si>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</si>
  <si>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</si>
  <si>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</si>
  <si>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</si>
  <si>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</si>
  <si>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</si>
  <si>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</si>
  <si>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</si>
  <si>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</si>
  <si>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</si>
  <si>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</si>
  <si>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</si>
  <si>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</si>
  <si>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</si>
  <si>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</si>
  <si>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</si>
  <si>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</si>
  <si>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</si>
  <si>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</si>
  <si>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</si>
  <si>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</si>
  <si>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</si>
  <si>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</si>
  <si>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</si>
  <si>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</si>
  <si>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</si>
  <si>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</si>
  <si>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</si>
  <si>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</si>
  <si>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</si>
  <si>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</si>
  <si>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</si>
  <si>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</si>
  <si>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</si>
  <si>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</si>
  <si>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</si>
  <si>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</si>
  <si>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</si>
  <si>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</si>
  <si>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</si>
  <si>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</si>
  <si>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</si>
  <si>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</si>
  <si>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</si>
  <si>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</si>
  <si>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</si>
  <si>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</si>
  <si>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</si>
  <si>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</si>
  <si>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</si>
  <si>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</si>
  <si>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</si>
  <si>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</si>
  <si>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</si>
  <si>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</si>
  <si>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</si>
  <si>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</si>
  <si>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</si>
  <si>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</si>
  <si>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</si>
  <si>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</si>
  <si>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</si>
  <si>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</si>
  <si>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</si>
  <si>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</si>
  <si>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</si>
  <si>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</si>
  <si>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</si>
  <si>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</si>
  <si>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</si>
  <si>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</si>
  <si>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</si>
  <si>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</si>
  <si>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</si>
  <si>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</si>
  <si>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</si>
  <si>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</si>
  <si>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</si>
  <si>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</si>
  <si>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</si>
  <si>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</si>
  <si>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</si>
  <si>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</si>
  <si>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</si>
  <si>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</si>
  <si>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</si>
  <si>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</si>
  <si>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</si>
  <si>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</si>
  <si>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</si>
  <si>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</si>
  <si>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</si>
  <si>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</si>
  <si>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</si>
  <si>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</si>
  <si>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</si>
  <si>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</si>
  <si>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</si>
  <si>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</si>
  <si>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</si>
  <si>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</si>
  <si>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</si>
  <si>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</si>
  <si>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</si>
  <si>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</si>
  <si>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</si>
  <si>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</si>
  <si>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</si>
  <si>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</si>
  <si>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</si>
  <si>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</si>
  <si>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</si>
  <si>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</si>
  <si>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</si>
  <si>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</si>
  <si>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</si>
  <si>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</si>
  <si>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</si>
  <si>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</si>
  <si>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</si>
  <si>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</si>
  <si>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</si>
  <si>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</si>
  <si>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</si>
  <si>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</si>
  <si>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</si>
  <si>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</si>
  <si>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</si>
  <si>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</si>
  <si>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</si>
  <si>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</si>
  <si>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</si>
  <si>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</si>
  <si>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</si>
  <si>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</si>
  <si>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</si>
  <si>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</si>
  <si>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</si>
  <si>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</si>
  <si>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</si>
  <si>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</si>
  <si>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</si>
  <si>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</si>
  <si>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</si>
  <si>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</si>
  <si>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</si>
  <si>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</si>
  <si>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</si>
  <si>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</si>
  <si>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</si>
  <si>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</si>
  <si>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</si>
  <si>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</si>
  <si>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</si>
  <si>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</si>
  <si>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</si>
  <si>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</si>
  <si>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</si>
  <si>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</si>
  <si>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</si>
  <si>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</si>
  <si>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</si>
  <si>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</si>
  <si>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</si>
  <si>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</si>
  <si>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</si>
  <si>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</si>
  <si>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</si>
  <si>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</si>
  <si>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</si>
  <si>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</si>
  <si>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</si>
  <si>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</si>
  <si>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</si>
  <si>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</si>
  <si>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</si>
  <si>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</si>
  <si>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</si>
  <si>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</si>
  <si>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</si>
  <si>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</si>
  <si>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</si>
  <si>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</si>
  <si>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</si>
  <si>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</si>
  <si>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</si>
  <si>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</si>
  <si>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</si>
  <si>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</si>
  <si>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</si>
  <si>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</si>
  <si>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</si>
  <si>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</si>
  <si>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</si>
  <si>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</si>
  <si>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</si>
  <si>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</si>
  <si>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</si>
  <si>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</si>
  <si>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</si>
  <si>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</si>
  <si>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</si>
  <si>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</si>
  <si>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</si>
  <si>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</si>
  <si>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</si>
  <si>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</si>
  <si>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</si>
  <si>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</si>
  <si>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</si>
  <si>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</si>
  <si>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</si>
  <si>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</si>
  <si>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</si>
  <si>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</si>
  <si>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</si>
  <si>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</si>
  <si>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</si>
  <si>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</si>
  <si>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</si>
  <si>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</si>
  <si>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</si>
  <si>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</si>
  <si>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</si>
  <si>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</si>
  <si>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</si>
  <si>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</si>
  <si>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</si>
  <si>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</si>
  <si>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</si>
  <si>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</si>
  <si>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</si>
  <si>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</si>
  <si>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</si>
  <si>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</si>
  <si>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</si>
  <si>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</si>
  <si>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</si>
  <si>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</si>
  <si>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</si>
  <si>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</si>
  <si>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</si>
  <si>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</si>
  <si>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</si>
  <si>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</si>
  <si>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</si>
  <si>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</si>
  <si>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</si>
  <si>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</si>
  <si>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</si>
  <si>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</si>
  <si>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</si>
  <si>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</si>
  <si>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</si>
  <si>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</si>
  <si>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</si>
  <si>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</si>
  <si>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</si>
  <si>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</si>
  <si>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</si>
  <si>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</si>
  <si>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</si>
  <si>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</si>
  <si>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</si>
  <si>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</si>
  <si>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</si>
  <si>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</si>
  <si>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</si>
  <si>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</si>
  <si>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</si>
  <si>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</si>
  <si>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</si>
  <si>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</si>
  <si>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</si>
  <si>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</si>
  <si>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</si>
  <si>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</si>
  <si>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</si>
  <si>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</si>
  <si>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</si>
  <si>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</si>
  <si>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</si>
  <si>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</si>
  <si>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</si>
  <si>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</si>
  <si>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</si>
  <si>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</si>
  <si>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</si>
  <si>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</si>
  <si>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</si>
  <si>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</si>
  <si>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</si>
  <si>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</si>
  <si>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</si>
  <si>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</si>
  <si>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</si>
  <si>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</si>
  <si>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</si>
  <si>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</si>
  <si>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</si>
  <si>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</si>
  <si>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</si>
  <si>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</si>
  <si>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</si>
  <si>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</si>
  <si>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</si>
  <si>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</si>
  <si>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</si>
  <si>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</si>
  <si>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</si>
  <si>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</si>
  <si>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</si>
  <si>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</si>
  <si>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</si>
  <si>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</si>
  <si>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</si>
  <si>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</si>
  <si>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</si>
  <si>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</si>
  <si>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</si>
  <si>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</si>
  <si>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</si>
  <si>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</si>
  <si>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</si>
  <si>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</si>
  <si>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</si>
  <si>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</si>
  <si>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</si>
  <si>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</si>
  <si>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</si>
  <si>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</si>
  <si>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</si>
  <si>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</si>
  <si>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</si>
  <si>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</si>
  <si>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</si>
  <si>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</si>
  <si>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</si>
  <si>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</si>
  <si>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</si>
  <si>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</si>
  <si>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</si>
  <si>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</si>
  <si>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</si>
  <si>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</si>
  <si>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</si>
  <si>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</si>
  <si>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</si>
  <si>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</si>
  <si>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</si>
  <si>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</si>
  <si>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</si>
  <si>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</si>
  <si>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</si>
  <si>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</si>
  <si>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</si>
  <si>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</si>
  <si>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</si>
  <si>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</si>
  <si>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</si>
  <si>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</si>
  <si>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</si>
  <si>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</si>
  <si>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</si>
  <si>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</si>
  <si>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</si>
  <si>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</si>
  <si>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</si>
  <si>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</si>
  <si>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</si>
  <si>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</si>
  <si>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</si>
  <si>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</si>
  <si>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</si>
  <si>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</si>
  <si>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</si>
  <si>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</si>
  <si>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</si>
  <si>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</si>
  <si>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</si>
  <si>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</si>
  <si>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</si>
  <si>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</si>
  <si>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</si>
  <si>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</si>
  <si>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</si>
  <si>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</si>
  <si>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</si>
  <si>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</si>
  <si>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</si>
  <si>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</si>
  <si>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</si>
  <si>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</si>
  <si>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</si>
  <si>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</si>
  <si>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</si>
  <si>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</si>
  <si>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</si>
  <si>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</si>
  <si>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</si>
  <si>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</si>
  <si>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</si>
  <si>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</si>
  <si>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</si>
  <si>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</si>
  <si>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</si>
  <si>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</si>
  <si>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</si>
  <si>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</si>
  <si>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</si>
  <si>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</si>
  <si>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</si>
  <si>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</si>
  <si>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</si>
  <si>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</si>
  <si>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</si>
  <si>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</si>
  <si>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</si>
  <si>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</si>
  <si>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</si>
  <si>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</si>
  <si>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</si>
  <si>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</si>
  <si>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</si>
  <si>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</si>
  <si>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</si>
  <si>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</si>
  <si>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</si>
  <si>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</si>
  <si>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</si>
  <si>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</si>
  <si>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</si>
  <si>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</si>
  <si>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</si>
  <si>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</si>
  <si>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</si>
  <si>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</si>
  <si>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</si>
  <si>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</si>
  <si>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</si>
  <si>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</si>
  <si>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</si>
  <si>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</si>
  <si>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</si>
  <si>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</si>
  <si>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</si>
  <si>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</si>
  <si>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</si>
  <si>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</si>
  <si>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</si>
  <si>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</si>
  <si>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</si>
  <si>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</si>
  <si>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</si>
  <si>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</si>
  <si>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</si>
  <si>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</si>
  <si>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</si>
  <si>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</si>
  <si>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</si>
  <si>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</si>
  <si>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</si>
  <si>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</si>
  <si>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</si>
  <si>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</si>
  <si>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</si>
  <si>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</si>
  <si>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</si>
  <si>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</si>
  <si>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</si>
  <si>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</si>
  <si>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</si>
  <si>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</si>
  <si>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</si>
  <si>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</si>
  <si>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</si>
  <si>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</si>
  <si>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</si>
  <si>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</si>
  <si>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</si>
  <si>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</si>
  <si>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</si>
  <si>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</si>
  <si>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</si>
  <si>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</si>
  <si>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</si>
  <si>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</si>
  <si>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</si>
  <si>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</si>
  <si>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</si>
  <si>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</si>
  <si>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</si>
  <si>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</si>
  <si>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</si>
  <si>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</si>
  <si>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</si>
  <si>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</si>
  <si>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</si>
  <si>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</si>
  <si>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</si>
  <si>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</si>
  <si>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</si>
  <si>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</si>
  <si>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</si>
  <si>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</si>
  <si>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</si>
  <si>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</si>
  <si>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</si>
  <si>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</si>
  <si>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</si>
  <si>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</si>
  <si>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</si>
  <si>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</si>
  <si>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</si>
  <si>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</si>
  <si>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</si>
  <si>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</si>
  <si>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</si>
  <si>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</si>
  <si>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</si>
  <si>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</si>
  <si>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</si>
  <si>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</si>
  <si>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</si>
  <si>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</si>
  <si>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</si>
  <si>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</si>
  <si>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</si>
  <si>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</si>
  <si>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</si>
  <si>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</si>
  <si>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</si>
  <si>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</si>
  <si>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</si>
  <si>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</si>
  <si>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</si>
  <si>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</si>
  <si>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</si>
  <si>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</si>
  <si>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</si>
  <si>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</si>
  <si>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</si>
  <si>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</si>
  <si>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</si>
  <si>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</si>
  <si>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</si>
  <si>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</si>
  <si>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</si>
  <si>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</si>
  <si>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</si>
  <si>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</si>
  <si>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</si>
  <si>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</si>
  <si>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</si>
  <si>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</si>
  <si>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</si>
  <si>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</si>
  <si>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</si>
  <si>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</si>
  <si>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</si>
  <si>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</si>
  <si>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</si>
  <si>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</si>
  <si>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</si>
  <si>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</si>
  <si>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</si>
  <si>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</si>
  <si>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</si>
  <si>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</si>
  <si>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</si>
  <si>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</si>
  <si>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</si>
  <si>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</si>
  <si>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</si>
  <si>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</si>
  <si>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</si>
  <si>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</si>
  <si>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</si>
  <si>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</si>
  <si>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</si>
  <si>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</si>
  <si>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</si>
  <si>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</si>
  <si>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</si>
  <si>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</si>
  <si>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</si>
  <si>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</si>
  <si>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</si>
  <si>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</si>
  <si>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</si>
  <si>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</si>
  <si>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</si>
  <si>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</si>
  <si>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</si>
  <si>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</si>
  <si>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</si>
  <si>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</si>
  <si>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</si>
  <si>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</si>
  <si>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</si>
  <si>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</si>
  <si>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</si>
  <si>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</si>
  <si>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</si>
  <si>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</si>
  <si>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</si>
  <si>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</si>
  <si>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</si>
  <si>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</si>
  <si>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</si>
  <si>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</si>
  <si>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</si>
  <si>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</si>
  <si>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</si>
  <si>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</si>
  <si>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</si>
  <si>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</si>
  <si>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</si>
  <si>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</si>
  <si>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</si>
  <si>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</si>
  <si>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</si>
  <si>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</si>
  <si>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</si>
  <si>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</si>
  <si>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</si>
  <si>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</si>
  <si>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</si>
  <si>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</si>
  <si>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</si>
  <si>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</si>
  <si>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</si>
  <si>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</si>
  <si>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</si>
  <si>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</si>
  <si>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</si>
  <si>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</si>
  <si>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</si>
  <si>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</si>
  <si>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</si>
  <si>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</si>
  <si>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</si>
  <si>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</si>
  <si>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</si>
  <si>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</si>
  <si>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</si>
  <si>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</si>
  <si>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</si>
  <si>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</si>
  <si>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</si>
  <si>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</si>
  <si>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</si>
  <si>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</si>
  <si>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</si>
  <si>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</si>
  <si>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</si>
  <si>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</si>
  <si>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</si>
  <si>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</si>
  <si>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</si>
  <si>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</si>
  <si>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</si>
  <si>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</si>
  <si>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</si>
  <si>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</si>
  <si>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</si>
  <si>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</si>
  <si>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</si>
  <si>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</si>
  <si>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</si>
  <si>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</si>
  <si>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</si>
  <si>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</si>
  <si>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</si>
  <si>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</si>
  <si>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</si>
  <si>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</si>
  <si>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</si>
  <si>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</si>
  <si>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</si>
  <si>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</si>
  <si>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</si>
  <si>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</si>
  <si>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</si>
  <si>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</si>
  <si>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</si>
  <si>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</si>
  <si>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</si>
  <si>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</si>
  <si>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</si>
  <si>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</si>
  <si>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</si>
  <si>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</si>
  <si>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</si>
  <si>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</si>
  <si>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</si>
  <si>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</si>
  <si>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</si>
  <si>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</si>
  <si>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</si>
  <si>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</si>
  <si>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</si>
  <si>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</si>
  <si>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</si>
  <si>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</si>
  <si>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</si>
  <si>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</si>
  <si>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</si>
  <si>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</si>
  <si>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</si>
  <si>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</si>
  <si>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</si>
  <si>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</si>
  <si>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</si>
  <si>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</si>
  <si>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</si>
  <si>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</si>
  <si>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</si>
  <si>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</si>
  <si>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</si>
  <si>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</si>
  <si>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</si>
  <si>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</si>
  <si>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</si>
  <si>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</si>
  <si>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</si>
  <si>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</si>
  <si>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</si>
  <si>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</si>
  <si>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</si>
  <si>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</si>
  <si>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</si>
  <si>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</si>
  <si>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</si>
  <si>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</si>
  <si>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</si>
  <si>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</si>
  <si>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</si>
  <si>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</si>
  <si>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</si>
  <si>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</si>
  <si>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</si>
  <si>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</si>
  <si>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</si>
  <si>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</si>
  <si>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</si>
  <si>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</si>
  <si>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</si>
  <si>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</si>
  <si>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</si>
  <si>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</si>
  <si>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</si>
  <si>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</si>
  <si>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</si>
  <si>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</si>
  <si>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</si>
  <si>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</si>
  <si>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</si>
  <si>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</si>
  <si>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</si>
  <si>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</si>
  <si>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</si>
  <si>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</si>
  <si>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</si>
  <si>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</si>
  <si>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</si>
  <si>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</si>
  <si>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</si>
  <si>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</si>
  <si>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</si>
  <si>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</si>
  <si>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</si>
  <si>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</si>
  <si>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</si>
  <si>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</si>
  <si>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</si>
  <si>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</si>
  <si>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</si>
  <si>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</si>
  <si>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</si>
  <si>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</si>
  <si>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</si>
  <si>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</si>
  <si>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</si>
  <si>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</si>
  <si>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</si>
  <si>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</si>
  <si>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</si>
  <si>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</si>
  <si>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</si>
  <si>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</si>
  <si>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</si>
  <si>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</si>
  <si>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</si>
  <si>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</si>
  <si>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</si>
  <si>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</si>
  <si>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</si>
  <si>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</si>
  <si>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</si>
  <si>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</si>
  <si>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</si>
  <si>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</si>
  <si>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</si>
  <si>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</si>
  <si>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</si>
  <si>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</si>
  <si>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</si>
  <si>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</si>
  <si>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</si>
  <si>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</si>
  <si>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</si>
  <si>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</si>
  <si>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</si>
  <si>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</si>
  <si>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</si>
  <si>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</si>
  <si>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</si>
  <si>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</si>
  <si>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</si>
  <si>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</si>
  <si>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</si>
  <si>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</si>
  <si>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</si>
  <si>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</si>
  <si>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</si>
  <si>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</si>
  <si>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</si>
  <si>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</si>
  <si>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</si>
  <si>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</si>
  <si>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</si>
  <si>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</si>
  <si>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</si>
  <si>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</si>
  <si>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</si>
  <si>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</si>
  <si>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</si>
  <si>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</si>
  <si>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</si>
  <si>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</si>
  <si>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</si>
  <si>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</si>
  <si>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</si>
  <si>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</si>
  <si>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</si>
  <si>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</si>
  <si>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</si>
  <si>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</si>
  <si>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</si>
  <si>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</si>
  <si>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</si>
  <si>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</si>
  <si>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</si>
  <si>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</si>
  <si>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</si>
  <si>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</si>
  <si>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</si>
  <si>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</si>
  <si>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</si>
  <si>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</si>
  <si>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</si>
  <si>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</si>
  <si>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</si>
  <si>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</si>
  <si>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</si>
  <si>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</si>
  <si>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</si>
  <si>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</si>
  <si>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</si>
  <si>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</si>
  <si>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</si>
  <si>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</si>
  <si>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</si>
  <si>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</si>
  <si>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</si>
  <si>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</si>
  <si>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</si>
  <si>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</si>
  <si>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</si>
  <si>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</si>
  <si>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</si>
  <si>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</si>
  <si>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</si>
  <si>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</si>
  <si>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</si>
  <si>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</si>
  <si>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</si>
  <si>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</si>
  <si>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</si>
  <si>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</si>
  <si>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</si>
  <si>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</si>
  <si>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</si>
  <si>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</si>
  <si>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</si>
  <si>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</si>
  <si>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</si>
  <si>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</si>
  <si>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</si>
  <si>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</si>
  <si>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</si>
  <si>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</si>
  <si>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</si>
  <si>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</si>
  <si>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</si>
  <si>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</si>
  <si>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</si>
  <si>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</si>
  <si>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</si>
  <si>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</si>
  <si>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</si>
  <si>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</si>
  <si>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</si>
  <si>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</si>
  <si>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</si>
  <si>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</si>
  <si>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</si>
  <si>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</si>
  <si>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</si>
  <si>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</si>
  <si>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</si>
  <si>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</si>
  <si>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</si>
  <si>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</si>
  <si>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</si>
  <si>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</si>
  <si>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</si>
  <si>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</si>
  <si>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</si>
  <si>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</si>
  <si>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</si>
  <si>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</si>
  <si>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</si>
  <si>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</si>
  <si>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</si>
  <si>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</si>
  <si>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</si>
  <si>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</si>
  <si>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</si>
  <si>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</si>
  <si>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</si>
  <si>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</si>
  <si>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</si>
  <si>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</si>
  <si>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</si>
  <si>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</si>
  <si>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</si>
  <si>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</si>
  <si>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</si>
  <si>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</si>
  <si>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</si>
  <si>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</si>
  <si>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</si>
  <si>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</si>
  <si>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</si>
  <si>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</si>
  <si>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</si>
  <si>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</si>
  <si>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</si>
  <si>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</si>
  <si>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</si>
  <si>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</si>
  <si>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</si>
  <si>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</si>
  <si>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</si>
  <si>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</si>
  <si>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</si>
  <si>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</si>
  <si>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</si>
  <si>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</si>
  <si>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</si>
  <si>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</si>
  <si>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</si>
  <si>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</si>
  <si>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</si>
  <si>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</si>
  <si>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</si>
  <si>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</si>
  <si>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</si>
  <si>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</si>
  <si>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</si>
  <si>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</si>
  <si>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</si>
  <si>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</si>
  <si>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</si>
  <si>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</si>
  <si>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</si>
  <si>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</si>
  <si>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</si>
  <si>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</si>
  <si>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</si>
  <si>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</si>
  <si>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</si>
  <si>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</si>
  <si>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</si>
  <si>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</si>
  <si>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</si>
  <si>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</si>
  <si>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</si>
  <si>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</si>
  <si>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</si>
  <si>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</si>
  <si>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</si>
  <si>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</si>
  <si>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</si>
  <si>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</si>
  <si>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</si>
  <si>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</si>
  <si>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</si>
  <si>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</si>
  <si>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</si>
  <si>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</si>
  <si>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</si>
  <si>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</si>
  <si>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</si>
  <si>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</si>
  <si>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</si>
  <si>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</si>
  <si>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</si>
  <si>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</si>
  <si>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</si>
  <si>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</si>
  <si>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</si>
  <si>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</si>
  <si>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</si>
  <si>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</si>
  <si>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</si>
  <si>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</si>
  <si>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</si>
  <si>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</si>
  <si>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</si>
  <si>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</si>
  <si>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</si>
  <si>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</si>
  <si>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</si>
  <si>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</si>
  <si>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</si>
  <si>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</si>
  <si>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</si>
  <si>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</si>
  <si>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</si>
  <si>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</si>
  <si>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</si>
  <si>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</si>
  <si>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</si>
  <si>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</si>
  <si>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</si>
  <si>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</si>
  <si>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</si>
  <si>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</si>
  <si>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</si>
  <si>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</si>
  <si>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</si>
  <si>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</si>
  <si>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</si>
  <si>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</si>
  <si>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</si>
  <si>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</si>
  <si>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</si>
  <si>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</si>
  <si>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</si>
  <si>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</si>
  <si>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</si>
  <si>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</si>
  <si>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</si>
  <si>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</si>
  <si>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</si>
  <si>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</si>
  <si>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</si>
  <si>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</si>
  <si>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</si>
  <si>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</si>
  <si>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</si>
  <si>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</si>
  <si>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</si>
  <si>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</si>
  <si>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</si>
  <si>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</si>
  <si>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</si>
  <si>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</si>
  <si>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</si>
  <si>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</si>
  <si>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</si>
  <si>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</si>
  <si>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</si>
  <si>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</si>
  <si>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</si>
  <si>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</si>
  <si>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</si>
  <si>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</si>
  <si>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</si>
  <si>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</si>
  <si>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</si>
  <si>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</si>
  <si>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</si>
  <si>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</si>
  <si>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</si>
  <si>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</si>
  <si>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</si>
  <si>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</si>
  <si>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</si>
  <si>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</si>
  <si>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</si>
  <si>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</si>
  <si>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</si>
  <si>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</si>
  <si>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</si>
  <si>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</si>
  <si>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</si>
  <si>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</si>
  <si>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</si>
  <si>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</si>
  <si>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</si>
  <si>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</si>
  <si>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</si>
  <si>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</si>
  <si>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</si>
  <si>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</si>
  <si>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</si>
  <si>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</si>
  <si>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</si>
  <si>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</si>
  <si>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</si>
  <si>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</si>
  <si>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</si>
  <si>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</si>
  <si>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</si>
  <si>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</si>
  <si>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</si>
  <si>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</si>
  <si>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</si>
  <si>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</si>
  <si>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</si>
  <si>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</si>
  <si>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</si>
  <si>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</si>
  <si>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</si>
  <si>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</si>
  <si>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</si>
  <si>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</si>
  <si>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</si>
  <si>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</si>
  <si>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</si>
  <si>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</si>
  <si>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</si>
  <si>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</si>
  <si>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</si>
  <si>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</si>
  <si>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</si>
  <si>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</si>
  <si>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</si>
  <si>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</si>
  <si>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</si>
  <si>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</si>
  <si>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</si>
  <si>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</si>
  <si>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</si>
  <si>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</si>
  <si>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</si>
  <si>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</si>
  <si>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</si>
  <si>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</si>
  <si>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</si>
  <si>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</si>
  <si>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</si>
  <si>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</si>
  <si>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</si>
  <si>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</si>
  <si>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</si>
  <si>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</si>
  <si>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</si>
  <si>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</si>
  <si>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</si>
  <si>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</si>
  <si>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</si>
  <si>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</si>
  <si>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</si>
  <si>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</si>
  <si>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</si>
  <si>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</si>
  <si>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</si>
  <si>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</si>
  <si>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</si>
  <si>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</si>
  <si>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</si>
  <si>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</si>
  <si>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</si>
  <si>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</si>
  <si>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</si>
  <si>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</si>
  <si>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</si>
  <si>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</si>
  <si>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</si>
  <si>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</si>
  <si>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</si>
  <si>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</si>
  <si>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</si>
  <si>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</si>
  <si>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</si>
  <si>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</si>
  <si>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</si>
  <si>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</si>
  <si>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</si>
  <si>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</si>
  <si>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</si>
  <si>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</si>
  <si>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</si>
  <si>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</si>
  <si>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</si>
  <si>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</si>
  <si>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</si>
  <si>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</si>
  <si>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</si>
  <si>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</si>
  <si>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</si>
  <si>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</si>
  <si>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</si>
  <si>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</si>
  <si>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</si>
  <si>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</si>
  <si>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</si>
  <si>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</si>
  <si>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</si>
  <si>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</si>
  <si>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</si>
  <si>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</si>
  <si>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</si>
  <si>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</si>
  <si>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</si>
  <si>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</si>
  <si>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</si>
  <si>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</si>
  <si>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</si>
  <si>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</si>
  <si>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</si>
  <si>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</si>
  <si>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</si>
  <si>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</si>
  <si>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</si>
  <si>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</si>
  <si>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</si>
  <si>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</si>
  <si>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</si>
  <si>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</si>
  <si>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</si>
  <si>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</si>
  <si>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</si>
  <si>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</si>
  <si>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</si>
  <si>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</si>
  <si>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</si>
  <si>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</si>
  <si>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</si>
  <si>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</si>
  <si>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</si>
  <si>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</si>
  <si>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</si>
  <si>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</si>
  <si>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</si>
  <si>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</si>
  <si>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</si>
  <si>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</si>
  <si>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</si>
  <si>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</si>
  <si>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</si>
  <si>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</si>
  <si>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</si>
  <si>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</si>
  <si>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</si>
  <si>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</si>
  <si>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</si>
  <si>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</si>
  <si>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</si>
  <si>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</si>
  <si>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</si>
  <si>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</si>
  <si>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</si>
  <si>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</si>
  <si>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</si>
  <si>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</si>
  <si>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</si>
  <si>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</si>
  <si>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</si>
  <si>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</si>
  <si>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</si>
  <si>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</si>
  <si>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</si>
  <si>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</si>
  <si>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</si>
  <si>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</si>
  <si>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</si>
  <si>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</si>
  <si>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</si>
  <si>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</si>
  <si>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</si>
  <si>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</si>
  <si>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</si>
  <si>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</si>
  <si>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</si>
  <si>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</si>
  <si>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</si>
  <si>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</si>
  <si>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</si>
  <si>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</si>
  <si>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</si>
  <si>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</si>
  <si>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</si>
  <si>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</si>
  <si>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</si>
  <si>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</si>
  <si>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</si>
  <si>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</si>
  <si>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</si>
  <si>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</si>
  <si>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</si>
  <si>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</si>
  <si>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</si>
  <si>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</si>
  <si>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</si>
  <si>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</si>
  <si>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</si>
  <si>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</si>
  <si>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</si>
  <si>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</si>
  <si>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</si>
  <si>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</si>
  <si>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</si>
  <si>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</si>
  <si>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</si>
  <si>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</si>
  <si>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</si>
  <si>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</si>
  <si>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</si>
  <si>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</si>
  <si>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</si>
  <si>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</si>
  <si>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</si>
  <si>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</si>
  <si>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</si>
  <si>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</si>
  <si>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</si>
  <si>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</si>
  <si>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</si>
  <si>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</si>
  <si>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</si>
  <si>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</si>
  <si>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</si>
  <si>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</si>
  <si>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</si>
  <si>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</si>
  <si>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</si>
  <si>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</si>
  <si>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</si>
  <si>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</si>
  <si>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</si>
  <si>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</si>
  <si>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</si>
  <si>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</si>
  <si>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</si>
  <si>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</si>
  <si>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</si>
  <si>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</si>
  <si>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</si>
  <si>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</si>
  <si>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</si>
  <si>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</si>
  <si>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</si>
  <si>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</si>
  <si>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</si>
  <si>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</si>
  <si>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</si>
  <si>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</si>
  <si>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</si>
  <si>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</si>
  <si>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</si>
  <si>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</si>
  <si>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</si>
  <si>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</si>
  <si>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</si>
  <si>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</si>
  <si>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</si>
  <si>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</si>
  <si>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</si>
  <si>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</si>
  <si>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</si>
  <si>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</si>
  <si>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</si>
  <si>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</si>
  <si>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</si>
  <si>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</si>
  <si>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</si>
  <si>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</si>
  <si>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</si>
  <si>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</si>
  <si>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</si>
  <si>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</si>
  <si>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</si>
  <si>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</si>
  <si>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</si>
  <si>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</si>
  <si>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</si>
  <si>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</si>
  <si>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</si>
  <si>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</si>
  <si>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</si>
  <si>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</si>
  <si>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</si>
  <si>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</si>
  <si>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</si>
  <si>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</si>
  <si>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</si>
  <si>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</si>
  <si>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</si>
  <si>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</si>
  <si>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</si>
  <si>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</si>
  <si>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</si>
  <si>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</si>
  <si>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</si>
  <si>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</si>
  <si>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</si>
  <si>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</si>
  <si>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</si>
  <si>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</si>
  <si>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</si>
  <si>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</si>
  <si>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</si>
  <si>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</si>
  <si>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</si>
  <si>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</si>
  <si>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</si>
  <si>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</si>
  <si>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</si>
  <si>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</si>
  <si>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</si>
  <si>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</si>
  <si>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</si>
  <si>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</si>
  <si>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</si>
  <si>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</si>
  <si>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</si>
  <si>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</si>
  <si>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</si>
  <si>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</si>
  <si>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</si>
  <si>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</si>
  <si>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</si>
  <si>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</si>
  <si>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</si>
  <si>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</si>
  <si>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</si>
  <si>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</si>
  <si>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</si>
  <si>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</si>
  <si>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</si>
  <si>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</si>
  <si>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</si>
  <si>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</si>
  <si>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</si>
  <si>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</si>
  <si>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</si>
  <si>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</si>
  <si>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</si>
  <si>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</si>
  <si>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</si>
  <si>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</si>
  <si>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</si>
  <si>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</si>
  <si>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</si>
  <si>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</si>
  <si>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</si>
  <si>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</si>
  <si>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</si>
  <si>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</si>
  <si>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</si>
  <si>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</si>
  <si>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</si>
  <si>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</si>
  <si>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</si>
  <si>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</si>
  <si>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</si>
  <si>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</si>
  <si>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</si>
  <si>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</si>
  <si>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</si>
  <si>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</si>
  <si>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</si>
  <si>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</si>
  <si>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</si>
  <si>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</si>
  <si>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</si>
  <si>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</si>
  <si>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</si>
  <si>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</si>
  <si>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</si>
  <si>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</si>
  <si>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</si>
  <si>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</si>
  <si>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</si>
  <si>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</si>
  <si>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</si>
  <si>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</si>
  <si>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</si>
  <si>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</si>
  <si>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</si>
  <si>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</si>
  <si>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</si>
  <si>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</si>
  <si>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</si>
  <si>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</si>
  <si>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</si>
  <si>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</si>
  <si>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</si>
  <si>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</si>
  <si>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</si>
  <si>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</si>
  <si>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</si>
  <si>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</si>
  <si>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</si>
  <si>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</si>
  <si>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</si>
  <si>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</si>
  <si>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</si>
  <si>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</si>
  <si>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</si>
  <si>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</si>
  <si>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</si>
  <si>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</si>
  <si>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</si>
  <si>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</si>
  <si>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</si>
  <si>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</si>
  <si>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</si>
  <si>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</si>
  <si>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</si>
  <si>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</si>
  <si>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</si>
  <si>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</si>
  <si>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</si>
  <si>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</si>
  <si>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</si>
  <si>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</si>
  <si>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</si>
  <si>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</si>
  <si>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</si>
  <si>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</si>
  <si>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</si>
  <si>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</si>
  <si>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</si>
  <si>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</si>
  <si>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</si>
  <si>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</si>
  <si>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</si>
  <si>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</si>
  <si>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</si>
  <si>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</si>
  <si>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</si>
  <si>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</si>
  <si>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</si>
  <si>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</si>
  <si>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</si>
  <si>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</si>
  <si>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</si>
  <si>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</si>
  <si>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</si>
  <si>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</si>
  <si>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</si>
  <si>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</si>
  <si>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</si>
  <si>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</si>
  <si>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</si>
  <si>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</si>
  <si>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</si>
  <si>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</si>
  <si>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</si>
  <si>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</si>
  <si>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</si>
  <si>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</si>
  <si>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</si>
  <si>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</si>
  <si>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</si>
  <si>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</si>
  <si>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</si>
  <si>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</si>
  <si>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</si>
  <si>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</si>
  <si>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</si>
  <si>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</si>
  <si>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</si>
  <si>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</si>
  <si>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</si>
  <si>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</si>
  <si>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</si>
  <si>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</si>
  <si>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</si>
  <si>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</si>
  <si>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</si>
  <si>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</si>
  <si>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</si>
  <si>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</si>
  <si>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</si>
  <si>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</si>
  <si>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</si>
  <si>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</si>
  <si>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</si>
  <si>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</si>
  <si>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</si>
  <si>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</si>
  <si>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</si>
  <si>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</si>
  <si>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</si>
  <si>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</si>
  <si>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</si>
  <si>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</si>
  <si>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</si>
  <si>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</si>
  <si>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</si>
  <si>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</si>
  <si>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</si>
  <si>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</si>
  <si>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</si>
  <si>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</si>
  <si>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</si>
  <si>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</si>
  <si>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</si>
  <si>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</si>
  <si>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</si>
  <si>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</si>
  <si>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</si>
  <si>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</si>
  <si>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</si>
  <si>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</si>
  <si>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</si>
  <si>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</si>
  <si>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</si>
  <si>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</si>
  <si>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</si>
  <si>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</si>
  <si>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</si>
  <si>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</si>
  <si>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</si>
  <si>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</si>
  <si>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</si>
  <si>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</si>
  <si>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</si>
  <si>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</si>
  <si>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</si>
  <si>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</si>
  <si>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</si>
  <si>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</si>
  <si>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</si>
  <si>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</si>
  <si>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</si>
  <si>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</si>
  <si>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</si>
  <si>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</si>
  <si>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</si>
  <si>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</si>
  <si>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</si>
  <si>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</si>
  <si>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</si>
  <si>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</si>
  <si>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</si>
  <si>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</si>
  <si>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</si>
  <si>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</si>
  <si>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</si>
  <si>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</si>
  <si>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</si>
  <si>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</si>
  <si>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</si>
  <si>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</si>
  <si>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</si>
  <si>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</si>
  <si>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</si>
  <si>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</si>
  <si>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</si>
  <si>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</si>
  <si>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</si>
  <si>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</si>
  <si>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</si>
  <si>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</si>
  <si>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</si>
  <si>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</si>
  <si>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</si>
  <si>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</si>
  <si>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</si>
  <si>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</si>
  <si>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</si>
  <si>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</si>
  <si>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</si>
  <si>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</si>
  <si>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</si>
  <si>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</si>
  <si>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</si>
  <si>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</si>
  <si>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</si>
  <si>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</si>
  <si>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</si>
  <si>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</si>
  <si>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</si>
  <si>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</si>
  <si>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</si>
  <si>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</si>
  <si>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</si>
  <si>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</si>
  <si>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</si>
  <si>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</si>
  <si>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</si>
  <si>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</si>
  <si>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</si>
  <si>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</si>
  <si>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</si>
  <si>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</si>
  <si>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</si>
  <si>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</si>
  <si>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</si>
  <si>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</si>
  <si>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</si>
  <si>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</si>
  <si>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</si>
  <si>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</si>
  <si>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</si>
  <si>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</si>
  <si>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</si>
  <si>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</si>
  <si>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</si>
  <si>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</si>
  <si>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</si>
  <si>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</si>
  <si>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</si>
  <si>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</si>
  <si>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</si>
  <si>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</si>
  <si>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</si>
  <si>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</si>
  <si>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</si>
  <si>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</si>
  <si>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</si>
  <si>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</si>
  <si>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</si>
  <si>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</si>
  <si>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</si>
  <si>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</si>
  <si>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</si>
  <si>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</si>
  <si>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</si>
  <si>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</si>
  <si>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</si>
  <si>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</si>
  <si>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</si>
  <si>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</si>
  <si>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</si>
  <si>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</si>
  <si>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</si>
  <si>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</si>
  <si>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</si>
  <si>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</si>
  <si>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</si>
  <si>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</si>
  <si>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</si>
  <si>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</si>
  <si>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</si>
  <si>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</si>
  <si>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</si>
  <si>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</si>
  <si>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</si>
  <si>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</si>
  <si>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比较法-商业</t>
  </si>
  <si>
    <t>估价对象1（结果表）</t>
  </si>
  <si>
    <t>丰台区长云路2号院珠江御景</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</si>
</sst>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估价对象为北京市房地产，为所有。根据《》[]，估价对象建筑面积为189.52平方米。根据《》[]，估价对象（分摊）出让国有建设用地使用权面积为平方米。估价对象用途为。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2022年6月15日（评估专业人员实地查勘之日）</v>
      </c>
    </row>
    <row r="10" spans="1:2">
      <c r="A10" s="1181" t="s">
        <v>1047</v>
      </c>
      <c r="B10" s="1168" t="str">
        <f>'预评函-1'!A13</f>
        <v>本次估价的“房地产价值”是指在正常市场情况下，在价值时点2022年6月15日，估价对象规划用途为，假定未设立法定优先受偿款下的房地产市场价值。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189.52</v>
      </c>
    </row>
    <row r="19" spans="1:2">
      <c r="A19" s="1181" t="s">
        <v>1056</v>
      </c>
      <c r="B19" s="1168">
        <f ca="1">'预评函-2（1）'!D7</f>
        <v>464</v>
      </c>
    </row>
    <row r="20" spans="1:2">
      <c r="A20" s="1181" t="s">
        <v>1094</v>
      </c>
      <c r="B20" s="1168" t="str">
        <f>'预评函-2（1）'!C7</f>
        <v>总价（万元）</v>
      </c>
    </row>
    <row r="21" spans="1:2">
      <c r="A21" s="1181" t="s">
        <v>1057</v>
      </c>
      <c r="B21" s="1168">
        <f ca="1">'预评函-2（1）'!D9</f>
        <v>24472</v>
      </c>
    </row>
    <row r="22" spans="1:2">
      <c r="A22" s="1181" t="s">
        <v>1058</v>
      </c>
      <c r="B22" s="1168" t="str">
        <f ca="1">'预评函-2（1）'!D8</f>
        <v>肆佰陆拾肆万元整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464</v>
      </c>
    </row>
    <row r="30" spans="1:2">
      <c r="A30" s="1181" t="s">
        <v>1064</v>
      </c>
      <c r="B30" s="1168" t="str">
        <f ca="1">'预评函-2（1）'!D16</f>
        <v>肆佰陆拾肆万元整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302</v>
      </c>
    </row>
    <row r="38" spans="1:2">
      <c r="A38" s="1181" t="s">
        <v>1072</v>
      </c>
      <c r="B38" s="1168">
        <f ca="1">'预评函-2（2）'!E4</f>
        <v>15931</v>
      </c>
    </row>
    <row r="39" spans="1:2">
      <c r="A39" s="1181" t="s">
        <v>1073</v>
      </c>
      <c r="B39" s="1168" t="str">
        <f ca="1">'预评函-2（2）'!D5</f>
        <v>叁佰零贰万元整</v>
      </c>
    </row>
    <row r="40" spans="1:2">
      <c r="A40" s="1181" t="s">
        <v>1074</v>
      </c>
      <c r="B40" s="1168">
        <f ca="1">'预评函-2（2）'!F4</f>
        <v>162</v>
      </c>
    </row>
    <row r="41" spans="1:2">
      <c r="A41" s="1181" t="s">
        <v>1075</v>
      </c>
      <c r="B41" s="1168">
        <f ca="1">'预评函-2（2）'!G4</f>
        <v>8541</v>
      </c>
    </row>
    <row r="42" spans="1:2" s="1178" customFormat="1" ht="15.75" thickBot="1">
      <c r="A42" s="1182" t="s">
        <v>1076</v>
      </c>
      <c r="B42" s="1170" t="str">
        <f ca="1">'预评函-2（2）'!F5</f>
        <v>壹佰陆拾贰万元整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24472</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6" t="s">
        <v>1470</v>
      </c>
      <c r="B1" s="2557" t="str">
        <f>IF(B6="北京市","北京市",C6)&amp;IF(E12="房屋所有权证",B29,E29)&amp;D5&amp;"预评估"</f>
        <v>北京市房地产抵押价值预评估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3.5" thickTop="1">
      <c r="A2" s="1397" t="s">
        <v>1472</v>
      </c>
      <c r="B2" s="2558">
        <v>44727</v>
      </c>
      <c r="C2" s="2855" t="s">
        <v>1473</v>
      </c>
      <c r="D2" s="2558">
        <f>B2</f>
        <v>44727</v>
      </c>
      <c r="E2" s="824"/>
      <c r="F2" s="824"/>
      <c r="G2" s="1163"/>
      <c r="H2" s="2867"/>
    </row>
    <row r="3" spans="1:17" ht="13.5" thickBot="1">
      <c r="A3" s="2559" t="s">
        <v>1474</v>
      </c>
      <c r="B3" s="2560" t="s">
        <v>2972</v>
      </c>
      <c r="C3" s="2561">
        <f ca="1">SUMIF(注册房地产估价师,B3,估价师及机构信息!B3:B16)</f>
        <v>1419970001</v>
      </c>
      <c r="D3" s="2560" t="s">
        <v>2973</v>
      </c>
      <c r="E3" s="2562">
        <f ca="1">SUMIF(注册房地产估价师,D3,估价师及机构信息!B3:B16)</f>
        <v>1120070131</v>
      </c>
      <c r="F3" s="825"/>
      <c r="G3" s="1164"/>
      <c r="H3" s="2867"/>
    </row>
    <row r="4" spans="1:17" ht="13.5" customHeight="1" thickTop="1">
      <c r="A4" s="1397" t="s">
        <v>1475</v>
      </c>
      <c r="B4" s="3311"/>
      <c r="C4" s="2856" t="s">
        <v>1476</v>
      </c>
      <c r="D4" s="1398" t="s">
        <v>2976</v>
      </c>
      <c r="E4" s="824"/>
      <c r="F4" s="824"/>
      <c r="G4" s="1163"/>
    </row>
    <row r="5" spans="1:17">
      <c r="A5" s="1399" t="s">
        <v>1477</v>
      </c>
      <c r="B5" s="3313"/>
      <c r="C5" s="2857" t="s">
        <v>1478</v>
      </c>
      <c r="D5" s="1401" t="s">
        <v>2977</v>
      </c>
      <c r="E5" s="2858" t="s">
        <v>1479</v>
      </c>
      <c r="F5" s="1401" t="s">
        <v>2977</v>
      </c>
      <c r="G5" s="1402"/>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1480</v>
      </c>
      <c r="B6" s="2563" t="s">
        <v>2974</v>
      </c>
      <c r="C6" s="2564"/>
      <c r="D6" s="2565" t="s">
        <v>1481</v>
      </c>
      <c r="E6" s="811"/>
      <c r="F6" s="811"/>
      <c r="G6" s="830"/>
      <c r="I6" s="800" t="str">
        <f>IF(COUNTIF(B5,"*上海银行*"),"上海银行","")</f>
        <v/>
      </c>
      <c r="J6" s="800"/>
      <c r="K6" s="2885"/>
      <c r="L6" s="2885"/>
      <c r="M6" s="2885"/>
      <c r="N6" s="800"/>
      <c r="O6" s="800"/>
      <c r="P6" s="800"/>
      <c r="Q6" s="800"/>
    </row>
    <row r="7" spans="1:17" ht="13.5" thickBot="1">
      <c r="A7" s="2860" t="s">
        <v>1482</v>
      </c>
      <c r="B7" s="2566" t="s">
        <v>2975</v>
      </c>
      <c r="C7" s="1492" t="str">
        <f>IF(B7="自然人","姓名","名称")</f>
        <v>名称</v>
      </c>
      <c r="D7" s="3312"/>
      <c r="E7" s="825"/>
      <c r="F7" s="825"/>
      <c r="G7" s="1164"/>
    </row>
    <row r="8" spans="1:17" ht="13.5" thickTop="1">
      <c r="A8" s="3412" t="s">
        <v>1483</v>
      </c>
      <c r="B8" s="1406" t="s">
        <v>1484</v>
      </c>
      <c r="C8" s="3424" t="s">
        <v>3093</v>
      </c>
      <c r="D8" s="3425"/>
      <c r="E8" s="2567" t="s">
        <v>1485</v>
      </c>
      <c r="F8" s="2568" t="s">
        <v>1486</v>
      </c>
      <c r="G8" s="2569">
        <f>C6</f>
        <v>0</v>
      </c>
    </row>
    <row r="9" spans="1:17" ht="25.5">
      <c r="A9" s="3412"/>
      <c r="B9" s="259" t="s">
        <v>1487</v>
      </c>
      <c r="C9" s="3313" t="s">
        <v>3081</v>
      </c>
      <c r="D9" s="1407" t="s">
        <v>2979</v>
      </c>
      <c r="E9" s="2861" t="s">
        <v>1488</v>
      </c>
      <c r="F9" s="2570" t="s">
        <v>87</v>
      </c>
      <c r="G9" s="2571"/>
    </row>
    <row r="10" spans="1:17" ht="13.5" thickBot="1">
      <c r="A10" s="3412"/>
      <c r="B10" s="259" t="s">
        <v>1489</v>
      </c>
      <c r="C10" s="3426" t="s">
        <v>2980</v>
      </c>
      <c r="D10" s="3427"/>
      <c r="E10" s="2862" t="s">
        <v>1490</v>
      </c>
      <c r="F10" s="2572" t="s">
        <v>226</v>
      </c>
      <c r="G10" s="2573"/>
    </row>
    <row r="11" spans="1:17" ht="13.5" thickBot="1">
      <c r="A11" s="3412"/>
      <c r="B11" s="1409" t="s">
        <v>1491</v>
      </c>
      <c r="C11" s="3428" t="s">
        <v>2816</v>
      </c>
      <c r="D11" s="3429"/>
      <c r="E11" s="811"/>
      <c r="F11" s="811"/>
      <c r="G11" s="830"/>
    </row>
    <row r="12" spans="1:17" ht="13.5" thickBot="1">
      <c r="A12" s="3415" t="s">
        <v>2765</v>
      </c>
      <c r="B12" s="2863" t="s">
        <v>1492</v>
      </c>
      <c r="C12" s="808">
        <f>61.09+65.22+63.21</f>
        <v>189.52</v>
      </c>
      <c r="D12" s="1410" t="s">
        <v>1493</v>
      </c>
      <c r="E12" s="1411"/>
      <c r="F12" s="1412"/>
      <c r="G12" s="830"/>
    </row>
    <row r="13" spans="1:17" ht="21" customHeight="1" thickBot="1">
      <c r="A13" s="3416"/>
      <c r="B13" s="2864" t="s">
        <v>1494</v>
      </c>
      <c r="C13" s="809"/>
      <c r="D13" s="1413" t="s">
        <v>1495</v>
      </c>
      <c r="E13" s="1414"/>
      <c r="F13" s="811"/>
      <c r="G13" s="830"/>
      <c r="I13" s="3401" t="s">
        <v>1496</v>
      </c>
      <c r="J13" s="2884"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5"/>
      <c r="L13" s="2885"/>
      <c r="M13" s="2885"/>
      <c r="N13" s="800"/>
      <c r="O13" s="800"/>
      <c r="P13" s="800"/>
      <c r="Q13" s="800"/>
    </row>
    <row r="14" spans="1:17" ht="13.5" thickBot="1">
      <c r="A14" s="2574"/>
      <c r="B14" s="2878" t="s">
        <v>2766</v>
      </c>
      <c r="C14" s="2575"/>
      <c r="D14" s="811"/>
      <c r="E14" s="811"/>
      <c r="F14" s="811"/>
      <c r="G14" s="830"/>
      <c r="I14" s="3401"/>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6"/>
      <c r="B15" s="2865" t="s">
        <v>1497</v>
      </c>
      <c r="C15" s="826">
        <v>2</v>
      </c>
      <c r="D15" s="825"/>
      <c r="E15" s="825"/>
      <c r="F15" s="825"/>
      <c r="G15" s="1164"/>
      <c r="I15" s="3401"/>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7" thickTop="1" thickBot="1">
      <c r="A16" s="2574" t="s">
        <v>1498</v>
      </c>
      <c r="B16" s="1415" t="s">
        <v>1499</v>
      </c>
      <c r="C16" s="2577" t="s">
        <v>2981</v>
      </c>
      <c r="D16" s="1408" t="s">
        <v>1500</v>
      </c>
      <c r="E16" s="2578" t="s">
        <v>2982</v>
      </c>
      <c r="F16" s="1416" t="str">
        <f>IF(AND(C16="是",E16="否"),"是否提供他项权证或相关说明","")</f>
        <v>是否提供他项权证或相关说明</v>
      </c>
      <c r="G16" s="2578" t="s">
        <v>2982</v>
      </c>
      <c r="J16" s="2867"/>
    </row>
    <row r="17" spans="1:66" ht="13.5" customHeight="1">
      <c r="A17" s="1422" t="s">
        <v>1501</v>
      </c>
      <c r="B17" s="3430" t="s">
        <v>1502</v>
      </c>
      <c r="C17" s="3431"/>
      <c r="D17" s="3432" t="s">
        <v>1503</v>
      </c>
      <c r="E17" s="3433"/>
      <c r="F17" s="1417" t="s">
        <v>1504</v>
      </c>
      <c r="G17" s="1418"/>
      <c r="J17" s="2867"/>
    </row>
    <row r="18" spans="1:66" ht="24">
      <c r="A18" s="1422"/>
      <c r="B18" s="2579" t="s">
        <v>2985</v>
      </c>
      <c r="C18" s="1402" t="s">
        <v>2984</v>
      </c>
      <c r="D18" s="1419" t="s">
        <v>1505</v>
      </c>
      <c r="E18" s="1420" t="s">
        <v>1183</v>
      </c>
      <c r="F18" s="1421"/>
      <c r="G18" s="1287"/>
      <c r="H18" s="2867"/>
      <c r="J18" s="2867"/>
    </row>
    <row r="19" spans="1:66" ht="21.75" customHeight="1" thickBot="1">
      <c r="A19" s="1422"/>
      <c r="B19" s="2580" t="s">
        <v>2983</v>
      </c>
      <c r="C19" s="1414" t="s">
        <v>2984</v>
      </c>
      <c r="D19" s="1422"/>
      <c r="E19" s="811"/>
      <c r="F19" s="811"/>
      <c r="G19" s="1287"/>
    </row>
    <row r="20" spans="1:66">
      <c r="A20" s="1418" t="s">
        <v>1506</v>
      </c>
      <c r="B20" s="2581" t="s">
        <v>1507</v>
      </c>
      <c r="C20" s="2582"/>
      <c r="D20" s="2583" t="s">
        <v>1507</v>
      </c>
      <c r="E20" s="2582"/>
      <c r="F20" s="811"/>
      <c r="G20" s="1287"/>
    </row>
    <row r="21" spans="1:66">
      <c r="A21" s="1287"/>
      <c r="B21" s="2584" t="s">
        <v>1508</v>
      </c>
      <c r="C21" s="2850"/>
      <c r="D21" s="1422" t="s">
        <v>1508</v>
      </c>
      <c r="E21" s="2585"/>
      <c r="F21" s="811"/>
      <c r="G21" s="1287"/>
    </row>
    <row r="22" spans="1:66">
      <c r="A22" s="1287"/>
      <c r="B22" s="811" t="s">
        <v>1509</v>
      </c>
      <c r="C22" s="2586"/>
      <c r="D22" s="811" t="s">
        <v>1509</v>
      </c>
      <c r="E22" s="2585"/>
      <c r="F22" s="811"/>
      <c r="G22" s="1287"/>
    </row>
    <row r="23" spans="1:66" s="2849" customFormat="1" ht="16.5" thickBot="1">
      <c r="A23" s="1288"/>
      <c r="B23" s="829" t="s">
        <v>1510</v>
      </c>
      <c r="C23" s="809"/>
      <c r="D23" s="829" t="s">
        <v>1511</v>
      </c>
      <c r="E23" s="2587"/>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11" t="s">
        <v>2764</v>
      </c>
      <c r="B24" s="3411"/>
      <c r="C24" s="3411"/>
      <c r="D24" s="3411"/>
      <c r="E24" s="3411"/>
      <c r="F24" s="3411"/>
      <c r="G24" s="3411"/>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1512</v>
      </c>
      <c r="B25" s="811"/>
      <c r="C25" s="811"/>
      <c r="D25" s="811"/>
      <c r="E25" s="811"/>
      <c r="F25" s="811"/>
      <c r="G25" s="1288"/>
      <c r="K25" s="2868"/>
    </row>
    <row r="26" spans="1:66" s="836" customFormat="1" ht="13.5" thickBot="1">
      <c r="A26" s="2588"/>
      <c r="B26" s="807" t="s">
        <v>1513</v>
      </c>
      <c r="C26" s="2588"/>
      <c r="D26" s="807"/>
      <c r="E26" s="2589" t="s">
        <v>1514</v>
      </c>
      <c r="F26" s="2588"/>
      <c r="G26" s="2590"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88"/>
      <c r="B27" s="2591"/>
      <c r="C27" s="2588"/>
      <c r="D27" s="807"/>
      <c r="E27" s="2591"/>
      <c r="F27" s="2588"/>
      <c r="G27" s="2592"/>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1516</v>
      </c>
      <c r="B28" s="801"/>
      <c r="C28" s="3418" t="s">
        <v>1516</v>
      </c>
      <c r="D28" s="3419"/>
      <c r="E28" s="801"/>
      <c r="F28" s="803" t="s">
        <v>1516</v>
      </c>
      <c r="G28" s="801"/>
      <c r="K28" s="2868"/>
    </row>
    <row r="29" spans="1:66">
      <c r="A29" s="804" t="s">
        <v>1517</v>
      </c>
      <c r="B29" s="798"/>
      <c r="C29" s="3420" t="s">
        <v>1518</v>
      </c>
      <c r="D29" s="3421"/>
      <c r="E29" s="798"/>
      <c r="F29" s="804" t="s">
        <v>1518</v>
      </c>
      <c r="G29" s="798"/>
      <c r="K29" s="2868"/>
    </row>
    <row r="30" spans="1:66">
      <c r="A30" s="804" t="s">
        <v>1519</v>
      </c>
      <c r="B30" s="798"/>
      <c r="C30" s="3420" t="s">
        <v>1519</v>
      </c>
      <c r="D30" s="3421"/>
      <c r="E30" s="798"/>
      <c r="F30" s="804" t="s">
        <v>1520</v>
      </c>
      <c r="G30" s="798"/>
      <c r="K30" s="2868"/>
    </row>
    <row r="31" spans="1:66">
      <c r="A31" s="804" t="s">
        <v>1521</v>
      </c>
      <c r="B31" s="798"/>
      <c r="C31" s="3408" t="s">
        <v>1522</v>
      </c>
      <c r="D31" s="811"/>
      <c r="E31" s="2593" t="str">
        <f>E32&amp;" "&amp;E33&amp;" "&amp;E34&amp;" "&amp;E35</f>
        <v xml:space="preserve">   </v>
      </c>
      <c r="F31" s="804" t="s">
        <v>1523</v>
      </c>
      <c r="G31" s="798"/>
    </row>
    <row r="32" spans="1:66">
      <c r="A32" s="804" t="s">
        <v>1524</v>
      </c>
      <c r="B32" s="798"/>
      <c r="C32" s="3409"/>
      <c r="D32" s="259" t="s">
        <v>1525</v>
      </c>
      <c r="E32" s="798"/>
      <c r="F32" s="804" t="s">
        <v>1526</v>
      </c>
      <c r="G32" s="798"/>
    </row>
    <row r="33" spans="1:7" ht="24.75" thickBot="1">
      <c r="A33" s="805" t="s">
        <v>1527</v>
      </c>
      <c r="B33" s="802"/>
      <c r="C33" s="3409"/>
      <c r="D33" s="259" t="s">
        <v>1528</v>
      </c>
      <c r="E33" s="798"/>
      <c r="F33" s="804" t="s">
        <v>1529</v>
      </c>
      <c r="G33" s="798"/>
    </row>
    <row r="34" spans="1:7">
      <c r="A34" s="803" t="s">
        <v>1530</v>
      </c>
      <c r="B34" s="801"/>
      <c r="C34" s="3409"/>
      <c r="D34" s="259" t="s">
        <v>1531</v>
      </c>
      <c r="E34" s="798"/>
      <c r="F34" s="804" t="s">
        <v>1532</v>
      </c>
      <c r="G34" s="798"/>
    </row>
    <row r="35" spans="1:7" ht="13.5" thickBot="1">
      <c r="A35" s="804" t="s">
        <v>1533</v>
      </c>
      <c r="B35" s="798"/>
      <c r="C35" s="3410"/>
      <c r="D35" s="259" t="s">
        <v>1534</v>
      </c>
      <c r="E35" s="798"/>
      <c r="F35" s="805" t="s">
        <v>1535</v>
      </c>
      <c r="G35" s="2594"/>
    </row>
    <row r="36" spans="1:7">
      <c r="A36" s="804" t="s">
        <v>1492</v>
      </c>
      <c r="B36" s="798"/>
      <c r="C36" s="3420" t="s">
        <v>1536</v>
      </c>
      <c r="D36" s="3421"/>
      <c r="E36" s="798"/>
      <c r="F36" s="2595" t="s">
        <v>1537</v>
      </c>
      <c r="G36" s="801"/>
    </row>
    <row r="37" spans="1:7" ht="13.5" thickBot="1">
      <c r="A37" s="804" t="s">
        <v>1538</v>
      </c>
      <c r="B37" s="798"/>
      <c r="C37" s="3422" t="s">
        <v>1539</v>
      </c>
      <c r="D37" s="3423"/>
      <c r="E37" s="802"/>
      <c r="F37" s="1430" t="s">
        <v>1540</v>
      </c>
      <c r="G37" s="798"/>
    </row>
    <row r="38" spans="1:7" ht="13.5" thickBot="1">
      <c r="A38" s="804" t="s">
        <v>1541</v>
      </c>
      <c r="B38" s="798"/>
      <c r="C38" s="3406" t="s">
        <v>1542</v>
      </c>
      <c r="D38" s="1410" t="s">
        <v>1526</v>
      </c>
      <c r="E38" s="801"/>
      <c r="F38" s="805" t="s">
        <v>1543</v>
      </c>
      <c r="G38" s="802"/>
    </row>
    <row r="39" spans="1:7">
      <c r="A39" s="804" t="s">
        <v>1544</v>
      </c>
      <c r="B39" s="798"/>
      <c r="C39" s="3413"/>
      <c r="D39" s="259" t="s">
        <v>1533</v>
      </c>
      <c r="E39" s="798"/>
      <c r="F39" s="803" t="s">
        <v>1545</v>
      </c>
      <c r="G39" s="801"/>
    </row>
    <row r="40" spans="1:7">
      <c r="A40" s="804" t="s">
        <v>1546</v>
      </c>
      <c r="B40" s="798"/>
      <c r="C40" s="3413" t="s">
        <v>1547</v>
      </c>
      <c r="D40" s="259" t="s">
        <v>1492</v>
      </c>
      <c r="E40" s="798"/>
      <c r="F40" s="804" t="s">
        <v>1548</v>
      </c>
      <c r="G40" s="798"/>
    </row>
    <row r="41" spans="1:7" ht="24.75" customHeight="1" thickBot="1">
      <c r="A41" s="805" t="s">
        <v>1549</v>
      </c>
      <c r="B41" s="802"/>
      <c r="C41" s="3414"/>
      <c r="D41" s="1413" t="s">
        <v>1494</v>
      </c>
      <c r="E41" s="802"/>
      <c r="F41" s="805" t="s">
        <v>1550</v>
      </c>
      <c r="G41" s="802"/>
    </row>
    <row r="42" spans="1:7">
      <c r="A42" s="806" t="s">
        <v>1551</v>
      </c>
      <c r="B42" s="2596"/>
      <c r="C42" s="3402" t="s">
        <v>1551</v>
      </c>
      <c r="D42" s="3403"/>
      <c r="E42" s="2596"/>
      <c r="F42" s="803" t="s">
        <v>1552</v>
      </c>
      <c r="G42" s="2596"/>
    </row>
    <row r="43" spans="1:7">
      <c r="A43" s="821" t="s">
        <v>1553</v>
      </c>
      <c r="B43" s="2597"/>
      <c r="C43" s="1422"/>
      <c r="D43" s="2584"/>
      <c r="E43" s="2597"/>
      <c r="F43" s="821"/>
      <c r="G43" s="2597"/>
    </row>
    <row r="44" spans="1:7">
      <c r="A44" s="821" t="s">
        <v>1507</v>
      </c>
      <c r="B44" s="822"/>
      <c r="C44" s="1422"/>
      <c r="D44" s="1488" t="s">
        <v>1507</v>
      </c>
      <c r="E44" s="822"/>
      <c r="F44" s="821" t="s">
        <v>1507</v>
      </c>
      <c r="G44" s="822"/>
    </row>
    <row r="45" spans="1:7">
      <c r="A45" s="821" t="s">
        <v>1508</v>
      </c>
      <c r="B45" s="822"/>
      <c r="C45" s="1422"/>
      <c r="D45" s="2584" t="s">
        <v>1508</v>
      </c>
      <c r="E45" s="822"/>
      <c r="F45" s="821" t="s">
        <v>1508</v>
      </c>
      <c r="G45" s="822"/>
    </row>
    <row r="46" spans="1:7">
      <c r="A46" s="821" t="s">
        <v>1509</v>
      </c>
      <c r="B46" s="822"/>
      <c r="C46" s="1422"/>
      <c r="D46" s="2584" t="s">
        <v>1509</v>
      </c>
      <c r="E46" s="822"/>
      <c r="F46" s="821" t="s">
        <v>1509</v>
      </c>
      <c r="G46" s="822"/>
    </row>
    <row r="47" spans="1:7">
      <c r="A47" s="821" t="s">
        <v>1510</v>
      </c>
      <c r="B47" s="822"/>
      <c r="C47" s="1422"/>
      <c r="D47" s="2584" t="s">
        <v>1510</v>
      </c>
      <c r="E47" s="822"/>
      <c r="F47" s="821" t="s">
        <v>1510</v>
      </c>
      <c r="G47" s="822"/>
    </row>
    <row r="48" spans="1:7">
      <c r="A48" s="821"/>
      <c r="B48" s="822"/>
      <c r="C48" s="1422"/>
      <c r="D48" s="2584"/>
      <c r="E48" s="822"/>
      <c r="F48" s="821"/>
      <c r="G48" s="822"/>
    </row>
    <row r="49" spans="1:66" ht="13.5" thickBot="1">
      <c r="A49" s="805" t="s">
        <v>1554</v>
      </c>
      <c r="B49" s="802"/>
      <c r="C49" s="3404" t="s">
        <v>1554</v>
      </c>
      <c r="D49" s="3405"/>
      <c r="E49" s="820"/>
      <c r="F49" s="805" t="s">
        <v>1555</v>
      </c>
      <c r="G49" s="802"/>
    </row>
    <row r="50" spans="1:66">
      <c r="A50" s="804" t="s">
        <v>1556</v>
      </c>
      <c r="B50" s="819"/>
      <c r="C50" s="3406" t="s">
        <v>1557</v>
      </c>
      <c r="D50" s="3407"/>
      <c r="E50" s="2598"/>
      <c r="F50" s="837"/>
      <c r="G50" s="838"/>
    </row>
    <row r="51" spans="1:66" ht="13.5" thickBot="1">
      <c r="A51" s="804" t="s">
        <v>1558</v>
      </c>
      <c r="B51" s="819"/>
      <c r="C51" s="3414" t="s">
        <v>1559</v>
      </c>
      <c r="D51" s="3417"/>
      <c r="E51" s="802"/>
      <c r="F51" s="811"/>
      <c r="G51" s="830"/>
    </row>
    <row r="52" spans="1:66">
      <c r="A52" s="804" t="s">
        <v>1537</v>
      </c>
      <c r="B52" s="798"/>
      <c r="C52" s="811"/>
      <c r="D52" s="811"/>
      <c r="E52" s="811"/>
      <c r="F52" s="811"/>
      <c r="G52" s="830"/>
    </row>
    <row r="53" spans="1:66" ht="24.75" thickBot="1">
      <c r="A53" s="805" t="s">
        <v>1560</v>
      </c>
      <c r="B53" s="2594">
        <v>52629</v>
      </c>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7" activePane="bottomRight" state="frozen"/>
      <selection activeCell="A11" sqref="A11:D11"/>
      <selection pane="topRight" activeCell="A11" sqref="A11:D11"/>
      <selection pane="bottomLeft" activeCell="A11" sqref="A11:D11"/>
      <selection pane="bottomRight" activeCell="K24" sqref="K24"/>
    </sheetView>
  </sheetViews>
  <sheetFormatPr defaultColWidth="13.75" defaultRowHeight="12.75"/>
  <cols>
    <col min="1" max="1" width="20.875" style="2654" customWidth="1"/>
    <col min="2" max="2" width="16.75" style="2600" customWidth="1"/>
    <col min="3" max="3" width="18.25" style="2640" customWidth="1"/>
    <col min="4" max="4" width="34.125" style="2655" customWidth="1"/>
    <col min="5" max="5" width="17.625" style="2655" customWidth="1"/>
    <col min="6" max="6" width="15.5" style="2599" customWidth="1"/>
    <col min="7" max="8" width="9.125" style="2932"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0"/>
  </cols>
  <sheetData>
    <row r="1" spans="1:41" ht="19.5" thickBot="1">
      <c r="A1" s="2886" t="s">
        <v>1561</v>
      </c>
      <c r="B1" s="947"/>
      <c r="D1" s="2599"/>
      <c r="E1" s="2599"/>
    </row>
    <row r="2" spans="1:41" s="2603" customFormat="1" ht="15.75" thickBot="1">
      <c r="A2" s="2887" t="s">
        <v>1562</v>
      </c>
      <c r="B2" s="2888">
        <f>项目基本情况!D2</f>
        <v>44727</v>
      </c>
      <c r="C2" s="1652"/>
      <c r="D2" s="3436" t="s">
        <v>1563</v>
      </c>
      <c r="E2" s="2601"/>
      <c r="F2" s="2602"/>
      <c r="G2" s="2933"/>
      <c r="H2" s="2933"/>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1564</v>
      </c>
      <c r="B3" s="2604" t="s">
        <v>3079</v>
      </c>
      <c r="C3" s="1652"/>
      <c r="D3" s="3437"/>
      <c r="E3" s="2605" t="s">
        <v>2982</v>
      </c>
      <c r="F3" s="2602"/>
      <c r="G3" s="2933"/>
      <c r="H3" s="2933"/>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1565</v>
      </c>
      <c r="B4" s="2604" t="s">
        <v>2986</v>
      </c>
      <c r="C4" s="1652"/>
      <c r="D4" s="3437"/>
      <c r="E4" s="2605"/>
      <c r="F4" s="2602"/>
      <c r="G4" s="2933"/>
      <c r="H4" s="2933"/>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1566</v>
      </c>
      <c r="B5" s="2607">
        <f>项目基本情况!C12</f>
        <v>189.52</v>
      </c>
      <c r="C5" s="1652"/>
      <c r="D5" s="2889" t="s">
        <v>1567</v>
      </c>
      <c r="E5" s="2608"/>
      <c r="F5" s="2602"/>
      <c r="G5" s="2933"/>
      <c r="H5" s="2933"/>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1568</v>
      </c>
      <c r="B6" s="2610">
        <f>项目基本情况!C13</f>
        <v>0</v>
      </c>
      <c r="C6" s="1652"/>
      <c r="D6" s="2889" t="s">
        <v>1569</v>
      </c>
      <c r="E6" s="2608"/>
      <c r="F6" s="2602"/>
      <c r="G6" s="2933"/>
      <c r="H6" s="2933"/>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5"/>
      <c r="D7" s="2936"/>
      <c r="E7" s="2936"/>
      <c r="F7" s="2933"/>
      <c r="G7" s="2933"/>
      <c r="H7" s="2933"/>
    </row>
    <row r="8" spans="1:41" s="1652" customFormat="1" ht="15" hidden="1">
      <c r="A8" s="2935"/>
      <c r="D8" s="2936"/>
      <c r="E8" s="2936"/>
      <c r="F8" s="2933"/>
      <c r="G8" s="2933"/>
      <c r="H8" s="2933"/>
    </row>
    <row r="9" spans="1:41" s="1652" customFormat="1" ht="15" hidden="1" thickBot="1">
      <c r="C9" s="3055"/>
      <c r="D9" s="2933"/>
      <c r="E9" s="2933"/>
      <c r="F9" s="2933"/>
      <c r="G9" s="2933"/>
      <c r="H9" s="2933"/>
    </row>
    <row r="10" spans="1:41" s="2603" customFormat="1" ht="15" thickBot="1">
      <c r="A10" s="2890" t="s">
        <v>1570</v>
      </c>
      <c r="B10" s="2612" t="s">
        <v>3080</v>
      </c>
      <c r="C10" s="1652"/>
      <c r="D10" s="2887" t="s">
        <v>1571</v>
      </c>
      <c r="E10" s="2891" t="s">
        <v>1572</v>
      </c>
      <c r="F10" s="3056" t="s">
        <v>2775</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2" t="s">
        <v>1573</v>
      </c>
      <c r="B11" s="2614">
        <v>40</v>
      </c>
      <c r="C11" s="1652"/>
      <c r="D11" s="2893" t="s">
        <v>1574</v>
      </c>
      <c r="E11" s="2615">
        <v>0</v>
      </c>
      <c r="F11" s="1282"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4" t="s">
        <v>1576</v>
      </c>
      <c r="B12" s="2617"/>
      <c r="C12" s="1652"/>
      <c r="D12" s="2894" t="s">
        <v>1577</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5" t="s">
        <v>1578</v>
      </c>
      <c r="B13" s="2896">
        <f>IF(B12="",B11-(YEAR($B$2)-B27+B24),ROUNDDOWN(MIN((B12-$B$2)/365,B11),2))</f>
        <v>23</v>
      </c>
      <c r="C13" s="2931"/>
      <c r="D13" s="2897" t="s">
        <v>1579</v>
      </c>
      <c r="E13" s="2619">
        <f>ROUND(E11*B5/10000,0)</f>
        <v>0</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4" t="s">
        <v>1581</v>
      </c>
      <c r="B14" s="2898">
        <f>IF(ISERROR(ROUND(POWER(1+B15,B11-B13)*(POWER(1+B15,B13)-1)/(POWER(1+B15,B11)-1),3)),0,ROUND(POWER(1+B15,B11-B13)*(POWER(1+B15,B13)-1)/(POWER(1+B15,B11)-1),3))</f>
        <v>0.78600000000000003</v>
      </c>
      <c r="C14" s="1652"/>
      <c r="D14" s="2899" t="s">
        <v>1582</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4" t="s">
        <v>1583</v>
      </c>
      <c r="B15" s="2621">
        <v>0.05</v>
      </c>
      <c r="C15" s="2529" t="s">
        <v>2776</v>
      </c>
      <c r="D15" s="2894" t="s">
        <v>1584</v>
      </c>
      <c r="E15" s="2900">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4" t="s">
        <v>1585</v>
      </c>
      <c r="B16" s="2621">
        <v>5.5E-2</v>
      </c>
      <c r="C16" s="2529" t="s">
        <v>2777</v>
      </c>
      <c r="D16" s="2901" t="s">
        <v>1586</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1" t="s">
        <v>2774</v>
      </c>
      <c r="B17" s="3054">
        <v>0.08</v>
      </c>
      <c r="C17" s="2529" t="s">
        <v>2778</v>
      </c>
      <c r="D17" s="2890" t="s">
        <v>1588</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2" t="s">
        <v>1587</v>
      </c>
      <c r="B18" s="3062">
        <v>0.08</v>
      </c>
      <c r="C18" s="1652"/>
      <c r="D18" s="2903" t="str">
        <f>IF(B26=0,"建安总额","在建建安")</f>
        <v>建安总额</v>
      </c>
      <c r="E18" s="2904">
        <f>ROUND(B5*E17*IF(B26=0,1,E20),0)</f>
        <v>758080</v>
      </c>
      <c r="F18" s="2624">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3" t="str">
        <f>IF(B26=0,"——","续建建安")</f>
        <v>——</v>
      </c>
      <c r="E19" s="2904"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5" t="s">
        <v>1589</v>
      </c>
      <c r="B20" s="1281"/>
      <c r="C20" s="1652"/>
      <c r="D20" s="2907" t="str">
        <f>IF(B26=0,"成新率","工程进度")</f>
        <v>成新率</v>
      </c>
      <c r="E20" s="2626">
        <f>ROUND(1-(2022-2004)/60,2)</f>
        <v>0.7</v>
      </c>
      <c r="F20" s="947"/>
      <c r="G20" s="1652"/>
      <c r="H20" s="1652"/>
      <c r="I20" s="835" t="s">
        <v>2988</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6" t="s">
        <v>1590</v>
      </c>
      <c r="B21" s="2625">
        <v>0</v>
      </c>
      <c r="C21" s="1652"/>
      <c r="D21" s="2894" t="s">
        <v>1592</v>
      </c>
      <c r="E21" s="2628">
        <v>0.03</v>
      </c>
      <c r="F21" s="2638" t="s">
        <v>2784</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8" t="s">
        <v>1591</v>
      </c>
      <c r="B22" s="2627">
        <v>1</v>
      </c>
      <c r="C22" s="1652"/>
      <c r="D22" s="2894" t="s">
        <v>1594</v>
      </c>
      <c r="E22" s="2631">
        <v>0</v>
      </c>
      <c r="F22" s="2638" t="s">
        <v>2782</v>
      </c>
      <c r="G22" s="1652"/>
      <c r="H22" s="1652"/>
      <c r="I22" s="3314" t="s">
        <v>2989</v>
      </c>
      <c r="J22" s="3314" t="s">
        <v>2990</v>
      </c>
      <c r="K22" s="3315" t="s">
        <v>2991</v>
      </c>
      <c r="L22" s="3316" t="s">
        <v>2992</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09" t="s">
        <v>1593</v>
      </c>
      <c r="B23" s="2630">
        <f>B22</f>
        <v>1</v>
      </c>
      <c r="C23" s="1652"/>
      <c r="D23" s="2894" t="s">
        <v>1596</v>
      </c>
      <c r="E23" s="2618">
        <f>E14</f>
        <v>200</v>
      </c>
      <c r="F23" s="2638"/>
      <c r="G23" s="1652"/>
      <c r="H23" s="1652"/>
      <c r="I23" s="3317">
        <v>1996</v>
      </c>
      <c r="J23" s="3318">
        <f>ROUND(AVERAGE(K23:L23),2)</f>
        <v>0.71</v>
      </c>
      <c r="K23" s="3319">
        <f>ROUND(1-(1-0%)*(2022-1996)/60,2)</f>
        <v>0.56999999999999995</v>
      </c>
      <c r="L23" s="3320">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0" t="s">
        <v>1595</v>
      </c>
      <c r="B24" s="2911">
        <f>B21+B22</f>
        <v>1</v>
      </c>
      <c r="C24" s="1652"/>
      <c r="D24" s="2901" t="s">
        <v>1598</v>
      </c>
      <c r="E24" s="2632">
        <v>1.4999999999999999E-2</v>
      </c>
      <c r="F24" s="2638" t="s">
        <v>2785</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2" t="s">
        <v>1597</v>
      </c>
      <c r="B25" s="2913">
        <f>B21+B23</f>
        <v>1</v>
      </c>
      <c r="C25" s="1652"/>
      <c r="D25" s="2893" t="s">
        <v>1600</v>
      </c>
      <c r="E25" s="2628">
        <v>0.02</v>
      </c>
      <c r="F25" s="2638" t="s">
        <v>2783</v>
      </c>
      <c r="I25" s="2932"/>
    </row>
    <row r="26" spans="1:41" ht="15" thickBot="1">
      <c r="A26" s="2910" t="s">
        <v>1599</v>
      </c>
      <c r="B26" s="2914">
        <f>B22-B23</f>
        <v>0</v>
      </c>
      <c r="D26" s="2894" t="s">
        <v>1602</v>
      </c>
      <c r="E26" s="2628">
        <v>0.02</v>
      </c>
      <c r="F26" s="2638" t="s">
        <v>2783</v>
      </c>
      <c r="G26" s="2933"/>
      <c r="H26" s="2933"/>
      <c r="I26" s="1652"/>
      <c r="J26" s="1652"/>
      <c r="K26" s="1652"/>
      <c r="L26" s="1652"/>
      <c r="M26" s="1652"/>
      <c r="N26" s="1652"/>
    </row>
    <row r="27" spans="1:41" ht="15.75" thickBot="1">
      <c r="A27" s="2915" t="s">
        <v>1601</v>
      </c>
      <c r="B27" s="3349">
        <v>2006</v>
      </c>
      <c r="C27" s="1652"/>
      <c r="D27" s="3121" t="s">
        <v>2993</v>
      </c>
      <c r="E27" s="2916">
        <f ca="1">IF(D27="利息：取LPR",存贷款利率!G1,存贷款利率!G1+F27)</f>
        <v>4.2000000000000003E-2</v>
      </c>
      <c r="F27" s="3122">
        <v>5.0000000000000001E-3</v>
      </c>
      <c r="G27" s="2933"/>
      <c r="H27" s="2933"/>
      <c r="K27" s="1652"/>
      <c r="N27" s="1652"/>
    </row>
    <row r="28" spans="1:41" ht="15" thickBot="1">
      <c r="A28" s="947"/>
      <c r="B28" s="947"/>
      <c r="D28" s="2897" t="s">
        <v>1604</v>
      </c>
      <c r="E28" s="2634">
        <v>0.15</v>
      </c>
      <c r="G28" s="2933"/>
      <c r="H28" s="2933"/>
      <c r="K28" s="1652"/>
      <c r="N28" s="1652"/>
    </row>
    <row r="29" spans="1:41" ht="14.25">
      <c r="A29" s="2917" t="s">
        <v>1603</v>
      </c>
      <c r="B29" s="2633" t="s">
        <v>2987</v>
      </c>
      <c r="D29" s="2899" t="s">
        <v>1605</v>
      </c>
      <c r="E29" s="2918">
        <f>E30+E31</f>
        <v>5.6000000000000001E-2</v>
      </c>
      <c r="F29" s="1280"/>
      <c r="G29" s="2933"/>
      <c r="H29" s="2933"/>
      <c r="K29" s="1652"/>
      <c r="N29" s="1652"/>
    </row>
    <row r="30" spans="1:41" ht="14.25">
      <c r="A30" s="2894" t="str">
        <f>IF(B29="租赁期内按合同租金","合同租金","市场租金")</f>
        <v>市场租金</v>
      </c>
      <c r="B30" s="2635">
        <v>3</v>
      </c>
      <c r="C30" s="2640">
        <f>28000/30/B5</f>
        <v>4.9247221049669339</v>
      </c>
      <c r="D30" s="2901" t="s">
        <v>1607</v>
      </c>
      <c r="E30" s="2636">
        <v>0.05</v>
      </c>
      <c r="F30" s="2920">
        <f>IF(B2&lt;DATE(2016,5,1),0,E30)</f>
        <v>0.05</v>
      </c>
      <c r="G30" s="2933"/>
      <c r="H30" s="2933"/>
      <c r="K30" s="1652"/>
      <c r="N30" s="1652"/>
    </row>
    <row r="31" spans="1:41" ht="14.25">
      <c r="A31" s="2894" t="s">
        <v>1606</v>
      </c>
      <c r="B31" s="2919">
        <f ca="1">存贷款利率!I1</f>
        <v>1.4999999999999999E-2</v>
      </c>
      <c r="D31" s="2901" t="s">
        <v>1609</v>
      </c>
      <c r="E31" s="2921">
        <f>E30*(E32+E33+E34)+E35</f>
        <v>6.000000000000001E-3</v>
      </c>
      <c r="F31" s="1280"/>
      <c r="G31" s="2933"/>
      <c r="H31" s="2933"/>
      <c r="K31" s="1652"/>
      <c r="N31" s="1652"/>
    </row>
    <row r="32" spans="1:41" ht="14.25">
      <c r="A32" s="2894" t="s">
        <v>1608</v>
      </c>
      <c r="B32" s="2621">
        <v>0.03</v>
      </c>
      <c r="D32" s="2901" t="s">
        <v>1611</v>
      </c>
      <c r="E32" s="2637">
        <v>7.0000000000000007E-2</v>
      </c>
      <c r="F32" s="2638" t="s">
        <v>2670</v>
      </c>
      <c r="G32" s="2933"/>
      <c r="H32" s="2933"/>
      <c r="K32" s="1652"/>
      <c r="L32" s="1652"/>
      <c r="M32" s="1652"/>
      <c r="N32" s="1652"/>
    </row>
    <row r="33" spans="1:14" ht="14.25">
      <c r="A33" s="2894" t="s">
        <v>1610</v>
      </c>
      <c r="B33" s="2621">
        <v>0.15</v>
      </c>
      <c r="D33" s="2901" t="s">
        <v>1613</v>
      </c>
      <c r="E33" s="2636">
        <v>0.03</v>
      </c>
      <c r="F33" s="1279" t="s">
        <v>1614</v>
      </c>
      <c r="G33" s="2933"/>
      <c r="H33" s="2933"/>
      <c r="K33" s="1652"/>
      <c r="L33" s="1652"/>
      <c r="M33" s="1652"/>
      <c r="N33" s="1652"/>
    </row>
    <row r="34" spans="1:14" s="2640" customFormat="1" ht="14.25">
      <c r="A34" s="2894" t="s">
        <v>1612</v>
      </c>
      <c r="B34" s="2922">
        <f>收益法!J54</f>
        <v>23</v>
      </c>
      <c r="D34" s="2901" t="s">
        <v>1615</v>
      </c>
      <c r="E34" s="2636">
        <v>0.02</v>
      </c>
      <c r="F34" s="1279" t="s">
        <v>1616</v>
      </c>
      <c r="G34" s="2933"/>
      <c r="H34" s="2933"/>
      <c r="I34" s="1652"/>
      <c r="J34" s="1652"/>
      <c r="K34" s="1652"/>
      <c r="L34" s="1652"/>
      <c r="M34" s="1652"/>
      <c r="N34" s="1652"/>
    </row>
    <row r="35" spans="1:14" s="2640" customFormat="1" ht="15" thickBot="1">
      <c r="A35" s="2901" t="str">
        <f>IF(B29="租赁期内按合同租金","剩余租赁期","——")</f>
        <v>——</v>
      </c>
      <c r="B35" s="2639"/>
      <c r="D35" s="2897" t="s">
        <v>1618</v>
      </c>
      <c r="E35" s="2642">
        <v>0</v>
      </c>
      <c r="F35" s="1282" t="s">
        <v>1619</v>
      </c>
      <c r="G35" s="2933"/>
      <c r="H35" s="2933"/>
      <c r="I35" s="1652"/>
      <c r="J35" s="1652"/>
      <c r="K35" s="1652"/>
      <c r="L35" s="1652"/>
      <c r="M35" s="1652"/>
      <c r="N35" s="1652"/>
    </row>
    <row r="36" spans="1:14" s="2640" customFormat="1" ht="15">
      <c r="A36" s="2923" t="s">
        <v>1617</v>
      </c>
      <c r="B36" s="2924"/>
      <c r="D36" s="2925" t="s">
        <v>1620</v>
      </c>
      <c r="E36" s="2644">
        <v>0.03</v>
      </c>
      <c r="F36" s="1281" t="s">
        <v>1621</v>
      </c>
      <c r="G36" s="2933"/>
      <c r="H36" s="2933"/>
      <c r="I36" s="1652"/>
      <c r="J36" s="1652"/>
      <c r="K36" s="1652"/>
      <c r="L36" s="1652"/>
      <c r="M36" s="1652"/>
      <c r="N36" s="1652"/>
    </row>
    <row r="37" spans="1:14" s="2640" customFormat="1" ht="15" thickBot="1">
      <c r="A37" s="2899" t="str">
        <f>IF(B29="租赁期内按合同租金","租金","——")</f>
        <v>——</v>
      </c>
      <c r="B37" s="2643"/>
      <c r="D37" s="2901" t="s">
        <v>1622</v>
      </c>
      <c r="E37" s="2636">
        <v>5.0000000000000001E-4</v>
      </c>
      <c r="F37" s="1281" t="s">
        <v>1623</v>
      </c>
      <c r="G37" s="2933"/>
      <c r="H37" s="2933"/>
      <c r="I37" s="1652"/>
      <c r="J37" s="1652"/>
      <c r="K37" s="1652"/>
      <c r="L37" s="1652"/>
      <c r="M37" s="1652"/>
      <c r="N37" s="1652"/>
    </row>
    <row r="38" spans="1:14" s="2640" customFormat="1" ht="14.25">
      <c r="A38" s="2894" t="str">
        <f>IF(B29="租赁期内按合同租金","年租金增长率","——")</f>
        <v>——</v>
      </c>
      <c r="B38" s="2621"/>
      <c r="D38" s="2926" t="s">
        <v>1624</v>
      </c>
      <c r="E38" s="2927">
        <v>1.2E-2</v>
      </c>
      <c r="F38" s="1281"/>
      <c r="G38" s="2932"/>
      <c r="H38" s="2932"/>
      <c r="I38" s="2933"/>
      <c r="J38" s="1652"/>
      <c r="K38" s="1652"/>
      <c r="L38" s="1652"/>
      <c r="M38" s="1652"/>
      <c r="N38" s="1652"/>
    </row>
    <row r="39" spans="1:14" s="2640" customFormat="1" ht="15" thickBot="1">
      <c r="A39" s="2894" t="str">
        <f>IF(B29="租赁期内按合同租金","空置率","——")</f>
        <v>——</v>
      </c>
      <c r="B39" s="2621"/>
      <c r="D39" s="2897" t="s">
        <v>1625</v>
      </c>
      <c r="E39" s="2928">
        <v>0.12</v>
      </c>
      <c r="F39" s="1281"/>
      <c r="G39" s="2933"/>
      <c r="H39" s="2933"/>
      <c r="I39" s="1652"/>
      <c r="J39" s="1652"/>
      <c r="K39" s="1652"/>
      <c r="L39" s="1652"/>
      <c r="M39" s="1652"/>
      <c r="N39" s="1652"/>
    </row>
    <row r="40" spans="1:14" ht="14.25">
      <c r="A40" s="2894" t="str">
        <f>IF(B29="租赁期内按合同租金","成新率","——")</f>
        <v>——</v>
      </c>
      <c r="B40" s="2621"/>
      <c r="D40" s="2926" t="s">
        <v>1626</v>
      </c>
      <c r="E40" s="2930">
        <f>SUMIF(D42:D51,E41,E42:E51)</f>
        <v>30</v>
      </c>
      <c r="F40" s="1281"/>
      <c r="G40" s="2933"/>
      <c r="H40" s="2933"/>
      <c r="I40" s="1652"/>
      <c r="J40" s="1652"/>
      <c r="K40" s="1652"/>
      <c r="L40" s="1652"/>
      <c r="M40" s="1652"/>
      <c r="N40" s="1652"/>
    </row>
    <row r="41" spans="1:14" ht="15" thickBot="1">
      <c r="A41" s="2901" t="str">
        <f>IF(B29="租赁期内按合同租金","租赁期外收益期","——")</f>
        <v>——</v>
      </c>
      <c r="B41" s="2929" t="str">
        <f>IF(B29="租赁期内按合同租金",B34-B35,"——")</f>
        <v>——</v>
      </c>
      <c r="D41" s="2894" t="s">
        <v>1628</v>
      </c>
      <c r="E41" s="2646" t="s">
        <v>161</v>
      </c>
      <c r="F41" s="1281" t="s">
        <v>1629</v>
      </c>
      <c r="G41" s="1739" t="s">
        <v>1630</v>
      </c>
      <c r="H41" s="2933"/>
      <c r="I41" s="1652"/>
      <c r="J41" s="1652"/>
      <c r="K41" s="1652"/>
      <c r="L41" s="1652"/>
      <c r="M41" s="1652"/>
      <c r="N41" s="1652"/>
    </row>
    <row r="42" spans="1:14" ht="14.25">
      <c r="A42" s="2893" t="s">
        <v>1627</v>
      </c>
      <c r="B42" s="2645"/>
      <c r="D42" s="2648" t="s">
        <v>1632</v>
      </c>
      <c r="E42" s="3321">
        <v>30</v>
      </c>
      <c r="F42" s="1281">
        <v>30</v>
      </c>
      <c r="G42" s="2933"/>
      <c r="H42" s="2933"/>
      <c r="I42" s="1652"/>
      <c r="J42" s="1652"/>
      <c r="K42" s="1652"/>
      <c r="L42" s="1652"/>
      <c r="M42" s="1652"/>
      <c r="N42" s="1652"/>
    </row>
    <row r="43" spans="1:14" ht="14.25">
      <c r="A43" s="2894" t="s">
        <v>1631</v>
      </c>
      <c r="B43" s="2647">
        <v>365</v>
      </c>
      <c r="D43" s="2648" t="s">
        <v>1634</v>
      </c>
      <c r="E43" s="3321">
        <v>24</v>
      </c>
      <c r="F43" s="1281">
        <v>24</v>
      </c>
      <c r="G43" s="2933"/>
      <c r="H43" s="2933"/>
      <c r="I43" s="1652"/>
      <c r="J43" s="1652"/>
      <c r="K43" s="1652"/>
      <c r="L43" s="1652"/>
      <c r="M43" s="1652"/>
      <c r="N43" s="1652"/>
    </row>
    <row r="44" spans="1:14" ht="14.25">
      <c r="A44" s="2894" t="s">
        <v>1633</v>
      </c>
      <c r="B44" s="2635"/>
      <c r="D44" s="2648" t="s">
        <v>1636</v>
      </c>
      <c r="E44" s="3321">
        <v>18</v>
      </c>
      <c r="F44" s="1281">
        <v>18</v>
      </c>
      <c r="G44" s="2640"/>
      <c r="H44" s="2640"/>
      <c r="I44" s="2933"/>
      <c r="J44" s="1652"/>
      <c r="K44" s="1652"/>
      <c r="L44" s="1652"/>
      <c r="M44" s="1652"/>
      <c r="N44" s="1652"/>
    </row>
    <row r="45" spans="1:14" ht="14.25">
      <c r="A45" s="2894" t="s">
        <v>1635</v>
      </c>
      <c r="B45" s="2649">
        <v>1.4999999999999999E-2</v>
      </c>
      <c r="C45" s="2529" t="s">
        <v>2781</v>
      </c>
      <c r="D45" s="2648" t="s">
        <v>1638</v>
      </c>
      <c r="E45" s="3321">
        <v>12</v>
      </c>
      <c r="F45" s="1281">
        <v>12</v>
      </c>
      <c r="G45" s="2640"/>
      <c r="H45" s="2640"/>
      <c r="M45" s="1652"/>
      <c r="N45" s="1652"/>
    </row>
    <row r="46" spans="1:14" ht="14.25">
      <c r="A46" s="2894" t="s">
        <v>1637</v>
      </c>
      <c r="B46" s="2650">
        <v>1.5E-3</v>
      </c>
      <c r="C46" s="2529" t="s">
        <v>2779</v>
      </c>
      <c r="D46" s="2648" t="s">
        <v>1400</v>
      </c>
      <c r="E46" s="3321">
        <v>3</v>
      </c>
      <c r="F46" s="1281">
        <v>3</v>
      </c>
      <c r="G46" s="2640"/>
      <c r="H46" s="2640"/>
      <c r="M46" s="1652"/>
      <c r="N46" s="1652"/>
    </row>
    <row r="47" spans="1:14" ht="15" thickBot="1">
      <c r="A47" s="2897" t="s">
        <v>1639</v>
      </c>
      <c r="B47" s="2651">
        <v>1.4999999999999999E-2</v>
      </c>
      <c r="C47" s="2529" t="s">
        <v>2780</v>
      </c>
      <c r="D47" s="2648" t="s">
        <v>1640</v>
      </c>
      <c r="E47" s="3321">
        <v>1.5</v>
      </c>
      <c r="F47" s="1281">
        <v>1.5</v>
      </c>
      <c r="G47" s="2640"/>
      <c r="H47" s="2640"/>
      <c r="M47" s="1652"/>
      <c r="N47" s="1652"/>
    </row>
    <row r="48" spans="1:14" ht="14.25">
      <c r="A48" s="2640"/>
      <c r="B48" s="2640"/>
      <c r="D48" s="2648" t="s">
        <v>1641</v>
      </c>
      <c r="E48" s="2635"/>
      <c r="F48" s="1281"/>
      <c r="G48" s="2640"/>
      <c r="H48" s="2640"/>
      <c r="M48" s="1652"/>
      <c r="N48" s="1652"/>
    </row>
    <row r="49" spans="1:41" ht="14.25">
      <c r="A49" s="2640"/>
      <c r="B49" s="2640"/>
      <c r="D49" s="2648" t="s">
        <v>1642</v>
      </c>
      <c r="E49" s="2635"/>
      <c r="F49" s="1281"/>
      <c r="G49" s="2640"/>
      <c r="H49" s="2640"/>
      <c r="M49" s="1652"/>
      <c r="N49" s="1652"/>
    </row>
    <row r="50" spans="1:41" ht="14.25">
      <c r="A50" s="2640"/>
      <c r="B50" s="2640"/>
      <c r="D50" s="2648" t="s">
        <v>1643</v>
      </c>
      <c r="E50" s="2635"/>
      <c r="F50" s="1281"/>
      <c r="G50" s="2640"/>
      <c r="H50" s="2640"/>
      <c r="M50" s="1652"/>
      <c r="N50" s="1652"/>
    </row>
    <row r="51" spans="1:41" s="947" customFormat="1" ht="15" thickBot="1">
      <c r="A51" s="2640"/>
      <c r="B51" s="2640"/>
      <c r="C51" s="2640"/>
      <c r="D51" s="2652" t="s">
        <v>1644</v>
      </c>
      <c r="E51" s="2653"/>
      <c r="F51" s="1281"/>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3"/>
      <c r="E52" s="2933"/>
      <c r="F52" s="2933"/>
      <c r="G52" s="2933"/>
      <c r="H52" s="2933"/>
      <c r="I52" s="1652"/>
      <c r="J52" s="1652"/>
      <c r="K52" s="1652"/>
      <c r="L52" s="1652"/>
      <c r="M52" s="1652"/>
      <c r="N52" s="1652"/>
    </row>
    <row r="53" spans="1:41" s="2640" customFormat="1" ht="14.25">
      <c r="D53" s="2933"/>
      <c r="E53" s="2933"/>
      <c r="F53" s="2933"/>
      <c r="G53" s="2933"/>
      <c r="H53" s="2933"/>
      <c r="I53" s="1652"/>
      <c r="J53" s="1652"/>
      <c r="K53" s="1652"/>
      <c r="L53" s="1652"/>
      <c r="M53" s="1652"/>
      <c r="N53" s="1652"/>
    </row>
    <row r="54" spans="1:41" s="2640" customFormat="1" ht="14.25">
      <c r="D54" s="2933"/>
      <c r="E54" s="2933"/>
      <c r="F54" s="2933"/>
      <c r="G54" s="2933"/>
      <c r="H54" s="2933"/>
      <c r="I54" s="1652"/>
      <c r="J54" s="1652"/>
      <c r="K54" s="1652"/>
      <c r="L54" s="1652"/>
      <c r="M54" s="1652"/>
      <c r="N54" s="1652"/>
    </row>
    <row r="55" spans="1:41" s="2640" customFormat="1" ht="14.25">
      <c r="D55" s="2933"/>
      <c r="E55" s="2933"/>
      <c r="F55" s="2933"/>
      <c r="G55" s="2933"/>
      <c r="H55" s="2933"/>
      <c r="I55" s="1652"/>
      <c r="J55" s="1652"/>
      <c r="K55" s="1652"/>
      <c r="L55" s="1652"/>
      <c r="M55" s="1652"/>
      <c r="N55" s="1652"/>
    </row>
    <row r="56" spans="1:41" s="2640" customFormat="1" ht="14.25">
      <c r="D56" s="2933"/>
      <c r="E56" s="2933"/>
      <c r="F56" s="2933"/>
      <c r="G56" s="2933"/>
      <c r="H56" s="2933"/>
      <c r="I56" s="1652"/>
      <c r="J56" s="1652"/>
      <c r="K56" s="1652"/>
      <c r="L56" s="1652"/>
      <c r="M56" s="1652"/>
      <c r="N56" s="1652"/>
    </row>
    <row r="57" spans="1:41" s="2640" customFormat="1" ht="14.25">
      <c r="D57" s="2933"/>
      <c r="E57" s="2933"/>
      <c r="F57" s="2933"/>
      <c r="G57" s="2933"/>
      <c r="H57" s="2933"/>
      <c r="I57" s="1652"/>
      <c r="J57" s="1652"/>
      <c r="K57" s="1652"/>
      <c r="L57" s="1652"/>
      <c r="M57" s="1652"/>
      <c r="N57" s="1652"/>
    </row>
    <row r="58" spans="1:41" s="2640" customFormat="1" ht="14.25">
      <c r="D58" s="2933"/>
      <c r="E58" s="2933"/>
      <c r="F58" s="2933"/>
      <c r="G58" s="2933"/>
      <c r="H58" s="2933"/>
      <c r="I58" s="1652"/>
      <c r="J58" s="1652"/>
      <c r="K58" s="1652"/>
      <c r="L58" s="1652"/>
      <c r="M58" s="1652"/>
      <c r="N58" s="1652"/>
    </row>
    <row r="59" spans="1:41" s="2640" customFormat="1" ht="14.25">
      <c r="D59" s="2933"/>
      <c r="E59" s="2933"/>
      <c r="F59" s="2933"/>
      <c r="G59" s="2933"/>
      <c r="H59" s="2933"/>
      <c r="I59" s="1652"/>
      <c r="J59" s="1652"/>
      <c r="K59" s="1652"/>
      <c r="L59" s="1652"/>
      <c r="M59" s="2934"/>
      <c r="N59" s="1652"/>
    </row>
    <row r="60" spans="1:41" s="2640" customFormat="1" ht="14.25">
      <c r="D60" s="2933"/>
      <c r="E60" s="2933"/>
      <c r="F60" s="2933"/>
      <c r="G60" s="2933"/>
      <c r="H60" s="2933"/>
      <c r="I60" s="1652"/>
      <c r="J60" s="1652"/>
      <c r="K60" s="1652"/>
      <c r="L60" s="1652"/>
      <c r="M60" s="1652"/>
      <c r="N60" s="1652"/>
    </row>
    <row r="61" spans="1:41" s="2640" customFormat="1" ht="14.25">
      <c r="D61" s="2933"/>
      <c r="E61" s="2933"/>
      <c r="F61" s="2933"/>
      <c r="G61" s="2933"/>
      <c r="H61" s="2933"/>
      <c r="I61" s="1652"/>
      <c r="J61" s="1652"/>
      <c r="K61" s="1652"/>
      <c r="L61" s="1652"/>
      <c r="M61" s="1652"/>
      <c r="N61" s="1652"/>
    </row>
    <row r="62" spans="1:41" s="2640" customFormat="1" ht="14.25">
      <c r="D62" s="2933"/>
      <c r="E62" s="2933"/>
      <c r="F62" s="2933"/>
      <c r="G62" s="2933"/>
      <c r="H62" s="2933"/>
      <c r="I62" s="1652"/>
      <c r="J62" s="1652"/>
      <c r="K62" s="1652"/>
      <c r="L62" s="1652"/>
      <c r="M62" s="1652"/>
      <c r="N62" s="1652"/>
    </row>
    <row r="63" spans="1:41" s="2640" customFormat="1" ht="14.25">
      <c r="D63" s="2933"/>
      <c r="E63" s="2933"/>
      <c r="F63" s="2933"/>
      <c r="G63" s="2933"/>
      <c r="H63" s="2933"/>
      <c r="I63" s="1652"/>
      <c r="J63" s="1652"/>
      <c r="K63" s="1652"/>
      <c r="L63" s="1652"/>
      <c r="M63" s="1652"/>
      <c r="N63" s="1652"/>
    </row>
    <row r="64" spans="1:41" s="2640" customFormat="1" ht="14.25">
      <c r="D64" s="2933"/>
      <c r="E64" s="2933"/>
      <c r="F64" s="2933"/>
      <c r="G64" s="2933"/>
      <c r="H64" s="2933"/>
      <c r="I64" s="1652"/>
      <c r="J64" s="1652"/>
      <c r="K64" s="1652"/>
      <c r="L64" s="1652"/>
      <c r="M64" s="1652"/>
      <c r="N64" s="1652"/>
    </row>
    <row r="65" spans="1:14" s="2640" customFormat="1" ht="14.25">
      <c r="D65" s="2933"/>
      <c r="E65" s="2933"/>
      <c r="F65" s="2933"/>
      <c r="G65" s="2933"/>
      <c r="H65" s="2933"/>
      <c r="I65" s="1652"/>
      <c r="J65" s="1652"/>
      <c r="K65" s="1652"/>
      <c r="L65" s="1652"/>
      <c r="M65" s="1652"/>
      <c r="N65" s="1652"/>
    </row>
    <row r="66" spans="1:14" s="2640" customFormat="1" ht="14.25">
      <c r="D66" s="2933"/>
      <c r="E66" s="2933"/>
      <c r="F66" s="2933"/>
      <c r="G66" s="2933"/>
      <c r="H66" s="2933"/>
      <c r="I66" s="1652"/>
      <c r="J66" s="1652"/>
      <c r="K66" s="1652"/>
      <c r="L66" s="1652"/>
      <c r="M66" s="1652"/>
      <c r="N66" s="1652"/>
    </row>
    <row r="67" spans="1:14" s="2640" customFormat="1" ht="14.25">
      <c r="A67" s="2937"/>
      <c r="D67" s="2933"/>
      <c r="E67" s="2933"/>
      <c r="F67" s="2933"/>
      <c r="G67" s="2933"/>
      <c r="H67" s="2933"/>
      <c r="I67" s="1652"/>
      <c r="J67" s="1652"/>
      <c r="K67" s="1652"/>
      <c r="L67" s="1652"/>
      <c r="M67" s="1652"/>
      <c r="N67" s="1652"/>
    </row>
    <row r="68" spans="1:14" s="2640" customFormat="1" ht="14.25">
      <c r="A68" s="2937"/>
      <c r="D68" s="2933"/>
      <c r="E68" s="2933"/>
      <c r="F68" s="2933"/>
      <c r="G68" s="2932"/>
      <c r="H68" s="2932"/>
    </row>
    <row r="69" spans="1:14" s="2640" customFormat="1">
      <c r="A69" s="2937"/>
      <c r="D69" s="2932"/>
      <c r="E69" s="2932"/>
      <c r="F69" s="2932"/>
      <c r="G69" s="2932"/>
      <c r="H69" s="2932"/>
    </row>
    <row r="70" spans="1:14" s="2640" customFormat="1">
      <c r="A70" s="2937"/>
      <c r="D70" s="2932"/>
      <c r="E70" s="2932"/>
      <c r="F70" s="2932"/>
      <c r="G70" s="2932"/>
      <c r="H70" s="2932"/>
    </row>
    <row r="71" spans="1:14" s="2640" customFormat="1">
      <c r="A71" s="2937"/>
      <c r="D71" s="2932"/>
      <c r="E71" s="2932"/>
      <c r="F71" s="2932"/>
      <c r="G71" s="2932"/>
      <c r="H71" s="2932"/>
    </row>
    <row r="72" spans="1:14" s="2640" customFormat="1">
      <c r="A72" s="2937"/>
      <c r="D72" s="2932"/>
      <c r="E72" s="2932"/>
      <c r="F72" s="2932"/>
      <c r="G72" s="2932"/>
      <c r="H72" s="2932"/>
    </row>
    <row r="73" spans="1:14" s="2640" customFormat="1">
      <c r="A73" s="2937"/>
      <c r="D73" s="2932"/>
      <c r="E73" s="2932"/>
      <c r="F73" s="2932"/>
      <c r="G73" s="2932"/>
      <c r="H73" s="2932"/>
    </row>
    <row r="74" spans="1:14" s="2640" customFormat="1">
      <c r="A74" s="2937"/>
      <c r="D74" s="2932"/>
      <c r="E74" s="2932"/>
      <c r="F74" s="2932"/>
      <c r="G74" s="2932"/>
      <c r="H74" s="2932"/>
    </row>
    <row r="75" spans="1:14" s="2640" customFormat="1">
      <c r="A75" s="2937"/>
      <c r="D75" s="2932"/>
      <c r="E75" s="2932"/>
      <c r="F75" s="2932"/>
      <c r="G75" s="2932"/>
      <c r="H75" s="2932"/>
    </row>
    <row r="76" spans="1:14" s="2640" customFormat="1">
      <c r="A76" s="2937"/>
      <c r="D76" s="2932"/>
      <c r="E76" s="2932"/>
      <c r="F76" s="2932"/>
      <c r="G76" s="2932"/>
      <c r="H76" s="2932"/>
    </row>
    <row r="77" spans="1:14" s="2640" customFormat="1">
      <c r="A77" s="2937"/>
      <c r="D77" s="2932"/>
      <c r="E77" s="2932"/>
      <c r="F77" s="2932"/>
      <c r="G77" s="2932"/>
      <c r="H77" s="2932"/>
    </row>
    <row r="78" spans="1:14" s="2640" customFormat="1">
      <c r="A78" s="2937"/>
      <c r="D78" s="2932"/>
      <c r="E78" s="2932"/>
      <c r="F78" s="2932"/>
      <c r="G78" s="2932"/>
      <c r="H78" s="2932"/>
    </row>
    <row r="79" spans="1:14" s="2640" customFormat="1">
      <c r="A79" s="2937"/>
      <c r="D79" s="2932"/>
      <c r="E79" s="2932"/>
      <c r="F79" s="2932"/>
      <c r="G79" s="2932"/>
      <c r="H79" s="2932"/>
    </row>
    <row r="80" spans="1:14" s="2640" customFormat="1">
      <c r="A80" s="2937"/>
      <c r="D80" s="2932"/>
      <c r="E80" s="2932"/>
      <c r="F80" s="2932"/>
      <c r="G80" s="2932"/>
      <c r="H80" s="2932"/>
    </row>
    <row r="81" spans="1:8" s="2640" customFormat="1">
      <c r="A81" s="2937"/>
      <c r="D81" s="2932"/>
      <c r="E81" s="2932"/>
      <c r="F81" s="2932"/>
      <c r="G81" s="2932"/>
      <c r="H81" s="2932"/>
    </row>
    <row r="82" spans="1:8" s="2640" customFormat="1">
      <c r="A82" s="2937"/>
      <c r="D82" s="2932"/>
      <c r="E82" s="2932"/>
      <c r="F82" s="2932"/>
      <c r="G82" s="2932"/>
      <c r="H82" s="2932"/>
    </row>
    <row r="83" spans="1:8" s="2640" customFormat="1">
      <c r="A83" s="2937"/>
      <c r="D83" s="2932"/>
      <c r="E83" s="2932"/>
      <c r="F83" s="2932"/>
      <c r="G83" s="2932"/>
      <c r="H83" s="2932"/>
    </row>
    <row r="84" spans="1:8" s="2640" customFormat="1">
      <c r="A84" s="2937"/>
      <c r="D84" s="2932"/>
      <c r="E84" s="2932"/>
      <c r="F84" s="2932"/>
      <c r="G84" s="2932"/>
      <c r="H84" s="2932"/>
    </row>
    <row r="85" spans="1:8" s="2640" customFormat="1">
      <c r="A85" s="2937"/>
      <c r="D85" s="2932"/>
      <c r="E85" s="2932"/>
      <c r="F85" s="2932"/>
      <c r="G85" s="2932"/>
      <c r="H85" s="2932"/>
    </row>
    <row r="86" spans="1:8" s="2640" customFormat="1">
      <c r="A86" s="2937"/>
      <c r="D86" s="2932"/>
      <c r="E86" s="2932"/>
      <c r="F86" s="2932"/>
      <c r="G86" s="2932"/>
      <c r="H86" s="2932"/>
    </row>
    <row r="87" spans="1:8" s="2640" customFormat="1">
      <c r="A87" s="2937"/>
      <c r="D87" s="2932"/>
      <c r="E87" s="2932"/>
      <c r="F87" s="2932"/>
      <c r="G87" s="2932"/>
      <c r="H87" s="2932"/>
    </row>
    <row r="88" spans="1:8" s="2640" customFormat="1">
      <c r="A88" s="2937"/>
      <c r="D88" s="2932"/>
      <c r="E88" s="2932"/>
      <c r="F88" s="2932"/>
      <c r="G88" s="2932"/>
      <c r="H88" s="2932"/>
    </row>
    <row r="89" spans="1:8" s="2640" customFormat="1">
      <c r="A89" s="2937"/>
      <c r="D89" s="2932"/>
      <c r="E89" s="2932"/>
      <c r="F89" s="2932"/>
      <c r="G89" s="2932"/>
      <c r="H89" s="2932"/>
    </row>
    <row r="90" spans="1:8" s="2640" customFormat="1">
      <c r="A90" s="2937"/>
      <c r="D90" s="2932"/>
      <c r="E90" s="2932"/>
      <c r="F90" s="2932"/>
      <c r="G90" s="2932"/>
      <c r="H90" s="2932"/>
    </row>
    <row r="91" spans="1:8" s="2640" customFormat="1">
      <c r="A91" s="2937"/>
      <c r="D91" s="2932"/>
      <c r="E91" s="2932"/>
      <c r="F91" s="2932"/>
      <c r="G91" s="2932"/>
      <c r="H91" s="2932"/>
    </row>
    <row r="92" spans="1:8" s="2640" customFormat="1">
      <c r="A92" s="2937"/>
      <c r="D92" s="2932"/>
      <c r="E92" s="2932"/>
      <c r="F92" s="2932"/>
      <c r="G92" s="2932"/>
      <c r="H92" s="2932"/>
    </row>
    <row r="93" spans="1:8" s="2640" customFormat="1">
      <c r="A93" s="2937"/>
      <c r="D93" s="2932"/>
      <c r="E93" s="2932"/>
      <c r="F93" s="2932"/>
      <c r="G93" s="2932"/>
      <c r="H93" s="2932"/>
    </row>
    <row r="94" spans="1:8" s="2640" customFormat="1">
      <c r="A94" s="2937"/>
      <c r="D94" s="2932"/>
      <c r="E94" s="2932"/>
      <c r="F94" s="2932"/>
      <c r="G94" s="2932"/>
      <c r="H94" s="2932"/>
    </row>
    <row r="95" spans="1:8" s="2640" customFormat="1">
      <c r="A95" s="2937"/>
      <c r="D95" s="2932"/>
      <c r="E95" s="2932"/>
      <c r="F95" s="2932"/>
      <c r="G95" s="2932"/>
      <c r="H95" s="2932"/>
    </row>
    <row r="96" spans="1:8" s="2640" customFormat="1">
      <c r="A96" s="2937"/>
      <c r="D96" s="2932"/>
      <c r="E96" s="2932"/>
      <c r="F96" s="2932"/>
      <c r="G96" s="2932"/>
      <c r="H96" s="2932"/>
    </row>
    <row r="97" spans="1:8" s="2640" customFormat="1">
      <c r="A97" s="2937"/>
      <c r="D97" s="2932"/>
      <c r="E97" s="2932"/>
      <c r="F97" s="2932"/>
      <c r="G97" s="2932"/>
      <c r="H97" s="2932"/>
    </row>
    <row r="98" spans="1:8" s="2640" customFormat="1">
      <c r="A98" s="2937"/>
      <c r="D98" s="2932"/>
      <c r="E98" s="2932"/>
      <c r="F98" s="2932"/>
      <c r="G98" s="2932"/>
      <c r="H98" s="2932"/>
    </row>
    <row r="99" spans="1:8" s="2640" customFormat="1">
      <c r="A99" s="2937"/>
      <c r="D99" s="2932"/>
      <c r="E99" s="2932"/>
      <c r="F99" s="2932"/>
      <c r="G99" s="2932"/>
      <c r="H99" s="2932"/>
    </row>
    <row r="100" spans="1:8" s="2640" customFormat="1">
      <c r="A100" s="2937"/>
      <c r="D100" s="2932"/>
      <c r="E100" s="2932"/>
      <c r="F100" s="2932"/>
      <c r="G100" s="2932"/>
      <c r="H100" s="2932"/>
    </row>
    <row r="101" spans="1:8" s="2640" customFormat="1">
      <c r="A101" s="2937"/>
      <c r="D101" s="2932"/>
      <c r="E101" s="2932"/>
      <c r="F101" s="2932"/>
      <c r="G101" s="2932"/>
      <c r="H101" s="2932"/>
    </row>
    <row r="102" spans="1:8" s="2640" customFormat="1">
      <c r="A102" s="2937"/>
      <c r="D102" s="2932"/>
      <c r="E102" s="2932"/>
      <c r="F102" s="2932"/>
      <c r="G102" s="2932"/>
      <c r="H102" s="2932"/>
    </row>
    <row r="103" spans="1:8" s="2640" customFormat="1">
      <c r="A103" s="2937"/>
      <c r="D103" s="2932"/>
      <c r="E103" s="2932"/>
      <c r="F103" s="2932"/>
      <c r="G103" s="2932"/>
      <c r="H103" s="2932"/>
    </row>
    <row r="104" spans="1:8" s="2640" customFormat="1">
      <c r="A104" s="2937"/>
      <c r="D104" s="2932"/>
      <c r="E104" s="2932"/>
      <c r="F104" s="2932"/>
      <c r="G104" s="2932"/>
      <c r="H104" s="2932"/>
    </row>
    <row r="105" spans="1:8" s="2640" customFormat="1">
      <c r="A105" s="2937"/>
      <c r="D105" s="2932"/>
      <c r="E105" s="2932"/>
      <c r="F105" s="2932"/>
      <c r="G105" s="2932"/>
      <c r="H105" s="2932"/>
    </row>
    <row r="106" spans="1:8" s="2640" customFormat="1">
      <c r="A106" s="2937"/>
      <c r="D106" s="2932"/>
      <c r="E106" s="2932"/>
      <c r="F106" s="2932"/>
      <c r="G106" s="2932"/>
      <c r="H106" s="2932"/>
    </row>
    <row r="107" spans="1:8" s="2640" customFormat="1">
      <c r="A107" s="2937"/>
      <c r="D107" s="2932"/>
      <c r="E107" s="2932"/>
      <c r="F107" s="2932"/>
      <c r="G107" s="2932"/>
      <c r="H107" s="2932"/>
    </row>
    <row r="108" spans="1:8" s="2640" customFormat="1">
      <c r="A108" s="2937"/>
      <c r="D108" s="2932"/>
      <c r="E108" s="2932"/>
      <c r="F108" s="2932"/>
      <c r="G108" s="2932"/>
      <c r="H108" s="2932"/>
    </row>
    <row r="109" spans="1:8" s="2640" customFormat="1">
      <c r="A109" s="2937"/>
      <c r="D109" s="2932"/>
      <c r="E109" s="2932"/>
      <c r="F109" s="2932"/>
      <c r="G109" s="2932"/>
      <c r="H109" s="2932"/>
    </row>
    <row r="110" spans="1:8" s="2640" customFormat="1">
      <c r="A110" s="2937"/>
      <c r="D110" s="2932"/>
      <c r="E110" s="2932"/>
      <c r="F110" s="2932"/>
      <c r="G110" s="2932"/>
      <c r="H110" s="2932"/>
    </row>
    <row r="111" spans="1:8" s="2640" customFormat="1">
      <c r="A111" s="2937"/>
      <c r="D111" s="2932"/>
      <c r="E111" s="2932"/>
      <c r="F111" s="2932"/>
      <c r="G111" s="2932"/>
      <c r="H111" s="2932"/>
    </row>
    <row r="112" spans="1:8" s="2640" customFormat="1">
      <c r="A112" s="2937"/>
      <c r="D112" s="2932"/>
      <c r="E112" s="2932"/>
      <c r="F112" s="2932"/>
      <c r="G112" s="2932"/>
      <c r="H112" s="2932"/>
    </row>
    <row r="113" spans="1:8" s="2640" customFormat="1">
      <c r="A113" s="2937"/>
      <c r="D113" s="2932"/>
      <c r="E113" s="2932"/>
      <c r="F113" s="2932"/>
      <c r="G113" s="2932"/>
      <c r="H113" s="2932"/>
    </row>
    <row r="114" spans="1:8" s="2640" customFormat="1">
      <c r="A114" s="2937"/>
      <c r="D114" s="2932"/>
      <c r="E114" s="2932"/>
      <c r="F114" s="2932"/>
      <c r="G114" s="2932"/>
      <c r="H114" s="2932"/>
    </row>
    <row r="115" spans="1:8" s="2640" customFormat="1">
      <c r="A115" s="2937"/>
      <c r="D115" s="2932"/>
      <c r="E115" s="2932"/>
      <c r="F115" s="2932"/>
      <c r="G115" s="2932"/>
      <c r="H115" s="2932"/>
    </row>
    <row r="116" spans="1:8" s="2640" customFormat="1">
      <c r="A116" s="2937"/>
      <c r="D116" s="2932"/>
      <c r="E116" s="2932"/>
      <c r="F116" s="2932"/>
      <c r="G116" s="2932"/>
      <c r="H116" s="2932"/>
    </row>
    <row r="117" spans="1:8" s="2640" customFormat="1">
      <c r="A117" s="2937"/>
      <c r="D117" s="2932"/>
      <c r="E117" s="2932"/>
      <c r="F117" s="2932"/>
      <c r="G117" s="2932"/>
      <c r="H117" s="2932"/>
    </row>
    <row r="118" spans="1:8" s="2640" customFormat="1">
      <c r="A118" s="2937"/>
      <c r="D118" s="2932"/>
      <c r="E118" s="2932"/>
      <c r="F118" s="2932"/>
      <c r="G118" s="2932"/>
      <c r="H118" s="2932"/>
    </row>
    <row r="119" spans="1:8" s="2640" customFormat="1">
      <c r="A119" s="2937"/>
      <c r="D119" s="2932"/>
      <c r="E119" s="2932"/>
      <c r="F119" s="2932"/>
      <c r="G119" s="2932"/>
      <c r="H119" s="2932"/>
    </row>
    <row r="120" spans="1:8" s="2640" customFormat="1">
      <c r="A120" s="2937"/>
      <c r="D120" s="2932"/>
      <c r="E120" s="2932"/>
      <c r="F120" s="2932"/>
      <c r="G120" s="2932"/>
      <c r="H120" s="2932"/>
    </row>
    <row r="121" spans="1:8" s="2640" customFormat="1">
      <c r="A121" s="2937"/>
      <c r="D121" s="2932"/>
      <c r="E121" s="2932"/>
      <c r="F121" s="2932"/>
      <c r="G121" s="2932"/>
      <c r="H121" s="2932"/>
    </row>
    <row r="122" spans="1:8" s="2640" customFormat="1">
      <c r="A122" s="2937"/>
      <c r="D122" s="2932"/>
      <c r="E122" s="2932"/>
      <c r="F122" s="2932"/>
      <c r="G122" s="2932"/>
      <c r="H122" s="2932"/>
    </row>
    <row r="123" spans="1:8" s="2640" customFormat="1">
      <c r="A123" s="2937"/>
      <c r="D123" s="2932"/>
      <c r="E123" s="2932"/>
      <c r="F123" s="2932"/>
      <c r="G123" s="2932"/>
      <c r="H123" s="2932"/>
    </row>
    <row r="124" spans="1:8" s="2640" customFormat="1">
      <c r="A124" s="2937"/>
      <c r="D124" s="2932"/>
      <c r="E124" s="2932"/>
      <c r="F124" s="2932"/>
      <c r="G124" s="2932"/>
      <c r="H124" s="2932"/>
    </row>
    <row r="125" spans="1:8" s="2640" customFormat="1">
      <c r="A125" s="2937"/>
      <c r="D125" s="2932"/>
      <c r="E125" s="2932"/>
      <c r="F125" s="2932"/>
      <c r="G125" s="2932"/>
      <c r="H125" s="2932"/>
    </row>
    <row r="126" spans="1:8" s="2640" customFormat="1">
      <c r="A126" s="2937"/>
      <c r="D126" s="2932"/>
      <c r="E126" s="2932"/>
      <c r="F126" s="2932"/>
      <c r="G126" s="2932"/>
      <c r="H126" s="2932"/>
    </row>
    <row r="127" spans="1:8" s="2640" customFormat="1">
      <c r="A127" s="2937"/>
      <c r="D127" s="2932"/>
      <c r="E127" s="2932"/>
      <c r="F127" s="2932"/>
      <c r="G127" s="2932"/>
      <c r="H127" s="2932"/>
    </row>
    <row r="128" spans="1:8" s="2640" customFormat="1">
      <c r="A128" s="2937"/>
      <c r="D128" s="2932"/>
      <c r="E128" s="2932"/>
      <c r="F128" s="2932"/>
      <c r="G128" s="2932"/>
      <c r="H128" s="2932"/>
    </row>
    <row r="129" spans="1:8" s="2640" customFormat="1">
      <c r="A129" s="2937"/>
      <c r="D129" s="2932"/>
      <c r="E129" s="2932"/>
      <c r="F129" s="2932"/>
      <c r="G129" s="2932"/>
      <c r="H129" s="2932"/>
    </row>
    <row r="130" spans="1:8" s="2640" customFormat="1">
      <c r="A130" s="2937"/>
      <c r="D130" s="2932"/>
      <c r="E130" s="2932"/>
      <c r="F130" s="2932"/>
      <c r="G130" s="2932"/>
      <c r="H130" s="2932"/>
    </row>
    <row r="131" spans="1:8" s="2640" customFormat="1">
      <c r="A131" s="2937"/>
      <c r="D131" s="2932"/>
      <c r="E131" s="2932"/>
      <c r="F131" s="2932"/>
      <c r="G131" s="2932"/>
      <c r="H131" s="2932"/>
    </row>
    <row r="132" spans="1:8" s="2640" customFormat="1">
      <c r="A132" s="2937"/>
      <c r="D132" s="2932"/>
      <c r="E132" s="2932"/>
      <c r="F132" s="2932"/>
      <c r="G132" s="2932"/>
      <c r="H132" s="2932"/>
    </row>
    <row r="133" spans="1:8" s="2640" customFormat="1">
      <c r="A133" s="2937"/>
      <c r="D133" s="2932"/>
      <c r="E133" s="2932"/>
      <c r="F133" s="2932"/>
      <c r="G133" s="2932"/>
      <c r="H133" s="2932"/>
    </row>
    <row r="134" spans="1:8" s="2640" customFormat="1">
      <c r="A134" s="2937"/>
      <c r="D134" s="2932"/>
      <c r="E134" s="2932"/>
      <c r="F134" s="2932"/>
      <c r="G134" s="2932"/>
      <c r="H134" s="2932"/>
    </row>
    <row r="135" spans="1:8" s="2640" customFormat="1">
      <c r="A135" s="2937"/>
      <c r="D135" s="2932"/>
      <c r="E135" s="2932"/>
      <c r="F135" s="2932"/>
      <c r="G135" s="2932"/>
      <c r="H135" s="2932"/>
    </row>
    <row r="136" spans="1:8" s="2640" customFormat="1">
      <c r="A136" s="2937"/>
      <c r="D136" s="2932"/>
      <c r="E136" s="2932"/>
      <c r="F136" s="2932"/>
      <c r="G136" s="2932"/>
      <c r="H136" s="2932"/>
    </row>
    <row r="137" spans="1:8" s="2640" customFormat="1">
      <c r="A137" s="2937"/>
      <c r="D137" s="2932"/>
      <c r="E137" s="2932"/>
      <c r="F137" s="2932"/>
      <c r="G137" s="2932"/>
      <c r="H137" s="2932"/>
    </row>
    <row r="138" spans="1:8" s="2640" customFormat="1">
      <c r="A138" s="2937"/>
      <c r="D138" s="2932"/>
      <c r="E138" s="2932"/>
      <c r="F138" s="2932"/>
      <c r="G138" s="2932"/>
      <c r="H138" s="2932"/>
    </row>
    <row r="139" spans="1:8" s="2640" customFormat="1">
      <c r="A139" s="2937"/>
      <c r="D139" s="2932"/>
      <c r="E139" s="2932"/>
      <c r="F139" s="2932"/>
      <c r="G139" s="2932"/>
      <c r="H139" s="2932"/>
    </row>
    <row r="140" spans="1:8" s="2640" customFormat="1">
      <c r="A140" s="2937"/>
      <c r="D140" s="2932"/>
      <c r="E140" s="2932"/>
      <c r="F140" s="2932"/>
      <c r="G140" s="2932"/>
      <c r="H140" s="2932"/>
    </row>
    <row r="141" spans="1:8" s="2640" customFormat="1">
      <c r="A141" s="2937"/>
      <c r="D141" s="2932"/>
      <c r="E141" s="2932"/>
      <c r="F141" s="2932"/>
      <c r="G141" s="2932"/>
      <c r="H141" s="2932"/>
    </row>
    <row r="142" spans="1:8" s="2640" customFormat="1">
      <c r="A142" s="2937"/>
      <c r="D142" s="2932"/>
      <c r="E142" s="2932"/>
      <c r="F142" s="2932"/>
      <c r="G142" s="2932"/>
      <c r="H142" s="2932"/>
    </row>
    <row r="143" spans="1:8" s="2640" customFormat="1">
      <c r="A143" s="2937"/>
      <c r="D143" s="2932"/>
      <c r="E143" s="2932"/>
      <c r="F143" s="2932"/>
      <c r="G143" s="2932"/>
      <c r="H143" s="2932"/>
    </row>
    <row r="144" spans="1:8" s="2640" customFormat="1">
      <c r="A144" s="2937"/>
      <c r="D144" s="2932"/>
      <c r="E144" s="2932"/>
      <c r="F144" s="2932"/>
      <c r="G144" s="2932"/>
      <c r="H144" s="2932"/>
    </row>
    <row r="145" spans="1:8" s="2640" customFormat="1">
      <c r="A145" s="2937"/>
      <c r="D145" s="2932"/>
      <c r="E145" s="2932"/>
      <c r="F145" s="2932"/>
      <c r="G145" s="2932"/>
      <c r="H145" s="2932"/>
    </row>
    <row r="146" spans="1:8" s="2640" customFormat="1">
      <c r="A146" s="2937"/>
      <c r="D146" s="2932"/>
      <c r="E146" s="2932"/>
      <c r="F146" s="2932"/>
      <c r="G146" s="2932"/>
      <c r="H146" s="2932"/>
    </row>
    <row r="147" spans="1:8" s="2640" customFormat="1">
      <c r="A147" s="2937"/>
      <c r="D147" s="2932"/>
      <c r="E147" s="2932"/>
      <c r="F147" s="2932"/>
      <c r="G147" s="2932"/>
      <c r="H147" s="2932"/>
    </row>
    <row r="148" spans="1:8" s="2640" customFormat="1">
      <c r="A148" s="2937"/>
      <c r="D148" s="2932"/>
      <c r="E148" s="2932"/>
      <c r="F148" s="2932"/>
      <c r="G148" s="2932"/>
      <c r="H148" s="2932"/>
    </row>
    <row r="149" spans="1:8" s="2640" customFormat="1">
      <c r="A149" s="2937"/>
      <c r="D149" s="2932"/>
      <c r="E149" s="2932"/>
      <c r="F149" s="2932"/>
      <c r="G149" s="2932"/>
      <c r="H149" s="2932"/>
    </row>
    <row r="150" spans="1:8" s="2640" customFormat="1">
      <c r="A150" s="2937"/>
      <c r="D150" s="2932"/>
      <c r="E150" s="2932"/>
      <c r="F150" s="2932"/>
      <c r="G150" s="2932"/>
      <c r="H150" s="2932"/>
    </row>
    <row r="151" spans="1:8" s="2640" customFormat="1">
      <c r="A151" s="2937"/>
      <c r="D151" s="2932"/>
      <c r="E151" s="2932"/>
      <c r="F151" s="2932"/>
      <c r="G151" s="2932"/>
      <c r="H151" s="2932"/>
    </row>
    <row r="152" spans="1:8" s="2640" customFormat="1">
      <c r="A152" s="2937"/>
      <c r="D152" s="2932"/>
      <c r="E152" s="2932"/>
      <c r="F152" s="2932"/>
      <c r="G152" s="2932"/>
      <c r="H152" s="2932"/>
    </row>
    <row r="153" spans="1:8" s="2640" customFormat="1">
      <c r="A153" s="2937"/>
      <c r="D153" s="2932"/>
      <c r="E153" s="2932"/>
      <c r="F153" s="2932"/>
      <c r="G153" s="2932"/>
      <c r="H153" s="2932"/>
    </row>
    <row r="154" spans="1:8" s="2640" customFormat="1">
      <c r="A154" s="2937"/>
      <c r="D154" s="2932"/>
      <c r="E154" s="2932"/>
      <c r="F154" s="2932"/>
      <c r="G154" s="2932"/>
      <c r="H154" s="2932"/>
    </row>
    <row r="155" spans="1:8" s="2640" customFormat="1">
      <c r="A155" s="2937"/>
      <c r="D155" s="2932"/>
      <c r="E155" s="2932"/>
      <c r="F155" s="2932"/>
      <c r="G155" s="2932"/>
      <c r="H155" s="2932"/>
    </row>
    <row r="156" spans="1:8" s="2640" customFormat="1">
      <c r="A156" s="2937"/>
      <c r="D156" s="2932"/>
      <c r="E156" s="2932"/>
      <c r="F156" s="2932"/>
      <c r="G156" s="2932"/>
      <c r="H156" s="2932"/>
    </row>
    <row r="157" spans="1:8" s="2640" customFormat="1">
      <c r="A157" s="2937"/>
      <c r="D157" s="2932"/>
      <c r="E157" s="2932"/>
      <c r="F157" s="2932"/>
      <c r="G157" s="2932"/>
      <c r="H157" s="2932"/>
    </row>
    <row r="158" spans="1:8">
      <c r="A158" s="2937"/>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6" customWidth="1"/>
    <col min="4" max="4" width="2.625" style="2676" customWidth="1"/>
    <col min="5" max="5" width="5.875" style="2676" customWidth="1"/>
    <col min="6" max="6" width="27" style="2616"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3"/>
  </cols>
  <sheetData>
    <row r="1" spans="1:29" s="2661" customFormat="1" ht="19.5" thickBot="1">
      <c r="A1" s="3438" t="s">
        <v>1645</v>
      </c>
      <c r="B1" s="3439"/>
      <c r="C1" s="3439"/>
      <c r="D1" s="3439"/>
      <c r="E1" s="3439"/>
      <c r="F1" s="3439"/>
      <c r="G1" s="3439"/>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0" customFormat="1" ht="13.5" thickBot="1">
      <c r="A2" s="3063"/>
      <c r="B2" s="3064"/>
      <c r="C2" s="3065" t="s">
        <v>2786</v>
      </c>
      <c r="D2" s="3066"/>
      <c r="E2" s="3063"/>
      <c r="F2" s="3067"/>
      <c r="G2" s="3065" t="s">
        <v>2787</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0" customFormat="1" ht="25.5">
      <c r="A3" s="3069" t="s">
        <v>2788</v>
      </c>
      <c r="B3" s="3070" t="s">
        <v>2789</v>
      </c>
      <c r="C3" s="3071"/>
      <c r="D3" s="3072"/>
      <c r="E3" s="3073" t="s">
        <v>2788</v>
      </c>
      <c r="F3" s="3074" t="s">
        <v>2790</v>
      </c>
      <c r="G3" s="3075" t="s">
        <v>2791</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0" customFormat="1" ht="24">
      <c r="A4" s="3073"/>
      <c r="B4" s="3057" t="s">
        <v>2792</v>
      </c>
      <c r="C4" s="3076"/>
      <c r="D4" s="3072"/>
      <c r="E4" s="3077"/>
      <c r="F4" s="3059" t="s">
        <v>2793</v>
      </c>
      <c r="G4" s="3078" t="s">
        <v>2794</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0" customFormat="1" ht="48">
      <c r="A5" s="3073"/>
      <c r="B5" s="3057" t="s">
        <v>2795</v>
      </c>
      <c r="C5" s="3323" t="s">
        <v>2999</v>
      </c>
      <c r="D5" s="3072"/>
      <c r="E5" s="3077"/>
      <c r="F5" s="3057" t="s">
        <v>2796</v>
      </c>
      <c r="G5" s="3078" t="s">
        <v>2797</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0" customFormat="1" ht="36">
      <c r="A6" s="3073"/>
      <c r="B6" s="3057" t="s">
        <v>2798</v>
      </c>
      <c r="C6" s="3324" t="s">
        <v>3000</v>
      </c>
      <c r="D6" s="3072"/>
      <c r="E6" s="3077"/>
      <c r="F6" s="3057" t="s">
        <v>2799</v>
      </c>
      <c r="G6" s="3078" t="s">
        <v>2800</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0" customFormat="1" ht="36.75" thickBot="1">
      <c r="A7" s="3073"/>
      <c r="B7" s="3057" t="s">
        <v>2796</v>
      </c>
      <c r="C7" s="3324" t="s">
        <v>3001</v>
      </c>
      <c r="D7" s="2946"/>
      <c r="E7" s="3079"/>
      <c r="F7" s="3080" t="s">
        <v>2801</v>
      </c>
      <c r="G7" s="3081" t="s">
        <v>2802</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0" customFormat="1" ht="24">
      <c r="A8" s="3073"/>
      <c r="B8" s="3057" t="s">
        <v>2799</v>
      </c>
      <c r="C8" s="3324" t="s">
        <v>3002</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0" customFormat="1" ht="36">
      <c r="A9" s="3073"/>
      <c r="B9" s="3057" t="s">
        <v>2803</v>
      </c>
      <c r="C9" s="3323" t="s">
        <v>3003</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0" customFormat="1" ht="13.5" thickBot="1">
      <c r="A10" s="3082"/>
      <c r="B10" s="3061" t="s">
        <v>2804</v>
      </c>
      <c r="C10" s="3083" t="s">
        <v>3004</v>
      </c>
      <c r="D10" s="3072"/>
      <c r="E10" s="3072"/>
      <c r="F10" s="2941"/>
      <c r="G10" s="2941"/>
      <c r="H10" s="1465"/>
      <c r="I10" s="3084"/>
      <c r="J10" s="3085"/>
      <c r="K10" s="1465"/>
      <c r="L10" s="3084"/>
      <c r="M10" s="3085"/>
      <c r="N10" s="1465"/>
      <c r="O10" s="3084"/>
      <c r="P10" s="3085"/>
      <c r="Q10" s="1465"/>
      <c r="R10" s="3084"/>
      <c r="S10" s="3068"/>
      <c r="T10" s="3068"/>
      <c r="U10" s="3068"/>
      <c r="V10" s="3068"/>
      <c r="W10" s="3068"/>
      <c r="X10" s="3068"/>
      <c r="Y10" s="3068"/>
      <c r="Z10" s="3068"/>
      <c r="AA10" s="3068"/>
      <c r="AB10" s="3068"/>
      <c r="AC10" s="3068"/>
    </row>
    <row r="11" spans="1:29" s="2640" customFormat="1" ht="12.75">
      <c r="A11" s="3086"/>
      <c r="B11" s="2946"/>
      <c r="C11" s="3072"/>
      <c r="D11" s="3072"/>
      <c r="E11" s="3072"/>
      <c r="F11" s="2946"/>
      <c r="G11" s="3087"/>
      <c r="H11" s="1465"/>
      <c r="I11" s="3084"/>
      <c r="J11" s="3085"/>
      <c r="K11" s="1465"/>
      <c r="L11" s="3084"/>
      <c r="M11" s="3085"/>
      <c r="N11" s="1465"/>
      <c r="O11" s="3084"/>
      <c r="P11" s="3085"/>
      <c r="Q11" s="1465"/>
      <c r="R11" s="3084"/>
      <c r="S11" s="3068"/>
      <c r="T11" s="3068"/>
      <c r="U11" s="3068"/>
      <c r="V11" s="3068"/>
      <c r="W11" s="3068"/>
      <c r="X11" s="3068"/>
      <c r="Y11" s="3068"/>
      <c r="Z11" s="3068"/>
      <c r="AA11" s="3068"/>
      <c r="AB11" s="3068"/>
      <c r="AC11" s="3068"/>
    </row>
    <row r="12" spans="1:29" s="2661" customFormat="1" ht="18">
      <c r="A12" s="2611"/>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0" customFormat="1" ht="13.5" thickBot="1">
      <c r="A14" s="3088"/>
      <c r="B14" s="3088"/>
      <c r="C14" s="3089" t="s">
        <v>2805</v>
      </c>
      <c r="D14" s="3072"/>
      <c r="E14" s="3090"/>
      <c r="F14" s="3090"/>
      <c r="G14" s="3065" t="s">
        <v>2806</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0" customFormat="1" ht="25.5">
      <c r="A15" s="3094" t="s">
        <v>2807</v>
      </c>
      <c r="B15" s="3095" t="s">
        <v>2789</v>
      </c>
      <c r="C15" s="3096">
        <f>C3</f>
        <v>0</v>
      </c>
      <c r="D15" s="3072"/>
      <c r="E15" s="3097" t="s">
        <v>2808</v>
      </c>
      <c r="F15" s="3095" t="s">
        <v>2809</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0" customFormat="1" ht="25.5">
      <c r="A16" s="3099"/>
      <c r="B16" s="2540" t="s">
        <v>2792</v>
      </c>
      <c r="C16" s="3100">
        <f>C4</f>
        <v>0</v>
      </c>
      <c r="D16" s="3072"/>
      <c r="E16" s="3101"/>
      <c r="F16" s="3058" t="s">
        <v>2793</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0" customFormat="1" ht="51">
      <c r="A17" s="3099"/>
      <c r="B17" s="2540" t="s">
        <v>2795</v>
      </c>
      <c r="C17" s="3100" t="str">
        <f>C5</f>
        <v>估价对象位于朝阳门商圈，周边办公楼项目较多，有联合大厦、华普国际大厦等写字楼，入驻率高，办公集聚程度较好</v>
      </c>
      <c r="D17" s="2946"/>
      <c r="E17" s="3101"/>
      <c r="F17" s="3058" t="s">
        <v>2810</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0" customFormat="1" ht="38.25">
      <c r="A18" s="3099"/>
      <c r="B18" s="3058" t="s">
        <v>2798</v>
      </c>
      <c r="C18" s="3102" t="str">
        <f>C6</f>
        <v>周边有75、110、420路及地铁2号、6号线，周边道路密集，停车便捷程度，综合评价交通便捷度好</v>
      </c>
      <c r="D18" s="2946"/>
      <c r="E18" s="3101"/>
      <c r="F18" s="3058" t="s">
        <v>2801</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0" customFormat="1" ht="12.75">
      <c r="A19" s="3099"/>
      <c r="B19" s="3058" t="s">
        <v>2811</v>
      </c>
      <c r="C19" s="3325" t="s">
        <v>3005</v>
      </c>
      <c r="D19" s="3072"/>
      <c r="E19" s="3101"/>
      <c r="F19" s="3057" t="s">
        <v>2796</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0" customFormat="1" ht="38.25">
      <c r="A20" s="3099"/>
      <c r="B20" s="3058" t="s">
        <v>2812</v>
      </c>
      <c r="C20" s="3100" t="str">
        <f>C9</f>
        <v>区域内有东城职业大学、日坛公园、富国海底世界等自然及人文环境，综合评价自然及人文环境状况较好。</v>
      </c>
      <c r="D20" s="2946"/>
      <c r="E20" s="3101"/>
      <c r="F20" s="3057" t="s">
        <v>2799</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0" customFormat="1" ht="38.25">
      <c r="A21" s="3099"/>
      <c r="B21" s="3057" t="s">
        <v>2796</v>
      </c>
      <c r="C21" s="3102" t="str">
        <f>C7</f>
        <v>估价对象所在区域银行、购物场所、学校等公共配套设施齐备，综合评价公共配套设施水平好。</v>
      </c>
      <c r="D21" s="3072"/>
      <c r="E21" s="3101"/>
      <c r="F21" s="3058" t="s">
        <v>2813</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0" customFormat="1" ht="25.5">
      <c r="A22" s="3099"/>
      <c r="B22" s="3057" t="s">
        <v>2799</v>
      </c>
      <c r="C22" s="3102" t="str">
        <f>C8</f>
        <v>估价对象所在区域基础设施水平“七通一平</v>
      </c>
      <c r="D22" s="3072"/>
      <c r="E22" s="3101"/>
      <c r="F22" s="3058" t="s">
        <v>2804</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2813</v>
      </c>
      <c r="C23" s="3104"/>
      <c r="D23" s="3091"/>
      <c r="E23" s="3106"/>
      <c r="F23" s="3060" t="s">
        <v>2814</v>
      </c>
      <c r="G23" s="3107"/>
      <c r="H23" s="3091"/>
      <c r="I23" s="3092"/>
      <c r="J23" s="3091"/>
      <c r="K23" s="3091"/>
      <c r="L23" s="3092"/>
      <c r="M23" s="3091"/>
      <c r="N23" s="3091"/>
      <c r="O23" s="3092"/>
      <c r="P23" s="3091"/>
      <c r="Q23" s="3091"/>
      <c r="R23" s="3093"/>
    </row>
    <row r="24" spans="1:29" s="3068" customFormat="1" ht="13.5" thickBot="1">
      <c r="A24" s="3108"/>
      <c r="B24" s="3060" t="s">
        <v>2815</v>
      </c>
      <c r="C24" s="3109" t="str">
        <f>C10</f>
        <v>城市主干道——朝阳门外大街</v>
      </c>
      <c r="D24" s="3091"/>
      <c r="E24" s="3110"/>
      <c r="F24" s="3110"/>
      <c r="G24" s="3111"/>
      <c r="H24" s="3091"/>
      <c r="I24" s="3092"/>
      <c r="J24" s="3091"/>
      <c r="K24" s="3091"/>
      <c r="L24" s="3092"/>
      <c r="M24" s="3091"/>
      <c r="N24" s="3091"/>
      <c r="O24" s="3092"/>
      <c r="P24" s="3091"/>
      <c r="Q24" s="3091"/>
      <c r="R24" s="3093"/>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9" sqref="K9"/>
    </sheetView>
  </sheetViews>
  <sheetFormatPr defaultColWidth="14.625" defaultRowHeight="13.5"/>
  <cols>
    <col min="1" max="1" width="24.375" style="2549" customWidth="1"/>
    <col min="2" max="16384" width="14.625" style="2549"/>
  </cols>
  <sheetData>
    <row r="1" spans="1:9" ht="16.5">
      <c r="A1" s="2547" t="s">
        <v>1155</v>
      </c>
      <c r="B1" s="2547">
        <f>SUM(B14:B23)</f>
        <v>189.52</v>
      </c>
      <c r="C1" s="1601"/>
      <c r="D1" s="1601"/>
      <c r="E1" s="1601"/>
      <c r="F1" s="1601"/>
      <c r="G1" s="2548"/>
    </row>
    <row r="2" spans="1:9" ht="16.5">
      <c r="A2" s="2547" t="s">
        <v>1156</v>
      </c>
      <c r="B2" s="2547">
        <f>SUM(C14:C23)</f>
        <v>0</v>
      </c>
      <c r="C2" s="1601"/>
      <c r="D2" s="1601"/>
      <c r="E2" s="1601"/>
      <c r="F2" s="1601"/>
      <c r="G2" s="2548"/>
    </row>
    <row r="3" spans="1:9" ht="16.5">
      <c r="A3" s="2547" t="s">
        <v>1157</v>
      </c>
      <c r="B3" s="2550">
        <f>项目基本情况!D2</f>
        <v>44727</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464</v>
      </c>
      <c r="C5" s="2547">
        <f ca="1">ROUND(B5*10000/$B$1,0)</f>
        <v>24483</v>
      </c>
      <c r="D5" s="2547" t="e">
        <f ca="1">ROUND(B5*10000/$B$2,0)</f>
        <v>#DIV/0!</v>
      </c>
      <c r="E5" s="1601"/>
      <c r="F5" s="2548"/>
      <c r="G5" s="2548"/>
    </row>
    <row r="6" spans="1:9" ht="16.5">
      <c r="A6" s="2547" t="s">
        <v>1163</v>
      </c>
      <c r="B6" s="2547">
        <f ca="1">SUM(G14:G23)</f>
        <v>464</v>
      </c>
      <c r="C6" s="2547">
        <f t="shared" ref="C6:C8" ca="1" si="0">ROUND(B6*10000/$B$1,0)</f>
        <v>24483</v>
      </c>
      <c r="D6" s="2547" t="e">
        <f t="shared" ref="D6:D8" ca="1" si="1">ROUND(B6*10000/$B$2,0)</f>
        <v>#DIV/0!</v>
      </c>
      <c r="E6" s="1601"/>
      <c r="F6" s="2548"/>
      <c r="G6" s="2548"/>
    </row>
    <row r="7" spans="1:9" ht="16.5">
      <c r="A7" s="2547" t="s">
        <v>1164</v>
      </c>
      <c r="B7" s="2547">
        <f>SUM(H14:H23)</f>
        <v>0</v>
      </c>
      <c r="C7" s="2547">
        <f>ROUND(B7*10000/$B$1,0)</f>
        <v>0</v>
      </c>
      <c r="D7" s="2547" t="e">
        <f t="shared" si="1"/>
        <v>#DIV/0!</v>
      </c>
      <c r="E7" s="1601"/>
      <c r="F7" s="2548"/>
      <c r="G7" s="2548"/>
    </row>
    <row r="8" spans="1:9" ht="16.5">
      <c r="A8" s="2547" t="s">
        <v>1165</v>
      </c>
      <c r="B8" s="2547">
        <f>SUM(I14:I23)</f>
        <v>0</v>
      </c>
      <c r="C8" s="2547">
        <f t="shared" si="0"/>
        <v>0</v>
      </c>
      <c r="D8" s="2547" t="e">
        <f t="shared" si="1"/>
        <v>#DIV/0!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1182</v>
      </c>
      <c r="B11" s="2551"/>
      <c r="C11" s="1601"/>
      <c r="D11" s="1601"/>
      <c r="E11" s="1601"/>
      <c r="F11" s="2548"/>
      <c r="G11" s="2548"/>
    </row>
    <row r="12" spans="1:9" ht="16.5">
      <c r="A12" s="1601"/>
      <c r="B12" s="1601"/>
      <c r="C12" s="1601"/>
      <c r="D12" s="1601"/>
      <c r="E12" s="1601"/>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1" t="s">
        <v>3092</v>
      </c>
      <c r="B14" s="2881">
        <f>项目基本情况!C12</f>
        <v>189.52</v>
      </c>
      <c r="C14" s="2881">
        <f>项目基本情况!C13</f>
        <v>0</v>
      </c>
      <c r="D14" s="2881">
        <f ca="1">IF('数据-取费表'!B3="万元",IF(A14="估价对象1（结果表）",结果表!H121,'结果表 (1修多)'!H125),IF(A14="估价对象1（结果表）",结果表!H121,'结果表 (1修多)'!H125)/10000)</f>
        <v>464</v>
      </c>
      <c r="E14" s="2881">
        <f ca="1">ROUND(D14*10000/B14,0)</f>
        <v>24483</v>
      </c>
      <c r="F14" s="2881" t="e">
        <f ca="1">ROUND(D14*10000/C14,0)</f>
        <v>#DIV/0!</v>
      </c>
      <c r="G14" s="2881">
        <f ca="1">IF('数据-取费表'!B3="万元",IF(A14="估价对象1（结果表）",结果表!D125,'结果表 (1修多)'!D129),IF(A14="估价对象1（结果表）",结果表!D125,'结果表 (1修多)'!D129)/10000)</f>
        <v>464</v>
      </c>
      <c r="H14" s="2881" t="str">
        <f>IF('数据-取费表'!B3="万元",IF(A14="估价对象1（结果表）",结果表!D127,'结果表 (1修多)'!D131),IF(A14="估价对象1（结果表）",结果表!D127,'结果表 (1修多)'!D131)/10000)</f>
        <v>——</v>
      </c>
      <c r="I14" s="2881">
        <v>0</v>
      </c>
    </row>
    <row r="15" spans="1:9" ht="16.5">
      <c r="A15" s="2554" t="s">
        <v>1172</v>
      </c>
      <c r="B15" s="2555"/>
      <c r="C15" s="2555"/>
      <c r="D15" s="2555"/>
      <c r="E15" s="2881" t="e">
        <f t="shared" ref="E15:E23" si="2">ROUND(D15*10000/B15,0)</f>
        <v>#DIV/0!</v>
      </c>
      <c r="F15" s="2881" t="e">
        <f t="shared" ref="F15:F23" si="3">ROUND(D15*10000/C15,0)</f>
        <v>#DIV/0!</v>
      </c>
      <c r="G15" s="1275"/>
      <c r="H15" s="1275"/>
      <c r="I15" s="2555"/>
    </row>
    <row r="16" spans="1:9" ht="16.5">
      <c r="A16" s="2554" t="s">
        <v>1173</v>
      </c>
      <c r="B16" s="2555"/>
      <c r="C16" s="2555"/>
      <c r="D16" s="2555"/>
      <c r="E16" s="2881" t="e">
        <f t="shared" si="2"/>
        <v>#DIV/0!</v>
      </c>
      <c r="F16" s="2881" t="e">
        <f t="shared" si="3"/>
        <v>#DIV/0!</v>
      </c>
      <c r="G16" s="1275"/>
      <c r="H16" s="1275"/>
      <c r="I16" s="2555"/>
    </row>
    <row r="17" spans="1:9" ht="16.5">
      <c r="A17" s="2554" t="s">
        <v>1174</v>
      </c>
      <c r="B17" s="2555"/>
      <c r="C17" s="2555"/>
      <c r="D17" s="2555"/>
      <c r="E17" s="2881" t="e">
        <f t="shared" si="2"/>
        <v>#DIV/0!</v>
      </c>
      <c r="F17" s="2881" t="e">
        <f t="shared" si="3"/>
        <v>#DIV/0!</v>
      </c>
      <c r="G17" s="1275"/>
      <c r="H17" s="1275"/>
      <c r="I17" s="2555"/>
    </row>
    <row r="18" spans="1:9" ht="16.5">
      <c r="A18" s="2554" t="s">
        <v>1175</v>
      </c>
      <c r="B18" s="2555"/>
      <c r="C18" s="2555"/>
      <c r="D18" s="2555"/>
      <c r="E18" s="2881" t="e">
        <f t="shared" si="2"/>
        <v>#DIV/0!</v>
      </c>
      <c r="F18" s="2881" t="e">
        <f t="shared" si="3"/>
        <v>#DIV/0!</v>
      </c>
      <c r="G18" s="2555"/>
      <c r="H18" s="2555"/>
      <c r="I18" s="2555"/>
    </row>
    <row r="19" spans="1:9" ht="16.5">
      <c r="A19" s="2554" t="s">
        <v>1176</v>
      </c>
      <c r="B19" s="2555"/>
      <c r="C19" s="2555"/>
      <c r="D19" s="2555"/>
      <c r="E19" s="2881" t="e">
        <f t="shared" si="2"/>
        <v>#DIV/0!</v>
      </c>
      <c r="F19" s="2881" t="e">
        <f t="shared" si="3"/>
        <v>#DIV/0!</v>
      </c>
      <c r="G19" s="2555"/>
      <c r="H19" s="2555"/>
      <c r="I19" s="2555"/>
    </row>
    <row r="20" spans="1:9" ht="16.5">
      <c r="A20" s="2554" t="s">
        <v>1177</v>
      </c>
      <c r="B20" s="2555"/>
      <c r="C20" s="2555"/>
      <c r="D20" s="2555"/>
      <c r="E20" s="2881" t="e">
        <f t="shared" si="2"/>
        <v>#DIV/0!</v>
      </c>
      <c r="F20" s="2881" t="e">
        <f t="shared" si="3"/>
        <v>#DIV/0!</v>
      </c>
      <c r="G20" s="2555"/>
      <c r="H20" s="2555"/>
      <c r="I20" s="2555"/>
    </row>
    <row r="21" spans="1:9" ht="16.5">
      <c r="A21" s="2554" t="s">
        <v>1178</v>
      </c>
      <c r="B21" s="2555"/>
      <c r="C21" s="2555"/>
      <c r="D21" s="2555"/>
      <c r="E21" s="2881" t="e">
        <f t="shared" si="2"/>
        <v>#DIV/0!</v>
      </c>
      <c r="F21" s="2881" t="e">
        <f t="shared" si="3"/>
        <v>#DIV/0!</v>
      </c>
      <c r="G21" s="2555"/>
      <c r="H21" s="2555"/>
      <c r="I21" s="2555"/>
    </row>
    <row r="22" spans="1:9" ht="16.5">
      <c r="A22" s="2554" t="s">
        <v>1179</v>
      </c>
      <c r="B22" s="2555"/>
      <c r="C22" s="2555"/>
      <c r="D22" s="2555"/>
      <c r="E22" s="2881" t="e">
        <f t="shared" si="2"/>
        <v>#DIV/0!</v>
      </c>
      <c r="F22" s="2881" t="e">
        <f t="shared" si="3"/>
        <v>#DIV/0!</v>
      </c>
      <c r="G22" s="2555"/>
      <c r="H22" s="2555"/>
      <c r="I22" s="2555"/>
    </row>
    <row r="23" spans="1:9" ht="16.5">
      <c r="A23" s="2554" t="s">
        <v>1180</v>
      </c>
      <c r="B23" s="2555"/>
      <c r="C23" s="2555"/>
      <c r="D23" s="2555"/>
      <c r="E23" s="2882" t="e">
        <f t="shared" si="2"/>
        <v>#DIV/0!</v>
      </c>
      <c r="F23" s="2882"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6" zoomScale="80" zoomScaleNormal="100" zoomScaleSheetLayoutView="80" zoomScalePageLayoutView="80" workbookViewId="0">
      <selection activeCell="G20" sqref="G20"/>
    </sheetView>
  </sheetViews>
  <sheetFormatPr defaultColWidth="12.625" defaultRowHeight="21.75" customHeight="1"/>
  <cols>
    <col min="1" max="2" width="12.625" style="1429"/>
    <col min="3" max="4" width="12.625" style="1429" customWidth="1"/>
    <col min="5" max="9" width="12.625" style="1429"/>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1652</v>
      </c>
      <c r="B1" s="1428"/>
      <c r="C1" s="1428"/>
      <c r="D1" s="1428"/>
      <c r="E1" s="1428"/>
      <c r="F1" s="1428"/>
      <c r="G1" s="1428"/>
      <c r="H1" s="1428"/>
      <c r="I1" s="1428"/>
    </row>
    <row r="2" spans="1:15" ht="21.75" customHeight="1">
      <c r="A2" s="3495" t="str">
        <f>项目基本情况!B1</f>
        <v>北京市房地产抵押价值预评估</v>
      </c>
      <c r="B2" s="3495"/>
      <c r="C2" s="3495"/>
      <c r="D2" s="3495"/>
      <c r="E2" s="3495"/>
      <c r="F2" s="3495"/>
      <c r="G2" s="3495"/>
      <c r="H2" s="3495"/>
      <c r="I2" s="3495"/>
      <c r="J2" s="2808"/>
    </row>
    <row r="3" spans="1:15" ht="12.75">
      <c r="A3" s="3498" t="s">
        <v>1653</v>
      </c>
      <c r="B3" s="3499"/>
      <c r="C3" s="3499"/>
      <c r="D3" s="3499"/>
      <c r="E3" s="3499"/>
      <c r="F3" s="3499"/>
      <c r="G3" s="3499"/>
      <c r="H3" s="3499"/>
      <c r="I3" s="3499"/>
      <c r="J3" s="2809"/>
    </row>
    <row r="4" spans="1:15" ht="14.25">
      <c r="A4" s="2678" t="s">
        <v>1654</v>
      </c>
      <c r="B4" s="2678" t="s">
        <v>1655</v>
      </c>
      <c r="C4" s="2679" t="s">
        <v>3091</v>
      </c>
      <c r="D4" s="2679" t="s">
        <v>3046</v>
      </c>
      <c r="E4" s="3444" t="s">
        <v>1656</v>
      </c>
      <c r="F4" s="3482"/>
      <c r="G4" s="3482"/>
      <c r="H4" s="3482"/>
      <c r="I4" s="3483"/>
      <c r="J4" s="2810"/>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75" t="s">
        <v>1657</v>
      </c>
      <c r="B5" s="3475">
        <v>25</v>
      </c>
      <c r="C5" s="3484"/>
      <c r="D5" s="3497"/>
      <c r="E5" s="12" t="s">
        <v>1658</v>
      </c>
      <c r="F5" s="2056"/>
      <c r="G5" s="2056"/>
      <c r="H5" s="2056"/>
      <c r="I5" s="2051"/>
      <c r="J5" s="2810"/>
    </row>
    <row r="6" spans="1:15" ht="12.75">
      <c r="A6" s="3475"/>
      <c r="B6" s="3475"/>
      <c r="C6" s="3500"/>
      <c r="D6" s="3497"/>
      <c r="E6" s="12" t="s">
        <v>1659</v>
      </c>
      <c r="F6" s="2056"/>
      <c r="G6" s="2056"/>
      <c r="H6" s="2056"/>
      <c r="I6" s="2051"/>
      <c r="J6" s="2810"/>
    </row>
    <row r="7" spans="1:15" ht="12.75">
      <c r="A7" s="3475"/>
      <c r="B7" s="3475"/>
      <c r="C7" s="3485"/>
      <c r="D7" s="3497"/>
      <c r="E7" s="12" t="s">
        <v>1660</v>
      </c>
      <c r="F7" s="2056"/>
      <c r="G7" s="2056"/>
      <c r="H7" s="2056"/>
      <c r="I7" s="2051"/>
      <c r="J7" s="2810"/>
    </row>
    <row r="8" spans="1:15" ht="12.75">
      <c r="A8" s="3475" t="s">
        <v>1661</v>
      </c>
      <c r="B8" s="3475">
        <v>15</v>
      </c>
      <c r="C8" s="3484"/>
      <c r="D8" s="3497"/>
      <c r="E8" s="12" t="s">
        <v>1662</v>
      </c>
      <c r="F8" s="2056"/>
      <c r="G8" s="2056"/>
      <c r="H8" s="2056"/>
      <c r="I8" s="2051"/>
      <c r="J8" s="2810"/>
    </row>
    <row r="9" spans="1:15" ht="12.75">
      <c r="A9" s="3475"/>
      <c r="B9" s="3475"/>
      <c r="C9" s="3485"/>
      <c r="D9" s="3497"/>
      <c r="E9" s="12" t="s">
        <v>1663</v>
      </c>
      <c r="F9" s="2056"/>
      <c r="G9" s="2056"/>
      <c r="H9" s="2056"/>
      <c r="I9" s="2051"/>
      <c r="J9" s="2810"/>
    </row>
    <row r="10" spans="1:15" ht="12.75">
      <c r="A10" s="3475" t="s">
        <v>1664</v>
      </c>
      <c r="B10" s="3475">
        <v>15</v>
      </c>
      <c r="C10" s="3484"/>
      <c r="D10" s="3497"/>
      <c r="E10" s="12" t="s">
        <v>1665</v>
      </c>
      <c r="F10" s="2056"/>
      <c r="G10" s="2056"/>
      <c r="H10" s="2056"/>
      <c r="I10" s="2051"/>
      <c r="J10" s="2810"/>
    </row>
    <row r="11" spans="1:15" ht="12.75">
      <c r="A11" s="3475"/>
      <c r="B11" s="3475"/>
      <c r="C11" s="3485"/>
      <c r="D11" s="3497"/>
      <c r="E11" s="12" t="s">
        <v>1666</v>
      </c>
      <c r="F11" s="2056"/>
      <c r="G11" s="2056"/>
      <c r="H11" s="2056"/>
      <c r="I11" s="2051"/>
      <c r="J11" s="2810"/>
    </row>
    <row r="12" spans="1:15" ht="12.75">
      <c r="A12" s="3475" t="s">
        <v>1667</v>
      </c>
      <c r="B12" s="3475">
        <v>15</v>
      </c>
      <c r="C12" s="3484"/>
      <c r="D12" s="3497"/>
      <c r="E12" s="12" t="s">
        <v>1668</v>
      </c>
      <c r="F12" s="2056"/>
      <c r="G12" s="2056"/>
      <c r="H12" s="2056"/>
      <c r="I12" s="2051"/>
      <c r="J12" s="2810"/>
    </row>
    <row r="13" spans="1:15" ht="12.75">
      <c r="A13" s="3475"/>
      <c r="B13" s="3475"/>
      <c r="C13" s="3485"/>
      <c r="D13" s="3497"/>
      <c r="E13" s="12" t="s">
        <v>1669</v>
      </c>
      <c r="F13" s="2056"/>
      <c r="G13" s="2056"/>
      <c r="H13" s="2056"/>
      <c r="I13" s="2051"/>
      <c r="J13" s="2810"/>
    </row>
    <row r="14" spans="1:15" ht="12.75">
      <c r="A14" s="3475" t="s">
        <v>1670</v>
      </c>
      <c r="B14" s="3475">
        <v>30</v>
      </c>
      <c r="C14" s="3484">
        <v>7</v>
      </c>
      <c r="D14" s="3497">
        <v>3</v>
      </c>
      <c r="E14" s="12" t="s">
        <v>1671</v>
      </c>
      <c r="F14" s="2056"/>
      <c r="G14" s="2056"/>
      <c r="H14" s="2056"/>
      <c r="I14" s="2051"/>
      <c r="J14" s="2810"/>
    </row>
    <row r="15" spans="1:15" ht="12.75">
      <c r="A15" s="3475"/>
      <c r="B15" s="3475"/>
      <c r="C15" s="3500"/>
      <c r="D15" s="3497"/>
      <c r="E15" s="12" t="s">
        <v>1672</v>
      </c>
      <c r="F15" s="2056"/>
      <c r="G15" s="2056"/>
      <c r="H15" s="2056"/>
      <c r="I15" s="2051"/>
      <c r="J15" s="2810"/>
    </row>
    <row r="16" spans="1:15" ht="12.75">
      <c r="A16" s="3475"/>
      <c r="B16" s="3475"/>
      <c r="C16" s="3485"/>
      <c r="D16" s="3497"/>
      <c r="E16" s="12" t="s">
        <v>1673</v>
      </c>
      <c r="F16" s="2056"/>
      <c r="G16" s="2056"/>
      <c r="H16" s="2056"/>
      <c r="I16" s="2051"/>
      <c r="J16" s="2810"/>
    </row>
    <row r="17" spans="1:36" ht="15">
      <c r="A17" s="2680" t="s">
        <v>1674</v>
      </c>
      <c r="B17" s="2061"/>
      <c r="C17" s="2681">
        <f>SUM(C5:C16)</f>
        <v>7</v>
      </c>
      <c r="D17" s="2681">
        <f>SUM(D5:D16)</f>
        <v>3</v>
      </c>
      <c r="E17" s="2529"/>
      <c r="F17" s="2529"/>
      <c r="G17" s="2529"/>
      <c r="H17" s="2529"/>
      <c r="I17" s="2529"/>
      <c r="J17" s="2811"/>
    </row>
    <row r="18" spans="1:36" ht="30" customHeight="1" thickBot="1">
      <c r="A18" s="2682" t="s">
        <v>1675</v>
      </c>
      <c r="B18" s="2683"/>
      <c r="C18" s="2684">
        <f>ROUND(C17/SUM(C17:D17),2)</f>
        <v>0.7</v>
      </c>
      <c r="D18" s="2684">
        <f>1-C18</f>
        <v>0.30000000000000004</v>
      </c>
      <c r="E18" s="3493" t="s">
        <v>2754</v>
      </c>
      <c r="F18" s="3494"/>
      <c r="G18" s="3494"/>
      <c r="H18" s="3494"/>
      <c r="I18" s="3494"/>
      <c r="J18" s="2811"/>
    </row>
    <row r="19" spans="1:36" ht="15">
      <c r="A19" s="2685" t="s">
        <v>1676</v>
      </c>
      <c r="B19" s="2686" t="s">
        <v>1677</v>
      </c>
      <c r="C19" s="2687">
        <f ca="1">SUMIF(INDIRECT("'"&amp;C4&amp;"'"&amp;"!A:A"),结果表!B19,INDIRECT("'"&amp;C4&amp;"'"&amp;"!B:B"))</f>
        <v>570</v>
      </c>
      <c r="D19" s="2688">
        <f ca="1">SUMIF(INDIRECT("'"&amp;D4&amp;"'"&amp;"!A:A"),结果表!B19,INDIRECT("'"&amp;D4&amp;"'"&amp;"!B:B"))</f>
        <v>216</v>
      </c>
      <c r="E19" s="2685" t="s">
        <v>1678</v>
      </c>
      <c r="F19" s="2686" t="s">
        <v>1677</v>
      </c>
      <c r="G19" s="2689">
        <f ca="1">ROUND(C19*$C$18+D19*$D$18,0)</f>
        <v>464</v>
      </c>
      <c r="H19" s="2690" t="str">
        <f>'数据-取费表'!B3</f>
        <v>万元</v>
      </c>
      <c r="I19" s="2738"/>
      <c r="J19" s="2812"/>
      <c r="K19" s="659">
        <f>684/220</f>
        <v>3.1090909090909089</v>
      </c>
    </row>
    <row r="20" spans="1:36" ht="15">
      <c r="A20" s="2691"/>
      <c r="B20" s="1661" t="s">
        <v>1679</v>
      </c>
      <c r="C20" s="1886">
        <f ca="1">SUMIF(INDIRECT("'"&amp;C4&amp;"'"&amp;"!A:A"),结果表!B20,INDIRECT("'"&amp;C4&amp;"'"&amp;"!B:B"))</f>
        <v>30083</v>
      </c>
      <c r="D20" s="1889">
        <f ca="1">SUMIF(INDIRECT("'"&amp;D4&amp;"'"&amp;"!A:A"),结果表!B20,INDIRECT("'"&amp;D4&amp;"'"&amp;"!B:B"))</f>
        <v>11379</v>
      </c>
      <c r="E20" s="2691"/>
      <c r="F20" s="1661" t="s">
        <v>1679</v>
      </c>
      <c r="G20" s="2060">
        <f ca="1">ROUND(C20*$C$18+D20*$D$18,0)</f>
        <v>24472</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f ca="1">IF(C19&lt;D19,D19/C19-1,C19/D19-1)</f>
        <v>1.6388888888888888</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486" t="s">
        <v>1682</v>
      </c>
      <c r="B24" s="2686" t="s">
        <v>1677</v>
      </c>
      <c r="C24" s="2689">
        <f>D30</f>
        <v>0</v>
      </c>
      <c r="D24" s="2641"/>
      <c r="E24" s="947"/>
      <c r="F24" s="947"/>
      <c r="G24" s="947"/>
      <c r="H24" s="947"/>
      <c r="I24" s="947"/>
      <c r="J24" s="2811"/>
    </row>
    <row r="25" spans="1:36" ht="21.75" customHeight="1">
      <c r="A25" s="3503"/>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c r="B27" s="2704">
        <v>0</v>
      </c>
      <c r="C27" s="2704">
        <v>0</v>
      </c>
      <c r="D27" s="2705">
        <f>ROUND(C27*B27/10000,0)</f>
        <v>0</v>
      </c>
      <c r="E27" s="947"/>
      <c r="F27" s="947"/>
      <c r="G27" s="947"/>
      <c r="H27" s="947"/>
      <c r="I27" s="947"/>
      <c r="J27" s="2811"/>
    </row>
    <row r="28" spans="1:36" ht="14.25">
      <c r="A28" s="2703"/>
      <c r="B28" s="2704"/>
      <c r="C28" s="2704"/>
      <c r="D28" s="2705">
        <f t="shared" ref="D28:D29" si="0">ROUND(C28*B28/10000,0)</f>
        <v>0</v>
      </c>
      <c r="E28" s="947"/>
      <c r="F28" s="947"/>
      <c r="G28" s="947"/>
      <c r="H28" s="947"/>
      <c r="I28" s="947"/>
      <c r="J28" s="2811"/>
    </row>
    <row r="29" spans="1:36" ht="14.25">
      <c r="A29" s="2703"/>
      <c r="B29" s="2704"/>
      <c r="C29" s="2704"/>
      <c r="D29" s="2705">
        <f t="shared" si="0"/>
        <v>0</v>
      </c>
      <c r="E29" s="947"/>
      <c r="F29" s="947"/>
      <c r="G29" s="947"/>
      <c r="H29" s="947"/>
      <c r="I29" s="947"/>
      <c r="J29" s="2811"/>
    </row>
    <row r="30" spans="1:36" ht="15" thickBot="1">
      <c r="A30" s="2740" t="s">
        <v>1687</v>
      </c>
      <c r="B30" s="2740"/>
      <c r="C30" s="2740"/>
      <c r="D30" s="2740"/>
      <c r="E30" s="2707" t="s">
        <v>2758</v>
      </c>
      <c r="F30" s="2529"/>
      <c r="G30" s="2529"/>
      <c r="H30" s="2529"/>
      <c r="I30" s="2529"/>
      <c r="J30" s="2811"/>
    </row>
    <row r="31" spans="1:36" s="2804" customFormat="1" ht="26.45"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1688</v>
      </c>
      <c r="B32" s="2793" t="str">
        <f>'数据-取费表'!B4</f>
        <v>楼面单价</v>
      </c>
      <c r="C32" s="2794">
        <f ca="1">IF(B32="总价",G19-C24,G20-C25)</f>
        <v>24472</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8" t="s">
        <v>1689</v>
      </c>
      <c r="B33" s="255"/>
      <c r="C33" s="2709"/>
      <c r="D33" s="2710"/>
      <c r="E33" s="2711" t="s">
        <v>1690</v>
      </c>
      <c r="F33" s="2712" t="str">
        <f>IF(B32="楼面单价","取值（单价）","取值（总价）")</f>
        <v>取值（单价）</v>
      </c>
      <c r="G33" s="947"/>
      <c r="H33" s="947"/>
      <c r="I33" s="947"/>
      <c r="J33" s="2811"/>
    </row>
    <row r="34" spans="1:17" ht="15">
      <c r="A34" s="1433"/>
      <c r="B34" s="2713" t="s">
        <v>1691</v>
      </c>
      <c r="C34" s="2714">
        <f ca="1">IF(D33="自定义",F34,C32-C35)</f>
        <v>15931</v>
      </c>
      <c r="D34" s="2715">
        <f ca="1">IF(D33="自定义",ROUND(C34/C32,3),1-D35)</f>
        <v>0.65100000000000002</v>
      </c>
      <c r="E34" s="1403" t="s">
        <v>1692</v>
      </c>
      <c r="F34" s="2716">
        <v>2000</v>
      </c>
      <c r="G34" s="947"/>
      <c r="H34" s="947"/>
      <c r="I34" s="947"/>
      <c r="J34" s="2811"/>
    </row>
    <row r="35" spans="1:17" ht="15.75" thickBot="1">
      <c r="A35" s="1434"/>
      <c r="B35" s="2717" t="s">
        <v>1693</v>
      </c>
      <c r="C35" s="2718">
        <f ca="1">IF(D33="自定义",F35,ROUND(C32*D35,0))</f>
        <v>8541</v>
      </c>
      <c r="D35" s="2719">
        <f ca="1">IF(D33="自定义",ROUND(C35/C32,3),IF(D33="成本法成本比率",成本法!C56,IF(D33="收益法收益比率",收益法!J38,收益法!J41)))</f>
        <v>0.34899999999999998</v>
      </c>
      <c r="E35" s="2720" t="s">
        <v>1694</v>
      </c>
      <c r="F35" s="2721">
        <v>4460</v>
      </c>
      <c r="G35" s="947"/>
      <c r="H35" s="947"/>
      <c r="I35" s="947"/>
      <c r="J35" s="2811"/>
    </row>
    <row r="36" spans="1:17" ht="15.75" thickBot="1">
      <c r="A36" s="3486" t="s">
        <v>1695</v>
      </c>
      <c r="B36" s="1435" t="s">
        <v>1696</v>
      </c>
      <c r="C36" s="2722">
        <v>0</v>
      </c>
      <c r="D36" s="2723"/>
      <c r="E36" s="1647"/>
      <c r="F36" s="1647"/>
      <c r="G36" s="947"/>
      <c r="H36" s="947"/>
      <c r="I36" s="947"/>
      <c r="J36" s="2811"/>
    </row>
    <row r="37" spans="1:17" ht="15.75" thickBot="1">
      <c r="A37" s="3487"/>
      <c r="B37" s="2061" t="s">
        <v>1697</v>
      </c>
      <c r="C37" s="2724">
        <v>0</v>
      </c>
      <c r="D37" s="1281"/>
      <c r="E37" s="1281"/>
      <c r="F37" s="1647"/>
      <c r="G37" s="1281"/>
      <c r="H37" s="1281"/>
      <c r="I37" s="1281"/>
      <c r="J37" s="2815"/>
    </row>
    <row r="38" spans="1:17" ht="15.75" thickBot="1">
      <c r="A38" s="3488"/>
      <c r="B38" s="1436" t="s">
        <v>1698</v>
      </c>
      <c r="C38" s="2725">
        <v>0</v>
      </c>
      <c r="D38" s="2726" t="s">
        <v>1699</v>
      </c>
      <c r="E38" s="1281"/>
      <c r="F38" s="1647"/>
      <c r="G38" s="1281"/>
      <c r="H38" s="1281"/>
      <c r="I38" s="1281"/>
      <c r="J38" s="2815"/>
    </row>
    <row r="39" spans="1:17" ht="15">
      <c r="A39" s="2691" t="s">
        <v>1700</v>
      </c>
      <c r="B39" s="2727" t="s">
        <v>1684</v>
      </c>
      <c r="C39" s="2728" t="s">
        <v>1685</v>
      </c>
      <c r="D39" s="2728" t="s">
        <v>1701</v>
      </c>
      <c r="E39" s="2729" t="s">
        <v>1686</v>
      </c>
      <c r="F39" s="1647"/>
      <c r="G39" s="1281"/>
      <c r="H39" s="1281"/>
      <c r="I39" s="1281"/>
      <c r="J39" s="2815"/>
    </row>
    <row r="40" spans="1:17" ht="14.25">
      <c r="A40" s="2730" t="s">
        <v>1702</v>
      </c>
      <c r="B40" s="2731"/>
      <c r="C40" s="2732"/>
      <c r="D40" s="2732"/>
      <c r="E40" s="2733"/>
      <c r="F40" s="1647"/>
      <c r="G40" s="1281"/>
      <c r="H40" s="1281"/>
      <c r="I40" s="1281"/>
      <c r="J40" s="2815"/>
    </row>
    <row r="41" spans="1:17" ht="14.25">
      <c r="A41" s="2730" t="s">
        <v>1703</v>
      </c>
      <c r="B41" s="2731"/>
      <c r="C41" s="2732"/>
      <c r="D41" s="2732"/>
      <c r="E41" s="2733"/>
      <c r="F41" s="1647"/>
      <c r="G41" s="1281"/>
      <c r="H41" s="1281"/>
      <c r="I41" s="1281"/>
      <c r="J41" s="2815"/>
    </row>
    <row r="42" spans="1:17" ht="15" thickBot="1">
      <c r="A42" s="2734"/>
      <c r="B42" s="2735"/>
      <c r="C42" s="2736"/>
      <c r="D42" s="2736"/>
      <c r="E42" s="2721"/>
      <c r="F42" s="1647"/>
      <c r="G42" s="1281"/>
      <c r="H42" s="1281"/>
      <c r="I42" s="1281"/>
      <c r="J42" s="2815"/>
    </row>
    <row r="43" spans="1:17" ht="12.75">
      <c r="A43" s="2941"/>
      <c r="B43" s="2941"/>
      <c r="C43" s="2941"/>
      <c r="D43" s="2941"/>
      <c r="E43" s="2941"/>
      <c r="F43" s="2940"/>
      <c r="G43" s="2940"/>
      <c r="H43" s="2940"/>
      <c r="I43" s="2629"/>
      <c r="J43" s="2816"/>
    </row>
    <row r="44" spans="1:17" ht="18.75">
      <c r="A44" s="1438" t="s">
        <v>1704</v>
      </c>
      <c r="B44" s="1439"/>
      <c r="C44" s="1439"/>
      <c r="D44" s="1440"/>
      <c r="E44" s="1440"/>
      <c r="F44" s="1441"/>
      <c r="G44" s="1441"/>
      <c r="H44" s="1441"/>
      <c r="I44" s="2805" t="s">
        <v>2753</v>
      </c>
      <c r="J44" s="2817"/>
      <c r="K44" s="1442" t="s">
        <v>1705</v>
      </c>
      <c r="L44" s="1443"/>
      <c r="M44" s="1443"/>
      <c r="N44" s="1443"/>
      <c r="O44" s="1443"/>
      <c r="P44" s="1443"/>
      <c r="Q44" s="1278"/>
    </row>
    <row r="45" spans="1:17" ht="14.25" customHeight="1" thickBot="1">
      <c r="A45" s="3490" t="s">
        <v>1706</v>
      </c>
      <c r="B45" s="3491"/>
      <c r="C45" s="3450"/>
      <c r="D45" s="246">
        <f ca="1">ROUND(I102*F45,0)</f>
        <v>464</v>
      </c>
      <c r="E45" s="1509" t="s">
        <v>1707</v>
      </c>
      <c r="F45" s="2527">
        <v>1</v>
      </c>
      <c r="G45" s="2528" t="s">
        <v>1708</v>
      </c>
      <c r="H45" s="947"/>
      <c r="I45" s="947"/>
      <c r="J45" s="2811"/>
      <c r="K45" s="3544" t="s">
        <v>2683</v>
      </c>
      <c r="L45" s="3544"/>
      <c r="M45" s="3544"/>
      <c r="N45" s="3544"/>
      <c r="O45" s="3544"/>
      <c r="P45" s="3544"/>
      <c r="Q45" s="1278"/>
    </row>
    <row r="46" spans="1:17" ht="14.25" customHeight="1">
      <c r="A46" s="3479" t="s">
        <v>1710</v>
      </c>
      <c r="B46" s="3480"/>
      <c r="C46" s="3480"/>
      <c r="D46" s="3480"/>
      <c r="E46" s="3480"/>
      <c r="F46" s="3480"/>
      <c r="G46" s="3481"/>
      <c r="H46" s="2943"/>
      <c r="I46" s="947"/>
      <c r="J46" s="2811"/>
      <c r="K46" s="2502">
        <v>1</v>
      </c>
      <c r="L46" s="3545" t="s">
        <v>2684</v>
      </c>
      <c r="M46" s="3545"/>
      <c r="N46" s="3546" t="str">
        <f>项目基本情况!B1</f>
        <v>北京市房地产抵押价值预评估</v>
      </c>
      <c r="O46" s="3546"/>
      <c r="P46" s="3546"/>
      <c r="Q46" s="1278"/>
    </row>
    <row r="47" spans="1:17" ht="12" customHeight="1">
      <c r="A47" s="38" t="s">
        <v>1712</v>
      </c>
      <c r="B47" s="39"/>
      <c r="C47" s="40"/>
      <c r="D47" s="1070" t="s">
        <v>1713</v>
      </c>
      <c r="E47" s="235" t="s">
        <v>1714</v>
      </c>
      <c r="F47" s="41" t="s">
        <v>1715</v>
      </c>
      <c r="G47" s="2530" t="s">
        <v>1716</v>
      </c>
      <c r="H47" s="2943"/>
      <c r="I47" s="947"/>
      <c r="J47" s="2811"/>
      <c r="K47" s="2502">
        <v>2</v>
      </c>
      <c r="L47" s="3545" t="s">
        <v>2685</v>
      </c>
      <c r="M47" s="3545"/>
      <c r="N47" s="3547">
        <f>'数据-取费表'!B2</f>
        <v>44727</v>
      </c>
      <c r="O47" s="3547"/>
      <c r="P47" s="3547"/>
      <c r="Q47" s="1278"/>
    </row>
    <row r="48" spans="1:17" ht="25.5">
      <c r="A48" s="3489" t="s">
        <v>1718</v>
      </c>
      <c r="B48" s="3443"/>
      <c r="C48" s="3443"/>
      <c r="D48" s="12">
        <f ca="1">IF(H48="情况1",0,IF(H48="情况2",D52,IF(H48="情况3",D53,IF(H48="情况4",D54))))</f>
        <v>25</v>
      </c>
      <c r="E48" s="2059" t="str">
        <f>IF(H48="情况4","(销售额-原购置价)×税（费）率","销售额×税（费）率")</f>
        <v>销售额×税（费）率</v>
      </c>
      <c r="F48" s="2531">
        <f>IF(H48="情况1","免征",'数据-取费表'!E29)</f>
        <v>5.6000000000000001E-2</v>
      </c>
      <c r="G48" s="2532" t="s">
        <v>1719</v>
      </c>
      <c r="H48" s="2533" t="s">
        <v>1720</v>
      </c>
      <c r="I48" s="2943"/>
      <c r="J48" s="2818"/>
      <c r="K48" s="2502">
        <v>3</v>
      </c>
      <c r="L48" s="3545" t="s">
        <v>2686</v>
      </c>
      <c r="M48" s="3545"/>
      <c r="N48" s="3546">
        <f ca="1">I102</f>
        <v>464</v>
      </c>
      <c r="O48" s="3546"/>
      <c r="P48" s="3546"/>
      <c r="Q48" s="1278"/>
    </row>
    <row r="49" spans="1:17" ht="25.5" customHeight="1">
      <c r="A49" s="2058" t="s">
        <v>1722</v>
      </c>
      <c r="B49" s="3482" t="s">
        <v>1723</v>
      </c>
      <c r="C49" s="3482"/>
      <c r="D49" s="2534">
        <v>0</v>
      </c>
      <c r="E49" s="261" t="s">
        <v>1724</v>
      </c>
      <c r="F49" s="2535" t="s">
        <v>48</v>
      </c>
      <c r="G49" s="3539"/>
      <c r="H49" s="2536" t="s">
        <v>2760</v>
      </c>
      <c r="I49" s="2537"/>
      <c r="J49" s="2819"/>
      <c r="K49" s="2502">
        <v>4</v>
      </c>
      <c r="L49" s="3545" t="str">
        <f>IF(项目基本情况!F5="房地产抵押价值","房地产抵押价值","抵押担保权已注销时的房地产抵押价值")</f>
        <v>房地产抵押价值</v>
      </c>
      <c r="M49" s="3545"/>
      <c r="N49" s="3546">
        <f ca="1">IF(项目基本情况!F5="房地产抵押价值",I110,I112)</f>
        <v>464</v>
      </c>
      <c r="O49" s="3546"/>
      <c r="P49" s="3546"/>
      <c r="Q49" s="1278"/>
    </row>
    <row r="50" spans="1:17" ht="25.5" customHeight="1">
      <c r="A50" s="2048"/>
      <c r="B50" s="3482" t="s">
        <v>1725</v>
      </c>
      <c r="C50" s="3482"/>
      <c r="D50" s="2538"/>
      <c r="E50" s="269"/>
      <c r="F50" s="2535"/>
      <c r="G50" s="3540"/>
      <c r="H50" s="2539" t="s">
        <v>2679</v>
      </c>
      <c r="I50" s="2537"/>
      <c r="J50" s="2819"/>
      <c r="K50" s="3545" t="s">
        <v>2687</v>
      </c>
      <c r="L50" s="3545"/>
      <c r="M50" s="3545"/>
      <c r="N50" s="3545"/>
      <c r="O50" s="3545"/>
      <c r="P50" s="3545"/>
      <c r="Q50" s="1278"/>
    </row>
    <row r="51" spans="1:17" ht="20.45" customHeight="1">
      <c r="A51" s="2540"/>
      <c r="B51" s="3482" t="s">
        <v>1727</v>
      </c>
      <c r="C51" s="3482"/>
      <c r="D51" s="1070"/>
      <c r="E51" s="264"/>
      <c r="F51" s="2535"/>
      <c r="G51" s="3541"/>
      <c r="H51" s="2539" t="s">
        <v>2680</v>
      </c>
      <c r="I51" s="2537"/>
      <c r="J51" s="2819"/>
      <c r="K51" s="2503" t="s">
        <v>2688</v>
      </c>
      <c r="L51" s="3545" t="s">
        <v>2689</v>
      </c>
      <c r="M51" s="3545"/>
      <c r="N51" s="2503" t="s">
        <v>2690</v>
      </c>
      <c r="O51" s="2503" t="s">
        <v>2691</v>
      </c>
      <c r="P51" s="2503" t="s">
        <v>2692</v>
      </c>
      <c r="Q51" s="1278"/>
    </row>
    <row r="52" spans="1:17" ht="24" customHeight="1">
      <c r="A52" s="2049" t="s">
        <v>1733</v>
      </c>
      <c r="B52" s="3482" t="s">
        <v>1734</v>
      </c>
      <c r="C52" s="3482"/>
      <c r="D52" s="1070">
        <f ca="1">ROUND(D45*'数据-取费表'!E29/(1+'数据-取费表'!F30),0)</f>
        <v>25</v>
      </c>
      <c r="E52" s="2059" t="s">
        <v>1735</v>
      </c>
      <c r="F52" s="2541">
        <f>'数据-取费表'!E29</f>
        <v>5.6000000000000001E-2</v>
      </c>
      <c r="G52" s="2542"/>
      <c r="H52" s="947"/>
      <c r="I52" s="2944"/>
      <c r="J52" s="2819"/>
      <c r="K52" s="2502">
        <v>1</v>
      </c>
      <c r="L52" s="3512" t="s">
        <v>2693</v>
      </c>
      <c r="M52" s="3512"/>
      <c r="N52" s="2504">
        <f ca="1">D48</f>
        <v>25</v>
      </c>
      <c r="O52" s="2502" t="str">
        <f>E48</f>
        <v>销售额×税（费）率</v>
      </c>
      <c r="P52" s="2505">
        <f>F48</f>
        <v>5.6000000000000001E-2</v>
      </c>
      <c r="Q52" s="1278"/>
    </row>
    <row r="53" spans="1:17" ht="12" customHeight="1">
      <c r="A53" s="2049" t="s">
        <v>1737</v>
      </c>
      <c r="B53" s="3444" t="s">
        <v>2772</v>
      </c>
      <c r="C53" s="3483"/>
      <c r="D53" s="1070">
        <f ca="1">ROUND(D45*'数据-取费表'!E29/(1+'数据-取费表'!F30),0)</f>
        <v>25</v>
      </c>
      <c r="E53" s="2059" t="s">
        <v>1735</v>
      </c>
      <c r="F53" s="2541">
        <f>'数据-取费表'!E29</f>
        <v>5.6000000000000001E-2</v>
      </c>
      <c r="G53" s="2542"/>
      <c r="H53" s="947"/>
      <c r="I53" s="2944"/>
      <c r="J53" s="2819"/>
      <c r="K53" s="2502">
        <v>2</v>
      </c>
      <c r="L53" s="3512" t="s">
        <v>2694</v>
      </c>
      <c r="M53" s="3512"/>
      <c r="N53" s="2504">
        <f t="shared" ref="N53:P54" si="1">D55</f>
        <v>0</v>
      </c>
      <c r="O53" s="2502" t="str">
        <f t="shared" si="1"/>
        <v>销售额×税（费）率</v>
      </c>
      <c r="P53" s="2505" t="str">
        <f t="shared" si="1"/>
        <v>免征</v>
      </c>
      <c r="Q53" s="1278"/>
    </row>
    <row r="54" spans="1:17" ht="12" customHeight="1">
      <c r="A54" s="2049" t="s">
        <v>1739</v>
      </c>
      <c r="B54" s="3444" t="s">
        <v>2773</v>
      </c>
      <c r="C54" s="3483"/>
      <c r="D54" s="1070">
        <f ca="1">C68</f>
        <v>25</v>
      </c>
      <c r="E54" s="264" t="s">
        <v>1740</v>
      </c>
      <c r="F54" s="2541">
        <f>'数据-取费表'!E29</f>
        <v>5.6000000000000001E-2</v>
      </c>
      <c r="G54" s="2542"/>
      <c r="H54" s="2945"/>
      <c r="I54" s="2944"/>
      <c r="J54" s="2819"/>
      <c r="K54" s="2502">
        <v>3</v>
      </c>
      <c r="L54" s="3512" t="s">
        <v>2695</v>
      </c>
      <c r="M54" s="3512"/>
      <c r="N54" s="2504">
        <f t="shared" si="1"/>
        <v>0</v>
      </c>
      <c r="O54" s="2502" t="str">
        <f t="shared" si="1"/>
        <v>增值额×税（费）率</v>
      </c>
      <c r="P54" s="2506" t="str">
        <f t="shared" si="1"/>
        <v>免征</v>
      </c>
      <c r="Q54" s="1278"/>
    </row>
    <row r="55" spans="1:17" ht="24" customHeight="1">
      <c r="A55" s="3442" t="s">
        <v>1742</v>
      </c>
      <c r="B55" s="3443"/>
      <c r="C55" s="3443"/>
      <c r="D55" s="12">
        <f>IF(H55="个人住宅",0,ROUND(D45*I55,0))</f>
        <v>0</v>
      </c>
      <c r="E55" s="2059" t="s">
        <v>1743</v>
      </c>
      <c r="F55" s="2541" t="str">
        <f>IF(H55="正常",I55,"免征")</f>
        <v>免征</v>
      </c>
      <c r="G55" s="2542"/>
      <c r="H55" s="2533" t="s">
        <v>2677</v>
      </c>
      <c r="I55" s="74">
        <f>'数据-取费表'!E37</f>
        <v>5.0000000000000001E-4</v>
      </c>
      <c r="J55" s="2819"/>
      <c r="K55" s="2502" t="str">
        <f>IF(H59="非个人房产","",4)</f>
        <v/>
      </c>
      <c r="L55" s="3512" t="str">
        <f>IF(H59="非个人房产","——","个人所得税")</f>
        <v>——</v>
      </c>
      <c r="M55" s="3512"/>
      <c r="N55" s="2507" t="str">
        <f>D59</f>
        <v>——</v>
      </c>
      <c r="O55" s="2508" t="str">
        <f>E59</f>
        <v>——</v>
      </c>
      <c r="P55" s="2509" t="str">
        <f>F59</f>
        <v>——</v>
      </c>
      <c r="Q55" s="1278"/>
    </row>
    <row r="56" spans="1:17" ht="24.75">
      <c r="A56" s="3442" t="s">
        <v>1745</v>
      </c>
      <c r="B56" s="3443"/>
      <c r="C56" s="3443"/>
      <c r="D56" s="12">
        <f>IF(H56="个人住宅",D57,D58)</f>
        <v>0</v>
      </c>
      <c r="E56" s="2059" t="s">
        <v>1746</v>
      </c>
      <c r="F56" s="2541" t="str">
        <f>IF(H56="正常",F58,"免征")</f>
        <v>免征</v>
      </c>
      <c r="G56" s="2543" t="s">
        <v>1747</v>
      </c>
      <c r="H56" s="2544" t="s">
        <v>2677</v>
      </c>
      <c r="I56" s="2946"/>
      <c r="J56" s="2819"/>
      <c r="K56" s="2502" t="str">
        <f>IF(项目基本情况!I6="上海银行",IF(K55="",4,K55+1),"")</f>
        <v/>
      </c>
      <c r="L56" s="3526" t="str">
        <f>IF(项目基本情况!I6="上海银行","其他处置费用","")</f>
        <v/>
      </c>
      <c r="M56" s="3527"/>
      <c r="N56" s="2504" t="str">
        <f>IF(项目基本情况!I6="上海银行",N69,"")</f>
        <v/>
      </c>
      <c r="O56" s="3526" t="str">
        <f>IF(项目基本情况!I6="上海银行","包含处置中涉及的律师、诉讼、拍卖、评估等费用","")</f>
        <v/>
      </c>
      <c r="P56" s="3538"/>
      <c r="Q56" s="1278"/>
    </row>
    <row r="57" spans="1:17" ht="12.75">
      <c r="A57" s="2049" t="s">
        <v>1722</v>
      </c>
      <c r="B57" s="3444" t="s">
        <v>1748</v>
      </c>
      <c r="C57" s="3483"/>
      <c r="D57" s="2534">
        <v>0</v>
      </c>
      <c r="E57" s="261" t="s">
        <v>1724</v>
      </c>
      <c r="F57" s="235"/>
      <c r="G57" s="2542"/>
      <c r="H57" s="2946"/>
      <c r="I57" s="2946"/>
      <c r="J57" s="2819"/>
      <c r="K57" s="3512">
        <f>IF(AND(K55="",K56=""),4,IF(项目基本情况!I6="上海银行",K56+1,K55+1))</f>
        <v>4</v>
      </c>
      <c r="L57" s="3512" t="s">
        <v>2696</v>
      </c>
      <c r="M57" s="2510" t="s">
        <v>2697</v>
      </c>
      <c r="N57" s="2511"/>
      <c r="O57" s="2512">
        <f ca="1">SUMIF(N52:N56,"&lt;9e307")</f>
        <v>25</v>
      </c>
      <c r="P57" s="2513"/>
      <c r="Q57" s="1276">
        <f ca="1">O57/N49</f>
        <v>5.3879310344827583E-2</v>
      </c>
    </row>
    <row r="58" spans="1:17" ht="24.75">
      <c r="A58" s="2049" t="s">
        <v>1733</v>
      </c>
      <c r="B58" s="3444" t="s">
        <v>1751</v>
      </c>
      <c r="C58" s="3482"/>
      <c r="D58" s="12">
        <f ca="1">IF(H58="转让取得",C81,C97)</f>
        <v>262</v>
      </c>
      <c r="E58" s="2059" t="s">
        <v>1746</v>
      </c>
      <c r="F58" s="235" t="s">
        <v>48</v>
      </c>
      <c r="G58" s="2542"/>
      <c r="H58" s="2544" t="s">
        <v>1752</v>
      </c>
      <c r="I58" s="2946"/>
      <c r="J58" s="2819"/>
      <c r="K58" s="3512"/>
      <c r="L58" s="3512"/>
      <c r="M58" s="2510" t="s">
        <v>2698</v>
      </c>
      <c r="N58" s="2514"/>
      <c r="O58" s="2515" t="str">
        <f ca="1">IF(H19="元",NUMBERSTRING(INT(O57),2)&amp;"元整",NUMBERSTRING(INT(O57*10000),2)&amp;"元整")</f>
        <v>贰拾伍万元整</v>
      </c>
      <c r="P58" s="2516"/>
      <c r="Q58" s="1278"/>
    </row>
    <row r="59" spans="1:17" ht="24.75" thickBot="1">
      <c r="A59" s="3466" t="s">
        <v>1754</v>
      </c>
      <c r="B59" s="3467"/>
      <c r="C59" s="3467"/>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89" t="s">
        <v>2751</v>
      </c>
      <c r="H59" s="2063" t="s">
        <v>2761</v>
      </c>
      <c r="I59" s="2848" t="s">
        <v>2762</v>
      </c>
      <c r="J59" s="2819"/>
      <c r="K59" s="3510">
        <f>K57+1</f>
        <v>5</v>
      </c>
      <c r="L59" s="3512" t="s">
        <v>2699</v>
      </c>
      <c r="M59" s="2502" t="s">
        <v>2697</v>
      </c>
      <c r="N59" s="2517"/>
      <c r="O59" s="2518">
        <f ca="1">N49-O57</f>
        <v>439</v>
      </c>
      <c r="P59" s="2519"/>
      <c r="Q59" s="1278"/>
    </row>
    <row r="60" spans="1:17" ht="12" customHeight="1">
      <c r="A60" s="1424"/>
      <c r="B60" s="1428"/>
      <c r="C60" s="1428"/>
      <c r="D60" s="1428"/>
      <c r="E60" s="812"/>
      <c r="F60" s="2947"/>
      <c r="G60" s="2947"/>
      <c r="H60" s="2948"/>
      <c r="I60" s="31"/>
      <c r="K60" s="3511"/>
      <c r="L60" s="3512"/>
      <c r="M60" s="2510" t="s">
        <v>2698</v>
      </c>
      <c r="N60" s="2514"/>
      <c r="O60" s="2515" t="str">
        <f ca="1">IF(H19="元",NUMBERSTRING(INT(O59),2)&amp;"元整",NUMBERSTRING(INT(O59*10000),2)&amp;"元整")</f>
        <v>肆佰叁拾玖万元整</v>
      </c>
      <c r="P60" s="2516"/>
      <c r="Q60" s="1278"/>
    </row>
    <row r="61" spans="1:17" ht="13.5" thickBot="1">
      <c r="A61" s="3492" t="s">
        <v>1756</v>
      </c>
      <c r="B61" s="3492"/>
      <c r="C61" s="3492"/>
      <c r="D61" s="3492"/>
      <c r="E61" s="3492"/>
      <c r="F61" s="2947"/>
      <c r="G61" s="2947"/>
      <c r="H61" s="2949"/>
      <c r="I61" s="31"/>
      <c r="K61" s="2502">
        <f>K59+1</f>
        <v>6</v>
      </c>
      <c r="L61" s="3512" t="s">
        <v>2700</v>
      </c>
      <c r="M61" s="3512"/>
      <c r="N61" s="2520"/>
      <c r="O61" s="2521">
        <f ca="1">IF(H19="元",ROUND(O59/项目基本情况!C12,0),ROUND(O59*10000/项目基本情况!C12,0))</f>
        <v>23164</v>
      </c>
      <c r="P61" s="2522"/>
      <c r="Q61" s="1278"/>
    </row>
    <row r="62" spans="1:17" ht="12.75">
      <c r="A62" s="3501" t="s">
        <v>1758</v>
      </c>
      <c r="B62" s="3502"/>
      <c r="C62" s="1574"/>
      <c r="D62" s="1574" t="s">
        <v>1759</v>
      </c>
      <c r="E62" s="45" t="s">
        <v>1760</v>
      </c>
      <c r="F62" s="2947"/>
      <c r="G62" s="2947"/>
      <c r="H62" s="2949"/>
      <c r="I62" s="31"/>
      <c r="K62" s="2523"/>
      <c r="L62" s="2523"/>
      <c r="M62" s="2523"/>
      <c r="N62" s="2523"/>
      <c r="O62" s="2523"/>
      <c r="P62" s="2523"/>
      <c r="Q62" s="1278"/>
    </row>
    <row r="63" spans="1:17" ht="12.75">
      <c r="A63" s="46">
        <v>1</v>
      </c>
      <c r="B63" s="47" t="s">
        <v>1761</v>
      </c>
      <c r="C63" s="2751">
        <f ca="1">ROUND((C64+C65)/(1+'数据-取费表'!F30),0)</f>
        <v>442</v>
      </c>
      <c r="D63" s="47"/>
      <c r="E63" s="48"/>
      <c r="F63" s="2947"/>
      <c r="G63" s="2947"/>
      <c r="H63" s="2949"/>
      <c r="I63" s="31"/>
      <c r="K63" s="3528" t="s">
        <v>2701</v>
      </c>
      <c r="L63" s="2524" t="s">
        <v>2702</v>
      </c>
      <c r="M63" s="2524">
        <f ca="1">IF(N49&gt;10000,N49*0.5%,IF(AND(N49&gt;1000,N49&lt;=10000),N49*1%,IF(AND(N49&gt;100,N49&lt;=1000),N49*3%,IF(AND(N49&gt;10,N49&lt;=100),N49*5%,N49*8%))))</f>
        <v>13.92</v>
      </c>
      <c r="N63" s="2525">
        <f ca="1">ROUND(M63,1)</f>
        <v>13.9</v>
      </c>
      <c r="O63" s="2523"/>
      <c r="P63" s="2523"/>
      <c r="Q63" s="1278"/>
    </row>
    <row r="64" spans="1:17" ht="12.75">
      <c r="A64" s="49" t="s">
        <v>71</v>
      </c>
      <c r="B64" s="50" t="s">
        <v>1764</v>
      </c>
      <c r="C64" s="2752">
        <f ca="1">D45</f>
        <v>464</v>
      </c>
      <c r="D64" s="50" t="s">
        <v>41</v>
      </c>
      <c r="E64" s="52"/>
      <c r="F64" s="2947"/>
      <c r="G64" s="2947"/>
      <c r="H64" s="2949"/>
      <c r="I64" s="31"/>
      <c r="K64" s="3528"/>
      <c r="L64" s="2524" t="s">
        <v>2703</v>
      </c>
      <c r="M64" s="2524">
        <f ca="1">IF(N49&gt;2000,N49*0.5%,IF(AND(N49&gt;1000,N49&lt;=2000),N49*0.6%,IF(AND(N49&gt;500,N49&lt;=1000),N49*0.7%,IF(AND(N49&gt;200,N49&lt;=500),N49*0.8%,IF(AND(N49&gt;100,N49&lt;=200),N49*0.9%,IF(AND(N49&gt;50,N49&lt;=100),N49*1%,IF(AND(N49&gt;20,N49&lt;=50),N49*1.5%,IF(AND(N49&gt;10,N49&lt;=20),N49*2%,IF(AND(N49&gt;1,N49&lt;=10),N49*2.5%)))))))))</f>
        <v>3.7120000000000002</v>
      </c>
      <c r="N64" s="2525">
        <f t="shared" ref="N64:N65" ca="1" si="2">ROUND(M64,1)</f>
        <v>3.7</v>
      </c>
      <c r="O64" s="2523" t="s">
        <v>2704</v>
      </c>
      <c r="P64" s="2523"/>
      <c r="Q64" s="1278"/>
    </row>
    <row r="65" spans="1:36" ht="12.75">
      <c r="A65" s="49" t="s">
        <v>72</v>
      </c>
      <c r="B65" s="50" t="s">
        <v>1767</v>
      </c>
      <c r="C65" s="2753"/>
      <c r="D65" s="50"/>
      <c r="E65" s="52"/>
      <c r="F65" s="2947"/>
      <c r="G65" s="2947"/>
      <c r="H65" s="2949"/>
      <c r="I65" s="31"/>
      <c r="K65" s="3528"/>
      <c r="L65" s="2524" t="s">
        <v>2705</v>
      </c>
      <c r="M65" s="2524">
        <f ca="1">IF(N49&gt;1000,N49*0.1%,IF(AND(N49&gt;500,N49&lt;=1000),N49*0.5%,IF(AND(N49&gt;50,N49&lt;=500),N49*1%,IF(AND(N49&gt;1,N49&lt;=50),N49*1.5%))))</f>
        <v>4.6399999999999997</v>
      </c>
      <c r="N65" s="2525">
        <f t="shared" ca="1" si="2"/>
        <v>4.5999999999999996</v>
      </c>
      <c r="O65" s="2523" t="s">
        <v>2704</v>
      </c>
      <c r="P65" s="2523"/>
      <c r="Q65" s="1278"/>
    </row>
    <row r="66" spans="1:36" ht="12.75">
      <c r="A66" s="53" t="s">
        <v>47</v>
      </c>
      <c r="B66" s="54" t="s">
        <v>1769</v>
      </c>
      <c r="C66" s="2754"/>
      <c r="D66" s="54" t="s">
        <v>41</v>
      </c>
      <c r="E66" s="1286" t="s">
        <v>1770</v>
      </c>
      <c r="F66" s="2947"/>
      <c r="G66" s="2947"/>
      <c r="H66" s="2949"/>
      <c r="I66" s="31"/>
      <c r="K66" s="3528"/>
      <c r="L66" s="2524" t="s">
        <v>2706</v>
      </c>
      <c r="M66" s="2524">
        <f ca="1">N49*0.5%</f>
        <v>2.3199999999999998</v>
      </c>
      <c r="N66" s="2525">
        <f ca="1">IF(M66&gt;0.5,0.5,ROUND(M66,0))</f>
        <v>0.5</v>
      </c>
      <c r="O66" s="2523" t="s">
        <v>2707</v>
      </c>
      <c r="P66" s="2523"/>
      <c r="Q66" s="1278"/>
    </row>
    <row r="67" spans="1:36" ht="12.75">
      <c r="A67" s="53" t="s">
        <v>42</v>
      </c>
      <c r="B67" s="54" t="s">
        <v>1773</v>
      </c>
      <c r="C67" s="2755">
        <f ca="1">C63-C66</f>
        <v>442</v>
      </c>
      <c r="D67" s="50" t="s">
        <v>41</v>
      </c>
      <c r="E67" s="52"/>
      <c r="F67" s="2947"/>
      <c r="G67" s="2947"/>
      <c r="H67" s="2949"/>
      <c r="I67" s="31"/>
      <c r="K67" s="3528"/>
      <c r="L67" s="2524" t="s">
        <v>2708</v>
      </c>
      <c r="M67" s="2524">
        <f ca="1">IF(N49&gt;=10000,(8.25+(N49-10000)*0.01%),IF(AND(N49&gt;=8000,N49&lt;10000),(7.85+(N49-8000)*0.02%),IF(AND(N49&gt;=5000,N49&lt;8000),(6.65+(N49-5000)*0.04%),IF(AND(N49&gt;=2000,N49&lt;5000),(4.25+(PN49-2000)*0.08%),IF(AND(N49&gt;=1000,N49&lt;2000),(2.75+(N49-1000)*0.15%),IF(AND(N49&gt;=100,N49&lt;1000),(0.5+(N49-100)*0.25%),IF(AND(N49&gt;0,N49&lt;100),N49*0.5%)))))))</f>
        <v>1.4100000000000001</v>
      </c>
      <c r="N67" s="2525">
        <f ca="1">ROUND(M67*0.9,1)</f>
        <v>1.3</v>
      </c>
      <c r="O67" s="2523"/>
      <c r="P67" s="2523"/>
      <c r="Q67" s="1278"/>
    </row>
    <row r="68" spans="1:36" ht="13.5" thickBot="1">
      <c r="A68" s="55" t="s">
        <v>46</v>
      </c>
      <c r="B68" s="56" t="s">
        <v>1775</v>
      </c>
      <c r="C68" s="2756">
        <f ca="1">IF(C67&lt;=0,0,ROUND(C67*D68,0))</f>
        <v>25</v>
      </c>
      <c r="D68" s="2209">
        <f>'数据-取费表'!E29</f>
        <v>5.6000000000000001E-2</v>
      </c>
      <c r="E68" s="57"/>
      <c r="F68" s="2947"/>
      <c r="G68" s="2947"/>
      <c r="H68" s="2949"/>
      <c r="I68" s="31"/>
      <c r="K68" s="3528"/>
      <c r="L68" s="2524" t="s">
        <v>2709</v>
      </c>
      <c r="M68" s="2524">
        <f ca="1">IF(N49&gt;10000,N49*0.5%,IF(AND(N49&gt;5000,N49&lt;=10000),N49*1%,IF(AND(N49&gt;1000,N49&lt;=5000),N49*2%,IF(AND(N49&gt;200,N49&lt;=1000),N49*3%,N49*5%))))</f>
        <v>13.92</v>
      </c>
      <c r="N68" s="2525">
        <f ca="1">ROUND(M68,1)</f>
        <v>13.9</v>
      </c>
      <c r="O68" s="2523"/>
      <c r="P68" s="2523"/>
      <c r="Q68" s="1278"/>
    </row>
    <row r="69" spans="1:36" s="1432" customFormat="1" ht="7.5" customHeight="1">
      <c r="A69" s="1444"/>
      <c r="B69" s="1445"/>
      <c r="C69" s="1446"/>
      <c r="D69" s="1447"/>
      <c r="E69" s="1448"/>
      <c r="F69" s="812"/>
      <c r="G69" s="812"/>
      <c r="H69" s="1437"/>
      <c r="I69" s="1428"/>
      <c r="J69" s="2807"/>
      <c r="K69" s="3528"/>
      <c r="L69" s="2524" t="s">
        <v>54</v>
      </c>
      <c r="M69" s="2524"/>
      <c r="N69" s="2525">
        <f ca="1">ROUND(SUM(N63:N68),0)</f>
        <v>38</v>
      </c>
      <c r="O69" s="2526">
        <f ca="1">N69/N49</f>
        <v>8.1896551724137928E-2</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504" t="s">
        <v>1778</v>
      </c>
      <c r="B70" s="3505"/>
      <c r="C70" s="3505"/>
      <c r="D70" s="3505"/>
      <c r="E70" s="3505"/>
      <c r="F70" s="3505"/>
      <c r="G70" s="3505"/>
      <c r="H70" s="3505"/>
      <c r="I70" s="1449"/>
      <c r="J70" s="2820"/>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501" t="s">
        <v>1758</v>
      </c>
      <c r="B71" s="3502"/>
      <c r="C71" s="1574"/>
      <c r="D71" s="1574" t="s">
        <v>1759</v>
      </c>
      <c r="E71" s="58" t="s">
        <v>1760</v>
      </c>
      <c r="F71" s="59"/>
      <c r="G71" s="59"/>
      <c r="H71" s="60"/>
      <c r="I71" s="1452"/>
      <c r="J71" s="2821"/>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1779</v>
      </c>
      <c r="C72" s="2755">
        <f ca="1">ROUND(D45/(1+'数据-取费表'!F30),0)</f>
        <v>442</v>
      </c>
      <c r="D72" s="50" t="s">
        <v>41</v>
      </c>
      <c r="E72" s="12" t="s">
        <v>1780</v>
      </c>
      <c r="F72" s="2056"/>
      <c r="G72" s="2056"/>
      <c r="H72" s="62"/>
      <c r="I72" s="1452"/>
      <c r="J72" s="2821"/>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1781</v>
      </c>
      <c r="C73" s="2755">
        <f ca="1">C74+C78</f>
        <v>3</v>
      </c>
      <c r="D73" s="50" t="s">
        <v>41</v>
      </c>
      <c r="E73" s="2055"/>
      <c r="F73" s="2056"/>
      <c r="G73" s="2056"/>
      <c r="H73" s="62"/>
      <c r="I73" s="1452"/>
      <c r="J73" s="2821"/>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1"/>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2"/>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444" t="s">
        <v>1788</v>
      </c>
      <c r="F76" s="3482"/>
      <c r="G76" s="3482"/>
      <c r="H76" s="3496"/>
      <c r="I76" s="1452"/>
      <c r="J76" s="2821"/>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1"/>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3</v>
      </c>
      <c r="D78" s="2764">
        <f>'数据-取费表'!E31</f>
        <v>6.000000000000001E-3</v>
      </c>
      <c r="E78" s="3476" t="s">
        <v>1793</v>
      </c>
      <c r="F78" s="3477"/>
      <c r="G78" s="3477"/>
      <c r="H78" s="3478"/>
      <c r="I78" s="1454"/>
      <c r="J78" s="282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1794</v>
      </c>
      <c r="C79" s="2755">
        <f ca="1">C72-C73</f>
        <v>439</v>
      </c>
      <c r="D79" s="50" t="s">
        <v>41</v>
      </c>
      <c r="E79" s="2055"/>
      <c r="F79" s="2056"/>
      <c r="G79" s="2056"/>
      <c r="H79" s="62"/>
      <c r="I79" s="1452"/>
      <c r="J79" s="2821"/>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5">
        <f ca="1">IF(C79&lt;=0,0,C79/C73)</f>
        <v>146.33333333333334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1"/>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262</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1"/>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504" t="s">
        <v>1797</v>
      </c>
      <c r="B83" s="3505"/>
      <c r="C83" s="3505"/>
      <c r="D83" s="3505"/>
      <c r="E83" s="3505"/>
      <c r="F83" s="3505"/>
      <c r="G83" s="3505"/>
      <c r="H83" s="3505"/>
      <c r="I83" s="9"/>
      <c r="J83" s="282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501" t="s">
        <v>1758</v>
      </c>
      <c r="B84" s="3502"/>
      <c r="C84" s="1574"/>
      <c r="D84" s="1574"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5">
        <f ca="1">ROUND(D45/(1+'数据-取费表'!F30),0)</f>
        <v>442</v>
      </c>
      <c r="D85" s="50" t="s">
        <v>41</v>
      </c>
      <c r="E85" s="2055" t="s">
        <v>1780</v>
      </c>
      <c r="F85" s="2056"/>
      <c r="G85" s="2056"/>
      <c r="H85" s="73"/>
      <c r="I85" s="9"/>
      <c r="J85" s="2822"/>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3</v>
      </c>
      <c r="D86" s="2767"/>
      <c r="E86" s="2055"/>
      <c r="F86" s="2056"/>
      <c r="G86" s="2056"/>
      <c r="H86" s="73"/>
      <c r="I86" s="9"/>
      <c r="J86" s="2822"/>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2"/>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2"/>
      <c r="K88" s="2938" t="s">
        <v>2755</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2"/>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537" t="s">
        <v>2672</v>
      </c>
      <c r="H90" s="3537"/>
      <c r="I90" s="9"/>
      <c r="J90" s="2822"/>
      <c r="K90" s="2938" t="s">
        <v>2756</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476" t="s">
        <v>1805</v>
      </c>
      <c r="F91" s="3477"/>
      <c r="G91" s="3477"/>
      <c r="H91" s="1456" t="s">
        <v>1806</v>
      </c>
      <c r="I91" s="1457"/>
      <c r="J91" s="282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6">
        <v>0.1</v>
      </c>
      <c r="E92" s="3476" t="s">
        <v>1808</v>
      </c>
      <c r="F92" s="3477"/>
      <c r="G92" s="3477"/>
      <c r="H92" s="3478"/>
      <c r="I92" s="9"/>
      <c r="J92" s="2822"/>
      <c r="K92" s="2939" t="s">
        <v>2757</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3</v>
      </c>
      <c r="D93" s="2764">
        <f>'数据-取费表'!E31</f>
        <v>6.000000000000001E-3</v>
      </c>
      <c r="E93" s="3476" t="s">
        <v>1793</v>
      </c>
      <c r="F93" s="3477"/>
      <c r="G93" s="3477"/>
      <c r="H93" s="3478"/>
      <c r="I93" s="9"/>
      <c r="J93" s="2822"/>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476" t="s">
        <v>1810</v>
      </c>
      <c r="F94" s="3477"/>
      <c r="G94" s="3477"/>
      <c r="H94" s="3478"/>
      <c r="I94" s="9"/>
      <c r="J94" s="2822"/>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1794</v>
      </c>
      <c r="C95" s="2755">
        <f ca="1">ROUND(C85-C86,0)</f>
        <v>439</v>
      </c>
      <c r="D95" s="50" t="s">
        <v>41</v>
      </c>
      <c r="E95" s="2055"/>
      <c r="F95" s="2056"/>
      <c r="G95" s="2056"/>
      <c r="H95" s="73"/>
      <c r="I95" s="9"/>
      <c r="J95" s="2822"/>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5">
        <f ca="1">IF(C95&lt;=0,0,C95/C86)</f>
        <v>146.33333333333334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2"/>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262</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75">
      <c r="A99" s="3523" t="s">
        <v>1812</v>
      </c>
      <c r="B99" s="3524"/>
      <c r="C99" s="3524"/>
      <c r="D99" s="3525"/>
      <c r="E99" s="1428"/>
      <c r="F99" s="3532" t="s">
        <v>1813</v>
      </c>
      <c r="G99" s="3533"/>
      <c r="H99" s="3533"/>
      <c r="I99" s="3534"/>
      <c r="J99" s="2825"/>
    </row>
    <row r="100" spans="1:36" ht="15">
      <c r="A100" s="3535" t="s">
        <v>1814</v>
      </c>
      <c r="B100" s="3536"/>
      <c r="C100" s="1277" t="str">
        <f>C4</f>
        <v>比较法-商业</v>
      </c>
      <c r="D100" s="2773" t="str">
        <f>D4</f>
        <v>收益法</v>
      </c>
      <c r="E100" s="1428"/>
      <c r="F100" s="3447" t="s">
        <v>2715</v>
      </c>
      <c r="G100" s="3448"/>
      <c r="H100" s="3447" t="s">
        <v>2716</v>
      </c>
      <c r="I100" s="3446"/>
      <c r="J100" s="2826"/>
    </row>
    <row r="101" spans="1:36" ht="12.75">
      <c r="A101" s="3515" t="s">
        <v>2748</v>
      </c>
      <c r="B101" s="2274" t="str">
        <f>IF(H19="元","总价（元）","总价（万元）")</f>
        <v>总价（万元）</v>
      </c>
      <c r="C101" s="1277">
        <f ca="1">C19</f>
        <v>570</v>
      </c>
      <c r="D101" s="2773">
        <f ca="1">D19</f>
        <v>216</v>
      </c>
      <c r="E101" s="1428"/>
      <c r="F101" s="3447" t="str">
        <f>项目基本情况!I1</f>
        <v>北京市房地产</v>
      </c>
      <c r="G101" s="3448"/>
      <c r="H101" s="3445">
        <f>项目基本情况!C12</f>
        <v>189.52</v>
      </c>
      <c r="I101" s="3446"/>
      <c r="J101" s="2826"/>
    </row>
    <row r="102" spans="1:36" ht="12.75">
      <c r="A102" s="3515"/>
      <c r="B102" s="2274" t="s">
        <v>2749</v>
      </c>
      <c r="C102" s="2774">
        <f ca="1">C20</f>
        <v>30083</v>
      </c>
      <c r="D102" s="2775">
        <f ca="1">D20</f>
        <v>11379</v>
      </c>
      <c r="E102" s="1428"/>
      <c r="F102" s="3457" t="s">
        <v>2745</v>
      </c>
      <c r="G102" s="3458"/>
      <c r="H102" s="2783" t="str">
        <f>C106</f>
        <v>总价（万元）</v>
      </c>
      <c r="I102" s="2784">
        <f ca="1">H121</f>
        <v>464</v>
      </c>
      <c r="J102" s="2826"/>
    </row>
    <row r="103" spans="1:36" ht="12.75">
      <c r="A103" s="3515" t="s">
        <v>2750</v>
      </c>
      <c r="B103" s="2212" t="str">
        <f>B101</f>
        <v>总价（万元）</v>
      </c>
      <c r="C103" s="2778">
        <f ca="1">H121</f>
        <v>464</v>
      </c>
      <c r="D103" s="2776"/>
      <c r="E103" s="1428"/>
      <c r="F103" s="3457"/>
      <c r="G103" s="3458"/>
      <c r="H103" s="2783" t="s">
        <v>2718</v>
      </c>
      <c r="I103" s="52">
        <f ca="1">I121</f>
        <v>24472</v>
      </c>
      <c r="J103" s="2810"/>
    </row>
    <row r="104" spans="1:36" ht="13.5" thickBot="1">
      <c r="A104" s="3516"/>
      <c r="B104" s="2780" t="s">
        <v>2749</v>
      </c>
      <c r="C104" s="2781">
        <f ca="1">I121</f>
        <v>24472</v>
      </c>
      <c r="D104" s="2782"/>
      <c r="E104" s="1428"/>
      <c r="F104" s="3457"/>
      <c r="G104" s="3458"/>
      <c r="H104" s="3517"/>
      <c r="I104" s="3518"/>
      <c r="J104" s="2827"/>
    </row>
    <row r="105" spans="1:36" ht="15">
      <c r="A105" s="3523" t="s">
        <v>1815</v>
      </c>
      <c r="B105" s="3524"/>
      <c r="C105" s="3524"/>
      <c r="D105" s="3525"/>
      <c r="E105" s="1428"/>
      <c r="F105" s="3521" t="s">
        <v>2719</v>
      </c>
      <c r="G105" s="3522"/>
      <c r="H105" s="2785" t="str">
        <f>C108</f>
        <v>总额（万元）</v>
      </c>
      <c r="I105" s="2784">
        <f>SUMIF(I106:I108,"&lt;9E307")</f>
        <v>0</v>
      </c>
      <c r="J105" s="2826"/>
    </row>
    <row r="106" spans="1:36" ht="14.25">
      <c r="A106" s="3457" t="s">
        <v>2742</v>
      </c>
      <c r="B106" s="3458"/>
      <c r="C106" s="2783" t="str">
        <f>B101</f>
        <v>总价（万元）</v>
      </c>
      <c r="D106" s="2784">
        <f ca="1">H121</f>
        <v>464</v>
      </c>
      <c r="E106" s="1428"/>
      <c r="F106" s="3459" t="s">
        <v>2720</v>
      </c>
      <c r="G106" s="3460"/>
      <c r="H106" s="2785" t="str">
        <f>C109</f>
        <v>总额（万元）</v>
      </c>
      <c r="I106" s="2786">
        <f>IF(D36="同一抵押权人同一抵押物续贷",C36&amp;"（续贷，未扣减，详见特别提示）",C36)</f>
        <v>0</v>
      </c>
      <c r="J106" s="2810"/>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57"/>
      <c r="B107" s="3458"/>
      <c r="C107" s="2783" t="s">
        <v>2743</v>
      </c>
      <c r="D107" s="52">
        <f ca="1">I121</f>
        <v>24472</v>
      </c>
      <c r="E107" s="1428"/>
      <c r="F107" s="3459" t="s">
        <v>2721</v>
      </c>
      <c r="G107" s="3460"/>
      <c r="H107" s="2785" t="str">
        <f>C110</f>
        <v>总额（万元）</v>
      </c>
      <c r="I107" s="52">
        <f>C37</f>
        <v>0</v>
      </c>
      <c r="J107" s="2810"/>
    </row>
    <row r="108" spans="1:36" ht="12.75">
      <c r="A108" s="3464" t="s">
        <v>2719</v>
      </c>
      <c r="B108" s="3465"/>
      <c r="C108" s="2785" t="str">
        <f>IF(H19="元","总额（元）","总额（万元）")</f>
        <v>总额（万元）</v>
      </c>
      <c r="D108" s="2784">
        <f>IF(D36="正常操作",I106+I107+I108,I107+I108)</f>
        <v>0</v>
      </c>
      <c r="E108" s="1428"/>
      <c r="F108" s="3459" t="s">
        <v>2746</v>
      </c>
      <c r="G108" s="3460"/>
      <c r="H108" s="2785" t="str">
        <f>C111</f>
        <v>总额（万元）</v>
      </c>
      <c r="I108" s="52">
        <f>C38</f>
        <v>0</v>
      </c>
      <c r="J108" s="2810"/>
    </row>
    <row r="109" spans="1:36" ht="12.75">
      <c r="A109" s="3459" t="s">
        <v>2720</v>
      </c>
      <c r="B109" s="3460"/>
      <c r="C109" s="2785" t="str">
        <f>C108</f>
        <v>总额（万元）</v>
      </c>
      <c r="D109" s="52">
        <f>IF(D36="同一抵押权人同一抵押物续贷",C36&amp;"（未扣减，详见特别提示）",C36)</f>
        <v>0</v>
      </c>
      <c r="E109" s="1428"/>
      <c r="F109" s="3457"/>
      <c r="G109" s="3458"/>
      <c r="H109" s="3519"/>
      <c r="I109" s="3520"/>
      <c r="J109" s="2828"/>
    </row>
    <row r="110" spans="1:36" ht="28.5" customHeight="1">
      <c r="A110" s="3459" t="s">
        <v>2744</v>
      </c>
      <c r="B110" s="3460"/>
      <c r="C110" s="2785" t="str">
        <f>C108</f>
        <v>总额（万元）</v>
      </c>
      <c r="D110" s="52">
        <f>C37</f>
        <v>0</v>
      </c>
      <c r="E110" s="1428"/>
      <c r="F110" s="3449" t="str">
        <f>IF(项目基本情况!F5="已注销","——","3.房地产抵押价值")</f>
        <v>3.房地产抵押价值</v>
      </c>
      <c r="G110" s="3450"/>
      <c r="H110" s="2771" t="str">
        <f>C112</f>
        <v>总价（万元）</v>
      </c>
      <c r="I110" s="2784">
        <f ca="1">IF(F110="——","——",I102-I105)</f>
        <v>464</v>
      </c>
      <c r="J110" s="2826"/>
    </row>
    <row r="111" spans="1:36" ht="12.75">
      <c r="A111" s="3459" t="s">
        <v>2723</v>
      </c>
      <c r="B111" s="3460"/>
      <c r="C111" s="2785" t="str">
        <f>C108</f>
        <v>总额（万元）</v>
      </c>
      <c r="D111" s="52">
        <f>C38</f>
        <v>0</v>
      </c>
      <c r="E111" s="1428"/>
      <c r="F111" s="3548"/>
      <c r="G111" s="3549"/>
      <c r="H111" s="2783" t="s">
        <v>2718</v>
      </c>
      <c r="I111" s="2787">
        <f ca="1">D113</f>
        <v>24472</v>
      </c>
      <c r="J111" s="2829"/>
    </row>
    <row r="112" spans="1:36" ht="26.25" customHeight="1">
      <c r="A112" s="3457" t="str">
        <f>IF(项目基本情况!F5="已注销","——","3.房地产抵押价值")</f>
        <v>3.房地产抵押价值</v>
      </c>
      <c r="B112" s="3458"/>
      <c r="C112" s="2783" t="str">
        <f>B101</f>
        <v>总价（万元）</v>
      </c>
      <c r="D112" s="2784">
        <f ca="1">IF(A112="——","——",D106-D108)</f>
        <v>464</v>
      </c>
      <c r="E112" s="1428"/>
      <c r="F112" s="3449" t="str">
        <f>IF(项目基本情况!F5="已注销及未注销","4.抵押担保权已注销时的房地产抵押价值",IF(项目基本情况!F5="已注销","3.抵押担保权已注销时的房地产抵押价值","——"))</f>
        <v>——</v>
      </c>
      <c r="G112" s="3450"/>
      <c r="H112" s="2771" t="str">
        <f>C114</f>
        <v>总价（万元）</v>
      </c>
      <c r="I112" s="2784" t="str">
        <f>IF(F112="——","——",I102-I107-I108)</f>
        <v>——</v>
      </c>
      <c r="J112" s="2826"/>
    </row>
    <row r="113" spans="1:16" ht="12.75">
      <c r="A113" s="3457"/>
      <c r="B113" s="3458"/>
      <c r="C113" s="2783" t="s">
        <v>2711</v>
      </c>
      <c r="D113" s="52">
        <f ca="1">ROUND(IF(D112=D106,D107,IF(H19="元",D112/项目基本情况!C12,D112*10000/项目基本情况!C12)),0)</f>
        <v>24472</v>
      </c>
      <c r="E113" s="1428"/>
      <c r="F113" s="3548"/>
      <c r="G113" s="3549"/>
      <c r="H113" s="2783" t="s">
        <v>2747</v>
      </c>
      <c r="I113" s="52" t="str">
        <f>D115</f>
        <v>——</v>
      </c>
      <c r="J113" s="2810"/>
    </row>
    <row r="114" spans="1:16" ht="12.75">
      <c r="A114" s="3457" t="str">
        <f>IF(项目基本情况!F5="已注销及未注销","4.抵押担保权已注销时的房地产抵押价值",IF(项目基本情况!F5="已注销","3.抵押担保权已注销时的房地产抵押价值","——"))</f>
        <v>——</v>
      </c>
      <c r="B114" s="3458"/>
      <c r="C114" s="2783" t="str">
        <f>B101</f>
        <v>总价（万元）</v>
      </c>
      <c r="D114" s="2784" t="str">
        <f>IF(A114="——","——",D106-D110-D111)</f>
        <v>——</v>
      </c>
      <c r="E114" s="1428"/>
      <c r="F114" s="3449" t="str">
        <f>IF(项目基本情况!G5="抵押净值",IF(OR(项目基本情况!F5="已注销",项目基本情况!F5="房地产抵押价值"),"4.抵押净值","5.抵押净值"),"——")</f>
        <v>——</v>
      </c>
      <c r="G114" s="3450"/>
      <c r="H114" s="2783" t="str">
        <f>C116</f>
        <v>总价（万元）</v>
      </c>
      <c r="I114" s="2784" t="str">
        <f>IF(F114="——","——",O59)</f>
        <v>——</v>
      </c>
      <c r="J114" s="2826"/>
    </row>
    <row r="115" spans="1:16" ht="13.5" thickBot="1">
      <c r="A115" s="3457"/>
      <c r="B115" s="3458"/>
      <c r="C115" s="2783" t="s">
        <v>2711</v>
      </c>
      <c r="D115" s="52" t="str">
        <f>IF(A114="——","——",ROUND(IF(D114=D106,D107,IF(H19="元",D114/项目基本情况!C12,D114*10000/项目基本情况!C12)),0))</f>
        <v>——</v>
      </c>
      <c r="E115" s="1428"/>
      <c r="F115" s="3451"/>
      <c r="G115" s="3452"/>
      <c r="H115" s="2788" t="s">
        <v>2711</v>
      </c>
      <c r="I115" s="2772" t="str">
        <f ca="1">D117</f>
        <v>——</v>
      </c>
      <c r="J115" s="2810"/>
    </row>
    <row r="116" spans="1:16" ht="15.75">
      <c r="A116" s="3457" t="str">
        <f>IF(项目基本情况!G5="抵押净值",IF(OR(项目基本情况!F5="已注销",项目基本情况!F5="房地产抵押价值"),"4.抵押净值","5.抵押净值"),"——")</f>
        <v>——</v>
      </c>
      <c r="B116" s="3458"/>
      <c r="C116" s="2783" t="str">
        <f>B101</f>
        <v>总价（万元）</v>
      </c>
      <c r="D116" s="2784" t="str">
        <f>IF(A116="——","——",O59)</f>
        <v>——</v>
      </c>
      <c r="E116" s="1428"/>
      <c r="F116" s="3543"/>
      <c r="G116" s="3543"/>
      <c r="H116" s="3507"/>
      <c r="I116" s="3507"/>
      <c r="J116" s="2830"/>
      <c r="O116" s="32"/>
      <c r="P116" s="32"/>
    </row>
    <row r="117" spans="1:16" ht="13.5" thickBot="1">
      <c r="A117" s="3462"/>
      <c r="B117" s="3463"/>
      <c r="C117" s="2788" t="s">
        <v>2711</v>
      </c>
      <c r="D117" s="2772" t="str">
        <f ca="1">IF(D116=D112,D113,IF(A116="——","——",O61))</f>
        <v>——</v>
      </c>
      <c r="E117" s="1428"/>
      <c r="F117" s="3441" t="str">
        <f>IF(B32="总价","（以上估价结果中单价为总价除以建筑面积得出）","（以上估价结果中总价为楼面单价乘以建筑面积得出）")</f>
        <v>（以上估价结果中总价为楼面单价乘以建筑面积得出）</v>
      </c>
      <c r="G117" s="3441"/>
      <c r="H117" s="3441"/>
      <c r="I117" s="3441"/>
      <c r="J117" s="2831"/>
      <c r="O117" s="32"/>
      <c r="P117" s="32"/>
    </row>
    <row r="118" spans="1:16" ht="15">
      <c r="A118" s="3508" t="s">
        <v>1816</v>
      </c>
      <c r="B118" s="3509"/>
      <c r="C118" s="3509"/>
      <c r="D118" s="3509"/>
      <c r="E118" s="3509"/>
      <c r="F118" s="3509"/>
      <c r="G118" s="3509"/>
      <c r="H118" s="3509"/>
      <c r="I118" s="3509"/>
      <c r="J118" s="2832"/>
    </row>
    <row r="119" spans="1:16" ht="12.75">
      <c r="A119" s="3442" t="s">
        <v>2729</v>
      </c>
      <c r="B119" s="3468" t="s">
        <v>2739</v>
      </c>
      <c r="C119" s="3468" t="s">
        <v>2740</v>
      </c>
      <c r="D119" s="3530" t="s">
        <v>2731</v>
      </c>
      <c r="E119" s="3531"/>
      <c r="F119" s="3443" t="s">
        <v>2741</v>
      </c>
      <c r="G119" s="3443"/>
      <c r="H119" s="3443" t="s">
        <v>2732</v>
      </c>
      <c r="I119" s="3529"/>
      <c r="J119" s="2810"/>
    </row>
    <row r="120" spans="1:16" ht="12.75">
      <c r="A120" s="3442"/>
      <c r="B120" s="3469"/>
      <c r="C120" s="3469"/>
      <c r="D120" s="2059" t="s">
        <v>2733</v>
      </c>
      <c r="E120" s="2059" t="s">
        <v>2738</v>
      </c>
      <c r="F120" s="2059" t="s">
        <v>2733</v>
      </c>
      <c r="G120" s="2059" t="s">
        <v>2734</v>
      </c>
      <c r="H120" s="2059" t="s">
        <v>2733</v>
      </c>
      <c r="I120" s="52" t="s">
        <v>2734</v>
      </c>
      <c r="J120" s="2810"/>
    </row>
    <row r="121" spans="1:16" ht="12.75">
      <c r="A121" s="2049" t="str">
        <f>项目基本情况!I1</f>
        <v>北京市房地产</v>
      </c>
      <c r="B121" s="2059">
        <f>项目基本情况!C12</f>
        <v>189.52</v>
      </c>
      <c r="C121" s="2059">
        <f>项目基本情况!C13</f>
        <v>0</v>
      </c>
      <c r="D121" s="2059">
        <f ca="1">ROUND(IF(B32="总价",C34,IF('数据-取费表'!B3="万元",E121*B121/10000,E121*B121)),0)</f>
        <v>302</v>
      </c>
      <c r="E121" s="2059">
        <f ca="1">ROUND(IF(B32="楼面单价",C34,IF(H19="元",D121/B121,D121*10000/B121)),0)</f>
        <v>15931</v>
      </c>
      <c r="F121" s="2059">
        <f ca="1">ROUND(IF(B32="总价",C35,IF('数据-取费表'!B3="万元",G121*B121/10000,G121*B121)),0)</f>
        <v>162</v>
      </c>
      <c r="G121" s="2059">
        <f ca="1">ROUND(IF(B32="楼面单价",C35,IF(H19="元",F121/B121,F121*10000/B121)),0)</f>
        <v>8541</v>
      </c>
      <c r="H121" s="2059">
        <f ca="1">ROUND(IF(B32="总价",C32,IF('数据-取费表'!B3="万元",I121*B121/10000,I121*B121)),0)</f>
        <v>464</v>
      </c>
      <c r="I121" s="52">
        <f ca="1">ROUND(IF(B32="楼面单价",C32,IF(H19="元",H121/B121,H121*10000/B121)),0)</f>
        <v>24472</v>
      </c>
      <c r="J121" s="2810"/>
    </row>
    <row r="122" spans="1:16" ht="12.75">
      <c r="A122" s="3442" t="s">
        <v>2735</v>
      </c>
      <c r="B122" s="3443"/>
      <c r="C122" s="3443"/>
      <c r="D122" s="3470" t="str">
        <f ca="1">IF(H19="元",NUMBERSTRING(INT(D121),2)&amp;"元整",NUMBERSTRING(INT(D121*10000),2)&amp;"元整")</f>
        <v>叁佰零贰万元整</v>
      </c>
      <c r="E122" s="3513"/>
      <c r="F122" s="3470" t="str">
        <f ca="1">IF(H19="元",NUMBERSTRING(INT(F121),2)&amp;"元整",NUMBERSTRING(INT(F121*10000),2)&amp;"元整")</f>
        <v>壹佰陆拾贰万元整</v>
      </c>
      <c r="G122" s="3513"/>
      <c r="H122" s="3470" t="str">
        <f ca="1">IF(H19="元",NUMBERSTRING(INT(H121),2)&amp;"元整",NUMBERSTRING(INT(H121*10000),2)&amp;"元整")</f>
        <v>肆佰陆拾肆万元整</v>
      </c>
      <c r="I122" s="3471"/>
      <c r="J122" s="2833"/>
    </row>
    <row r="123" spans="1:16" ht="12.75">
      <c r="A123" s="3447" t="str">
        <f>IF(项目基本情况!D5="房地产市场价值","——",MID(A108,3,LEN(A108)-2))</f>
        <v>估价师所知悉的法定优先受偿款</v>
      </c>
      <c r="B123" s="3453"/>
      <c r="C123" s="3448"/>
      <c r="D123" s="3445">
        <f>I105</f>
        <v>0</v>
      </c>
      <c r="E123" s="3453"/>
      <c r="F123" s="3453"/>
      <c r="G123" s="3453"/>
      <c r="H123" s="3453"/>
      <c r="I123" s="3446"/>
      <c r="J123" s="2826"/>
    </row>
    <row r="124" spans="1:16" ht="12.75">
      <c r="A124" s="3514" t="s">
        <v>2735</v>
      </c>
      <c r="B124" s="3482"/>
      <c r="C124" s="3483"/>
      <c r="D124" s="3454">
        <f>H109</f>
        <v>0</v>
      </c>
      <c r="E124" s="3455"/>
      <c r="F124" s="3455"/>
      <c r="G124" s="3455"/>
      <c r="H124" s="3455"/>
      <c r="I124" s="3456"/>
      <c r="J124" s="2834"/>
    </row>
    <row r="125" spans="1:16" ht="12.75">
      <c r="A125" s="3457" t="str">
        <f>IF(项目基本情况!D5="房地产市场价值","——",MID(A112,3,LEN(A112)-2))</f>
        <v>房地产抵押价值</v>
      </c>
      <c r="B125" s="3458"/>
      <c r="C125" s="3458"/>
      <c r="D125" s="3445">
        <f ca="1">I110</f>
        <v>464</v>
      </c>
      <c r="E125" s="3453"/>
      <c r="F125" s="3453"/>
      <c r="G125" s="3453"/>
      <c r="H125" s="3453"/>
      <c r="I125" s="3446"/>
      <c r="J125" s="2826"/>
    </row>
    <row r="126" spans="1:16" ht="12.75">
      <c r="A126" s="3442" t="s">
        <v>2735</v>
      </c>
      <c r="B126" s="3443"/>
      <c r="C126" s="3443"/>
      <c r="D126" s="3454">
        <f ca="1">I111</f>
        <v>24472</v>
      </c>
      <c r="E126" s="3455"/>
      <c r="F126" s="3455"/>
      <c r="G126" s="3455"/>
      <c r="H126" s="3455"/>
      <c r="I126" s="3456"/>
      <c r="J126" s="2834"/>
    </row>
    <row r="127" spans="1:16" ht="13.5" thickBot="1">
      <c r="A127" s="3457" t="str">
        <f>IF(项目基本情况!D5="房地产市场价值","——",MID(A114,3,LEN(A114)-2))</f>
        <v/>
      </c>
      <c r="B127" s="3458"/>
      <c r="C127" s="3458"/>
      <c r="D127" s="3490" t="str">
        <f>I112</f>
        <v>——</v>
      </c>
      <c r="E127" s="3491"/>
      <c r="F127" s="3491"/>
      <c r="G127" s="3491"/>
      <c r="H127" s="3491"/>
      <c r="I127" s="3542"/>
      <c r="J127" s="2826"/>
    </row>
    <row r="128" spans="1:16" ht="14.25" thickTop="1" thickBot="1">
      <c r="A128" s="3442" t="s">
        <v>2735</v>
      </c>
      <c r="B128" s="3443"/>
      <c r="C128" s="3444"/>
      <c r="D128" s="3506" t="str">
        <f>I113</f>
        <v>——</v>
      </c>
      <c r="E128" s="3506"/>
      <c r="F128" s="3506"/>
      <c r="G128" s="3506"/>
      <c r="H128" s="3506"/>
      <c r="I128" s="3506"/>
      <c r="J128" s="2834"/>
    </row>
    <row r="129" spans="1:10" ht="14.25" thickTop="1" thickBot="1">
      <c r="A129" s="3457" t="str">
        <f>IF(项目基本情况!D5="房地产市场价值","——",MID(F114,3,LEN(F114)-2))</f>
        <v/>
      </c>
      <c r="B129" s="3458"/>
      <c r="C129" s="3445"/>
      <c r="D129" s="3461" t="str">
        <f>I114</f>
        <v>——</v>
      </c>
      <c r="E129" s="3461"/>
      <c r="F129" s="3461"/>
      <c r="G129" s="3461"/>
      <c r="H129" s="3461"/>
      <c r="I129" s="3461"/>
      <c r="J129" s="2826"/>
    </row>
    <row r="130" spans="1:10" ht="14.25" thickTop="1" thickBot="1">
      <c r="A130" s="3466" t="s">
        <v>2735</v>
      </c>
      <c r="B130" s="3467"/>
      <c r="C130" s="3467"/>
      <c r="D130" s="3472">
        <f>H116</f>
        <v>0</v>
      </c>
      <c r="E130" s="3473"/>
      <c r="F130" s="3473"/>
      <c r="G130" s="3473"/>
      <c r="H130" s="3473"/>
      <c r="I130" s="3474"/>
      <c r="J130" s="2834"/>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5"/>
    </row>
    <row r="132" spans="1:10" ht="13.5" thickBot="1">
      <c r="A132" s="3440" t="str">
        <f>IF(B32="总价","（以上估价结果中楼面单价为总价除以建筑面积得出）","（以上估价结果中总价为楼面单价乘以建筑面积得出）")</f>
        <v>（以上估价结果中总价为楼面单价乘以建筑面积得出）</v>
      </c>
      <c r="B132" s="3440"/>
      <c r="C132" s="3440"/>
      <c r="D132" s="3440"/>
      <c r="E132" s="3440"/>
      <c r="F132" s="3440"/>
      <c r="G132" s="3440"/>
      <c r="H132" s="3440"/>
      <c r="I132" s="3440"/>
      <c r="J132" s="2828"/>
    </row>
    <row r="133" spans="1:10" ht="21.75" customHeight="1">
      <c r="A133" s="1458" t="s">
        <v>1817</v>
      </c>
      <c r="B133" s="1459"/>
      <c r="C133" s="1460" t="s">
        <v>1818</v>
      </c>
      <c r="D133" s="1461"/>
      <c r="E133" s="1461"/>
      <c r="F133" s="1461"/>
      <c r="G133" s="1461"/>
      <c r="H133" s="1462"/>
      <c r="I133" s="1463"/>
      <c r="J133" s="2836"/>
    </row>
    <row r="134" spans="1:10" ht="21.75" customHeight="1">
      <c r="A134" s="1464">
        <v>1</v>
      </c>
      <c r="B134" s="1465"/>
      <c r="C134" s="1465"/>
      <c r="D134" s="1461"/>
      <c r="E134" s="1461"/>
      <c r="F134" s="1461"/>
      <c r="G134" s="1461"/>
      <c r="H134" s="1462"/>
      <c r="I134" s="1463"/>
      <c r="J134" s="2836"/>
    </row>
    <row r="135" spans="1:10" ht="21.75" customHeight="1">
      <c r="A135" s="1464">
        <v>2</v>
      </c>
      <c r="B135" s="1465"/>
      <c r="C135" s="1465"/>
      <c r="D135" s="1461"/>
      <c r="E135" s="1461"/>
      <c r="F135" s="1461"/>
      <c r="G135" s="1461"/>
      <c r="H135" s="1462"/>
      <c r="I135" s="1463"/>
      <c r="J135" s="2836"/>
    </row>
    <row r="136" spans="1:10" ht="21.75" customHeight="1">
      <c r="A136" s="1464">
        <v>3</v>
      </c>
      <c r="B136" s="1465"/>
      <c r="C136" s="1465"/>
      <c r="D136" s="1461"/>
      <c r="E136" s="1461"/>
      <c r="F136" s="32"/>
      <c r="G136" s="32"/>
      <c r="H136" s="32"/>
      <c r="I136" s="32"/>
      <c r="J136" s="2837"/>
    </row>
    <row r="137" spans="1:10" ht="21.75" customHeight="1">
      <c r="A137" s="1466"/>
      <c r="B137" s="1467"/>
      <c r="C137" s="1467"/>
      <c r="D137" s="1468"/>
      <c r="E137" s="1468"/>
      <c r="F137" s="1468"/>
      <c r="G137" s="1468"/>
      <c r="H137" s="1469"/>
      <c r="I137" s="1470"/>
      <c r="J137" s="2836"/>
    </row>
    <row r="138" spans="1:10" ht="21.75" customHeight="1">
      <c r="A138" s="1465"/>
      <c r="B138" s="1465"/>
      <c r="C138" s="1465"/>
      <c r="D138" s="1461"/>
      <c r="E138" s="1461"/>
      <c r="F138" s="1461"/>
      <c r="G138" s="1461"/>
      <c r="H138" s="1462"/>
      <c r="I138" s="659"/>
      <c r="J138" s="2837"/>
    </row>
    <row r="139" spans="1:10" ht="21.75" customHeight="1">
      <c r="A139" s="659"/>
      <c r="B139" s="659"/>
      <c r="C139" s="659"/>
      <c r="D139" s="659"/>
      <c r="E139" s="659"/>
      <c r="F139" s="1471" t="s">
        <v>1819</v>
      </c>
      <c r="G139" s="1472"/>
      <c r="H139" s="1472"/>
      <c r="I139" s="1473" t="s">
        <v>1820</v>
      </c>
      <c r="J139" s="2838"/>
    </row>
    <row r="140" spans="1:10" ht="21.75" customHeight="1">
      <c r="A140" s="659"/>
      <c r="B140" s="1474" t="s">
        <v>1821</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2"/>
      <c r="C142" s="1472"/>
      <c r="D142" s="1472"/>
      <c r="E142" s="1472"/>
      <c r="F142" s="1472"/>
      <c r="G142" s="1472"/>
      <c r="H142" s="1472"/>
      <c r="I142" s="1473" t="s">
        <v>1822</v>
      </c>
      <c r="J142" s="2838"/>
    </row>
    <row r="143" spans="1:10" ht="21.75" customHeight="1">
      <c r="A143" s="659"/>
      <c r="B143" s="1474" t="s">
        <v>1823</v>
      </c>
      <c r="C143" s="659"/>
      <c r="D143" s="659"/>
      <c r="E143" s="659"/>
      <c r="F143" s="659"/>
      <c r="G143" s="659"/>
      <c r="H143" s="659"/>
      <c r="I143" s="659"/>
      <c r="J143" s="2837"/>
    </row>
    <row r="144" spans="1:10" ht="21.75" customHeight="1">
      <c r="A144" s="659"/>
      <c r="B144" s="1474"/>
      <c r="C144" s="659"/>
      <c r="D144" s="659"/>
      <c r="E144" s="659"/>
      <c r="F144" s="659"/>
      <c r="G144" s="659"/>
      <c r="H144" s="659"/>
      <c r="I144" s="659"/>
      <c r="J144" s="2837"/>
    </row>
    <row r="145" spans="1:36" ht="21.75" customHeight="1">
      <c r="A145" s="659"/>
      <c r="B145" s="1472"/>
      <c r="C145" s="1472"/>
      <c r="D145" s="1472"/>
      <c r="E145" s="1472"/>
      <c r="F145" s="1472"/>
      <c r="G145" s="1472"/>
      <c r="H145" s="1472"/>
      <c r="I145" s="1473" t="s">
        <v>1822</v>
      </c>
      <c r="J145" s="2838"/>
    </row>
    <row r="146" spans="1:36" ht="21.75" customHeight="1">
      <c r="A146" s="659"/>
      <c r="B146" s="1474"/>
      <c r="C146" s="1475"/>
      <c r="D146" s="1476"/>
      <c r="E146" s="1476"/>
      <c r="F146" s="1477"/>
      <c r="G146" s="659"/>
      <c r="H146" s="659"/>
      <c r="I146" s="659"/>
      <c r="J146" s="2837"/>
    </row>
    <row r="147" spans="1:36" s="32" customFormat="1" ht="21.75" customHeight="1">
      <c r="A147" s="659"/>
      <c r="B147" s="1474"/>
      <c r="C147" s="1475"/>
      <c r="D147" s="1476"/>
      <c r="E147" s="1476"/>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34"/>
    <col min="2" max="3" width="13.625" style="3334" customWidth="1"/>
    <col min="4" max="4" width="11" style="3334" customWidth="1"/>
    <col min="5" max="5" width="13.625" style="3334" customWidth="1"/>
    <col min="6" max="6" width="19.5" style="3334" customWidth="1"/>
    <col min="7" max="7" width="15.5" style="3334" customWidth="1"/>
    <col min="8" max="8" width="17.125" style="3334" customWidth="1"/>
    <col min="9" max="9" width="13.625" style="3334" customWidth="1"/>
    <col min="10" max="10" width="19" style="3334" customWidth="1"/>
    <col min="11" max="11" width="9.5" style="3334" bestFit="1" customWidth="1"/>
    <col min="12" max="257" width="9" style="3334"/>
    <col min="258" max="259" width="13.625" style="3334" customWidth="1"/>
    <col min="260" max="260" width="11" style="3334" customWidth="1"/>
    <col min="261" max="261" width="13.625" style="3334" customWidth="1"/>
    <col min="262" max="262" width="19.5" style="3334" customWidth="1"/>
    <col min="263" max="263" width="15.5" style="3334" customWidth="1"/>
    <col min="264" max="264" width="17.125" style="3334" customWidth="1"/>
    <col min="265" max="265" width="13.625" style="3334" customWidth="1"/>
    <col min="266" max="266" width="19" style="3334" customWidth="1"/>
    <col min="267" max="267" width="9.5" style="3334" bestFit="1" customWidth="1"/>
    <col min="268" max="513" width="9" style="3334"/>
    <col min="514" max="515" width="13.625" style="3334" customWidth="1"/>
    <col min="516" max="516" width="11" style="3334" customWidth="1"/>
    <col min="517" max="517" width="13.625" style="3334" customWidth="1"/>
    <col min="518" max="518" width="19.5" style="3334" customWidth="1"/>
    <col min="519" max="519" width="15.5" style="3334" customWidth="1"/>
    <col min="520" max="520" width="17.125" style="3334" customWidth="1"/>
    <col min="521" max="521" width="13.625" style="3334" customWidth="1"/>
    <col min="522" max="522" width="19" style="3334" customWidth="1"/>
    <col min="523" max="523" width="9.5" style="3334" bestFit="1" customWidth="1"/>
    <col min="524" max="769" width="9" style="3334"/>
    <col min="770" max="771" width="13.625" style="3334" customWidth="1"/>
    <col min="772" max="772" width="11" style="3334" customWidth="1"/>
    <col min="773" max="773" width="13.625" style="3334" customWidth="1"/>
    <col min="774" max="774" width="19.5" style="3334" customWidth="1"/>
    <col min="775" max="775" width="15.5" style="3334" customWidth="1"/>
    <col min="776" max="776" width="17.125" style="3334" customWidth="1"/>
    <col min="777" max="777" width="13.625" style="3334" customWidth="1"/>
    <col min="778" max="778" width="19" style="3334" customWidth="1"/>
    <col min="779" max="779" width="9.5" style="3334" bestFit="1" customWidth="1"/>
    <col min="780" max="1025" width="9" style="3334"/>
    <col min="1026" max="1027" width="13.625" style="3334" customWidth="1"/>
    <col min="1028" max="1028" width="11" style="3334" customWidth="1"/>
    <col min="1029" max="1029" width="13.625" style="3334" customWidth="1"/>
    <col min="1030" max="1030" width="19.5" style="3334" customWidth="1"/>
    <col min="1031" max="1031" width="15.5" style="3334" customWidth="1"/>
    <col min="1032" max="1032" width="17.125" style="3334" customWidth="1"/>
    <col min="1033" max="1033" width="13.625" style="3334" customWidth="1"/>
    <col min="1034" max="1034" width="19" style="3334" customWidth="1"/>
    <col min="1035" max="1035" width="9.5" style="3334" bestFit="1" customWidth="1"/>
    <col min="1036" max="1281" width="9" style="3334"/>
    <col min="1282" max="1283" width="13.625" style="3334" customWidth="1"/>
    <col min="1284" max="1284" width="11" style="3334" customWidth="1"/>
    <col min="1285" max="1285" width="13.625" style="3334" customWidth="1"/>
    <col min="1286" max="1286" width="19.5" style="3334" customWidth="1"/>
    <col min="1287" max="1287" width="15.5" style="3334" customWidth="1"/>
    <col min="1288" max="1288" width="17.125" style="3334" customWidth="1"/>
    <col min="1289" max="1289" width="13.625" style="3334" customWidth="1"/>
    <col min="1290" max="1290" width="19" style="3334" customWidth="1"/>
    <col min="1291" max="1291" width="9.5" style="3334" bestFit="1" customWidth="1"/>
    <col min="1292" max="1537" width="9" style="3334"/>
    <col min="1538" max="1539" width="13.625" style="3334" customWidth="1"/>
    <col min="1540" max="1540" width="11" style="3334" customWidth="1"/>
    <col min="1541" max="1541" width="13.625" style="3334" customWidth="1"/>
    <col min="1542" max="1542" width="19.5" style="3334" customWidth="1"/>
    <col min="1543" max="1543" width="15.5" style="3334" customWidth="1"/>
    <col min="1544" max="1544" width="17.125" style="3334" customWidth="1"/>
    <col min="1545" max="1545" width="13.625" style="3334" customWidth="1"/>
    <col min="1546" max="1546" width="19" style="3334" customWidth="1"/>
    <col min="1547" max="1547" width="9.5" style="3334" bestFit="1" customWidth="1"/>
    <col min="1548" max="1793" width="9" style="3334"/>
    <col min="1794" max="1795" width="13.625" style="3334" customWidth="1"/>
    <col min="1796" max="1796" width="11" style="3334" customWidth="1"/>
    <col min="1797" max="1797" width="13.625" style="3334" customWidth="1"/>
    <col min="1798" max="1798" width="19.5" style="3334" customWidth="1"/>
    <col min="1799" max="1799" width="15.5" style="3334" customWidth="1"/>
    <col min="1800" max="1800" width="17.125" style="3334" customWidth="1"/>
    <col min="1801" max="1801" width="13.625" style="3334" customWidth="1"/>
    <col min="1802" max="1802" width="19" style="3334" customWidth="1"/>
    <col min="1803" max="1803" width="9.5" style="3334" bestFit="1" customWidth="1"/>
    <col min="1804" max="2049" width="9" style="3334"/>
    <col min="2050" max="2051" width="13.625" style="3334" customWidth="1"/>
    <col min="2052" max="2052" width="11" style="3334" customWidth="1"/>
    <col min="2053" max="2053" width="13.625" style="3334" customWidth="1"/>
    <col min="2054" max="2054" width="19.5" style="3334" customWidth="1"/>
    <col min="2055" max="2055" width="15.5" style="3334" customWidth="1"/>
    <col min="2056" max="2056" width="17.125" style="3334" customWidth="1"/>
    <col min="2057" max="2057" width="13.625" style="3334" customWidth="1"/>
    <col min="2058" max="2058" width="19" style="3334" customWidth="1"/>
    <col min="2059" max="2059" width="9.5" style="3334" bestFit="1" customWidth="1"/>
    <col min="2060" max="2305" width="9" style="3334"/>
    <col min="2306" max="2307" width="13.625" style="3334" customWidth="1"/>
    <col min="2308" max="2308" width="11" style="3334" customWidth="1"/>
    <col min="2309" max="2309" width="13.625" style="3334" customWidth="1"/>
    <col min="2310" max="2310" width="19.5" style="3334" customWidth="1"/>
    <col min="2311" max="2311" width="15.5" style="3334" customWidth="1"/>
    <col min="2312" max="2312" width="17.125" style="3334" customWidth="1"/>
    <col min="2313" max="2313" width="13.625" style="3334" customWidth="1"/>
    <col min="2314" max="2314" width="19" style="3334" customWidth="1"/>
    <col min="2315" max="2315" width="9.5" style="3334" bestFit="1" customWidth="1"/>
    <col min="2316" max="2561" width="9" style="3334"/>
    <col min="2562" max="2563" width="13.625" style="3334" customWidth="1"/>
    <col min="2564" max="2564" width="11" style="3334" customWidth="1"/>
    <col min="2565" max="2565" width="13.625" style="3334" customWidth="1"/>
    <col min="2566" max="2566" width="19.5" style="3334" customWidth="1"/>
    <col min="2567" max="2567" width="15.5" style="3334" customWidth="1"/>
    <col min="2568" max="2568" width="17.125" style="3334" customWidth="1"/>
    <col min="2569" max="2569" width="13.625" style="3334" customWidth="1"/>
    <col min="2570" max="2570" width="19" style="3334" customWidth="1"/>
    <col min="2571" max="2571" width="9.5" style="3334" bestFit="1" customWidth="1"/>
    <col min="2572" max="2817" width="9" style="3334"/>
    <col min="2818" max="2819" width="13.625" style="3334" customWidth="1"/>
    <col min="2820" max="2820" width="11" style="3334" customWidth="1"/>
    <col min="2821" max="2821" width="13.625" style="3334" customWidth="1"/>
    <col min="2822" max="2822" width="19.5" style="3334" customWidth="1"/>
    <col min="2823" max="2823" width="15.5" style="3334" customWidth="1"/>
    <col min="2824" max="2824" width="17.125" style="3334" customWidth="1"/>
    <col min="2825" max="2825" width="13.625" style="3334" customWidth="1"/>
    <col min="2826" max="2826" width="19" style="3334" customWidth="1"/>
    <col min="2827" max="2827" width="9.5" style="3334" bestFit="1" customWidth="1"/>
    <col min="2828" max="3073" width="9" style="3334"/>
    <col min="3074" max="3075" width="13.625" style="3334" customWidth="1"/>
    <col min="3076" max="3076" width="11" style="3334" customWidth="1"/>
    <col min="3077" max="3077" width="13.625" style="3334" customWidth="1"/>
    <col min="3078" max="3078" width="19.5" style="3334" customWidth="1"/>
    <col min="3079" max="3079" width="15.5" style="3334" customWidth="1"/>
    <col min="3080" max="3080" width="17.125" style="3334" customWidth="1"/>
    <col min="3081" max="3081" width="13.625" style="3334" customWidth="1"/>
    <col min="3082" max="3082" width="19" style="3334" customWidth="1"/>
    <col min="3083" max="3083" width="9.5" style="3334" bestFit="1" customWidth="1"/>
    <col min="3084" max="3329" width="9" style="3334"/>
    <col min="3330" max="3331" width="13.625" style="3334" customWidth="1"/>
    <col min="3332" max="3332" width="11" style="3334" customWidth="1"/>
    <col min="3333" max="3333" width="13.625" style="3334" customWidth="1"/>
    <col min="3334" max="3334" width="19.5" style="3334" customWidth="1"/>
    <col min="3335" max="3335" width="15.5" style="3334" customWidth="1"/>
    <col min="3336" max="3336" width="17.125" style="3334" customWidth="1"/>
    <col min="3337" max="3337" width="13.625" style="3334" customWidth="1"/>
    <col min="3338" max="3338" width="19" style="3334" customWidth="1"/>
    <col min="3339" max="3339" width="9.5" style="3334" bestFit="1" customWidth="1"/>
    <col min="3340" max="3585" width="9" style="3334"/>
    <col min="3586" max="3587" width="13.625" style="3334" customWidth="1"/>
    <col min="3588" max="3588" width="11" style="3334" customWidth="1"/>
    <col min="3589" max="3589" width="13.625" style="3334" customWidth="1"/>
    <col min="3590" max="3590" width="19.5" style="3334" customWidth="1"/>
    <col min="3591" max="3591" width="15.5" style="3334" customWidth="1"/>
    <col min="3592" max="3592" width="17.125" style="3334" customWidth="1"/>
    <col min="3593" max="3593" width="13.625" style="3334" customWidth="1"/>
    <col min="3594" max="3594" width="19" style="3334" customWidth="1"/>
    <col min="3595" max="3595" width="9.5" style="3334" bestFit="1" customWidth="1"/>
    <col min="3596" max="3841" width="9" style="3334"/>
    <col min="3842" max="3843" width="13.625" style="3334" customWidth="1"/>
    <col min="3844" max="3844" width="11" style="3334" customWidth="1"/>
    <col min="3845" max="3845" width="13.625" style="3334" customWidth="1"/>
    <col min="3846" max="3846" width="19.5" style="3334" customWidth="1"/>
    <col min="3847" max="3847" width="15.5" style="3334" customWidth="1"/>
    <col min="3848" max="3848" width="17.125" style="3334" customWidth="1"/>
    <col min="3849" max="3849" width="13.625" style="3334" customWidth="1"/>
    <col min="3850" max="3850" width="19" style="3334" customWidth="1"/>
    <col min="3851" max="3851" width="9.5" style="3334" bestFit="1" customWidth="1"/>
    <col min="3852" max="4097" width="9" style="3334"/>
    <col min="4098" max="4099" width="13.625" style="3334" customWidth="1"/>
    <col min="4100" max="4100" width="11" style="3334" customWidth="1"/>
    <col min="4101" max="4101" width="13.625" style="3334" customWidth="1"/>
    <col min="4102" max="4102" width="19.5" style="3334" customWidth="1"/>
    <col min="4103" max="4103" width="15.5" style="3334" customWidth="1"/>
    <col min="4104" max="4104" width="17.125" style="3334" customWidth="1"/>
    <col min="4105" max="4105" width="13.625" style="3334" customWidth="1"/>
    <col min="4106" max="4106" width="19" style="3334" customWidth="1"/>
    <col min="4107" max="4107" width="9.5" style="3334" bestFit="1" customWidth="1"/>
    <col min="4108" max="4353" width="9" style="3334"/>
    <col min="4354" max="4355" width="13.625" style="3334" customWidth="1"/>
    <col min="4356" max="4356" width="11" style="3334" customWidth="1"/>
    <col min="4357" max="4357" width="13.625" style="3334" customWidth="1"/>
    <col min="4358" max="4358" width="19.5" style="3334" customWidth="1"/>
    <col min="4359" max="4359" width="15.5" style="3334" customWidth="1"/>
    <col min="4360" max="4360" width="17.125" style="3334" customWidth="1"/>
    <col min="4361" max="4361" width="13.625" style="3334" customWidth="1"/>
    <col min="4362" max="4362" width="19" style="3334" customWidth="1"/>
    <col min="4363" max="4363" width="9.5" style="3334" bestFit="1" customWidth="1"/>
    <col min="4364" max="4609" width="9" style="3334"/>
    <col min="4610" max="4611" width="13.625" style="3334" customWidth="1"/>
    <col min="4612" max="4612" width="11" style="3334" customWidth="1"/>
    <col min="4613" max="4613" width="13.625" style="3334" customWidth="1"/>
    <col min="4614" max="4614" width="19.5" style="3334" customWidth="1"/>
    <col min="4615" max="4615" width="15.5" style="3334" customWidth="1"/>
    <col min="4616" max="4616" width="17.125" style="3334" customWidth="1"/>
    <col min="4617" max="4617" width="13.625" style="3334" customWidth="1"/>
    <col min="4618" max="4618" width="19" style="3334" customWidth="1"/>
    <col min="4619" max="4619" width="9.5" style="3334" bestFit="1" customWidth="1"/>
    <col min="4620" max="4865" width="9" style="3334"/>
    <col min="4866" max="4867" width="13.625" style="3334" customWidth="1"/>
    <col min="4868" max="4868" width="11" style="3334" customWidth="1"/>
    <col min="4869" max="4869" width="13.625" style="3334" customWidth="1"/>
    <col min="4870" max="4870" width="19.5" style="3334" customWidth="1"/>
    <col min="4871" max="4871" width="15.5" style="3334" customWidth="1"/>
    <col min="4872" max="4872" width="17.125" style="3334" customWidth="1"/>
    <col min="4873" max="4873" width="13.625" style="3334" customWidth="1"/>
    <col min="4874" max="4874" width="19" style="3334" customWidth="1"/>
    <col min="4875" max="4875" width="9.5" style="3334" bestFit="1" customWidth="1"/>
    <col min="4876" max="5121" width="9" style="3334"/>
    <col min="5122" max="5123" width="13.625" style="3334" customWidth="1"/>
    <col min="5124" max="5124" width="11" style="3334" customWidth="1"/>
    <col min="5125" max="5125" width="13.625" style="3334" customWidth="1"/>
    <col min="5126" max="5126" width="19.5" style="3334" customWidth="1"/>
    <col min="5127" max="5127" width="15.5" style="3334" customWidth="1"/>
    <col min="5128" max="5128" width="17.125" style="3334" customWidth="1"/>
    <col min="5129" max="5129" width="13.625" style="3334" customWidth="1"/>
    <col min="5130" max="5130" width="19" style="3334" customWidth="1"/>
    <col min="5131" max="5131" width="9.5" style="3334" bestFit="1" customWidth="1"/>
    <col min="5132" max="5377" width="9" style="3334"/>
    <col min="5378" max="5379" width="13.625" style="3334" customWidth="1"/>
    <col min="5380" max="5380" width="11" style="3334" customWidth="1"/>
    <col min="5381" max="5381" width="13.625" style="3334" customWidth="1"/>
    <col min="5382" max="5382" width="19.5" style="3334" customWidth="1"/>
    <col min="5383" max="5383" width="15.5" style="3334" customWidth="1"/>
    <col min="5384" max="5384" width="17.125" style="3334" customWidth="1"/>
    <col min="5385" max="5385" width="13.625" style="3334" customWidth="1"/>
    <col min="5386" max="5386" width="19" style="3334" customWidth="1"/>
    <col min="5387" max="5387" width="9.5" style="3334" bestFit="1" customWidth="1"/>
    <col min="5388" max="5633" width="9" style="3334"/>
    <col min="5634" max="5635" width="13.625" style="3334" customWidth="1"/>
    <col min="5636" max="5636" width="11" style="3334" customWidth="1"/>
    <col min="5637" max="5637" width="13.625" style="3334" customWidth="1"/>
    <col min="5638" max="5638" width="19.5" style="3334" customWidth="1"/>
    <col min="5639" max="5639" width="15.5" style="3334" customWidth="1"/>
    <col min="5640" max="5640" width="17.125" style="3334" customWidth="1"/>
    <col min="5641" max="5641" width="13.625" style="3334" customWidth="1"/>
    <col min="5642" max="5642" width="19" style="3334" customWidth="1"/>
    <col min="5643" max="5643" width="9.5" style="3334" bestFit="1" customWidth="1"/>
    <col min="5644" max="5889" width="9" style="3334"/>
    <col min="5890" max="5891" width="13.625" style="3334" customWidth="1"/>
    <col min="5892" max="5892" width="11" style="3334" customWidth="1"/>
    <col min="5893" max="5893" width="13.625" style="3334" customWidth="1"/>
    <col min="5894" max="5894" width="19.5" style="3334" customWidth="1"/>
    <col min="5895" max="5895" width="15.5" style="3334" customWidth="1"/>
    <col min="5896" max="5896" width="17.125" style="3334" customWidth="1"/>
    <col min="5897" max="5897" width="13.625" style="3334" customWidth="1"/>
    <col min="5898" max="5898" width="19" style="3334" customWidth="1"/>
    <col min="5899" max="5899" width="9.5" style="3334" bestFit="1" customWidth="1"/>
    <col min="5900" max="6145" width="9" style="3334"/>
    <col min="6146" max="6147" width="13.625" style="3334" customWidth="1"/>
    <col min="6148" max="6148" width="11" style="3334" customWidth="1"/>
    <col min="6149" max="6149" width="13.625" style="3334" customWidth="1"/>
    <col min="6150" max="6150" width="19.5" style="3334" customWidth="1"/>
    <col min="6151" max="6151" width="15.5" style="3334" customWidth="1"/>
    <col min="6152" max="6152" width="17.125" style="3334" customWidth="1"/>
    <col min="6153" max="6153" width="13.625" style="3334" customWidth="1"/>
    <col min="6154" max="6154" width="19" style="3334" customWidth="1"/>
    <col min="6155" max="6155" width="9.5" style="3334" bestFit="1" customWidth="1"/>
    <col min="6156" max="6401" width="9" style="3334"/>
    <col min="6402" max="6403" width="13.625" style="3334" customWidth="1"/>
    <col min="6404" max="6404" width="11" style="3334" customWidth="1"/>
    <col min="6405" max="6405" width="13.625" style="3334" customWidth="1"/>
    <col min="6406" max="6406" width="19.5" style="3334" customWidth="1"/>
    <col min="6407" max="6407" width="15.5" style="3334" customWidth="1"/>
    <col min="6408" max="6408" width="17.125" style="3334" customWidth="1"/>
    <col min="6409" max="6409" width="13.625" style="3334" customWidth="1"/>
    <col min="6410" max="6410" width="19" style="3334" customWidth="1"/>
    <col min="6411" max="6411" width="9.5" style="3334" bestFit="1" customWidth="1"/>
    <col min="6412" max="6657" width="9" style="3334"/>
    <col min="6658" max="6659" width="13.625" style="3334" customWidth="1"/>
    <col min="6660" max="6660" width="11" style="3334" customWidth="1"/>
    <col min="6661" max="6661" width="13.625" style="3334" customWidth="1"/>
    <col min="6662" max="6662" width="19.5" style="3334" customWidth="1"/>
    <col min="6663" max="6663" width="15.5" style="3334" customWidth="1"/>
    <col min="6664" max="6664" width="17.125" style="3334" customWidth="1"/>
    <col min="6665" max="6665" width="13.625" style="3334" customWidth="1"/>
    <col min="6666" max="6666" width="19" style="3334" customWidth="1"/>
    <col min="6667" max="6667" width="9.5" style="3334" bestFit="1" customWidth="1"/>
    <col min="6668" max="6913" width="9" style="3334"/>
    <col min="6914" max="6915" width="13.625" style="3334" customWidth="1"/>
    <col min="6916" max="6916" width="11" style="3334" customWidth="1"/>
    <col min="6917" max="6917" width="13.625" style="3334" customWidth="1"/>
    <col min="6918" max="6918" width="19.5" style="3334" customWidth="1"/>
    <col min="6919" max="6919" width="15.5" style="3334" customWidth="1"/>
    <col min="6920" max="6920" width="17.125" style="3334" customWidth="1"/>
    <col min="6921" max="6921" width="13.625" style="3334" customWidth="1"/>
    <col min="6922" max="6922" width="19" style="3334" customWidth="1"/>
    <col min="6923" max="6923" width="9.5" style="3334" bestFit="1" customWidth="1"/>
    <col min="6924" max="7169" width="9" style="3334"/>
    <col min="7170" max="7171" width="13.625" style="3334" customWidth="1"/>
    <col min="7172" max="7172" width="11" style="3334" customWidth="1"/>
    <col min="7173" max="7173" width="13.625" style="3334" customWidth="1"/>
    <col min="7174" max="7174" width="19.5" style="3334" customWidth="1"/>
    <col min="7175" max="7175" width="15.5" style="3334" customWidth="1"/>
    <col min="7176" max="7176" width="17.125" style="3334" customWidth="1"/>
    <col min="7177" max="7177" width="13.625" style="3334" customWidth="1"/>
    <col min="7178" max="7178" width="19" style="3334" customWidth="1"/>
    <col min="7179" max="7179" width="9.5" style="3334" bestFit="1" customWidth="1"/>
    <col min="7180" max="7425" width="9" style="3334"/>
    <col min="7426" max="7427" width="13.625" style="3334" customWidth="1"/>
    <col min="7428" max="7428" width="11" style="3334" customWidth="1"/>
    <col min="7429" max="7429" width="13.625" style="3334" customWidth="1"/>
    <col min="7430" max="7430" width="19.5" style="3334" customWidth="1"/>
    <col min="7431" max="7431" width="15.5" style="3334" customWidth="1"/>
    <col min="7432" max="7432" width="17.125" style="3334" customWidth="1"/>
    <col min="7433" max="7433" width="13.625" style="3334" customWidth="1"/>
    <col min="7434" max="7434" width="19" style="3334" customWidth="1"/>
    <col min="7435" max="7435" width="9.5" style="3334" bestFit="1" customWidth="1"/>
    <col min="7436" max="7681" width="9" style="3334"/>
    <col min="7682" max="7683" width="13.625" style="3334" customWidth="1"/>
    <col min="7684" max="7684" width="11" style="3334" customWidth="1"/>
    <col min="7685" max="7685" width="13.625" style="3334" customWidth="1"/>
    <col min="7686" max="7686" width="19.5" style="3334" customWidth="1"/>
    <col min="7687" max="7687" width="15.5" style="3334" customWidth="1"/>
    <col min="7688" max="7688" width="17.125" style="3334" customWidth="1"/>
    <col min="7689" max="7689" width="13.625" style="3334" customWidth="1"/>
    <col min="7690" max="7690" width="19" style="3334" customWidth="1"/>
    <col min="7691" max="7691" width="9.5" style="3334" bestFit="1" customWidth="1"/>
    <col min="7692" max="7937" width="9" style="3334"/>
    <col min="7938" max="7939" width="13.625" style="3334" customWidth="1"/>
    <col min="7940" max="7940" width="11" style="3334" customWidth="1"/>
    <col min="7941" max="7941" width="13.625" style="3334" customWidth="1"/>
    <col min="7942" max="7942" width="19.5" style="3334" customWidth="1"/>
    <col min="7943" max="7943" width="15.5" style="3334" customWidth="1"/>
    <col min="7944" max="7944" width="17.125" style="3334" customWidth="1"/>
    <col min="7945" max="7945" width="13.625" style="3334" customWidth="1"/>
    <col min="7946" max="7946" width="19" style="3334" customWidth="1"/>
    <col min="7947" max="7947" width="9.5" style="3334" bestFit="1" customWidth="1"/>
    <col min="7948" max="8193" width="9" style="3334"/>
    <col min="8194" max="8195" width="13.625" style="3334" customWidth="1"/>
    <col min="8196" max="8196" width="11" style="3334" customWidth="1"/>
    <col min="8197" max="8197" width="13.625" style="3334" customWidth="1"/>
    <col min="8198" max="8198" width="19.5" style="3334" customWidth="1"/>
    <col min="8199" max="8199" width="15.5" style="3334" customWidth="1"/>
    <col min="8200" max="8200" width="17.125" style="3334" customWidth="1"/>
    <col min="8201" max="8201" width="13.625" style="3334" customWidth="1"/>
    <col min="8202" max="8202" width="19" style="3334" customWidth="1"/>
    <col min="8203" max="8203" width="9.5" style="3334" bestFit="1" customWidth="1"/>
    <col min="8204" max="8449" width="9" style="3334"/>
    <col min="8450" max="8451" width="13.625" style="3334" customWidth="1"/>
    <col min="8452" max="8452" width="11" style="3334" customWidth="1"/>
    <col min="8453" max="8453" width="13.625" style="3334" customWidth="1"/>
    <col min="8454" max="8454" width="19.5" style="3334" customWidth="1"/>
    <col min="8455" max="8455" width="15.5" style="3334" customWidth="1"/>
    <col min="8456" max="8456" width="17.125" style="3334" customWidth="1"/>
    <col min="8457" max="8457" width="13.625" style="3334" customWidth="1"/>
    <col min="8458" max="8458" width="19" style="3334" customWidth="1"/>
    <col min="8459" max="8459" width="9.5" style="3334" bestFit="1" customWidth="1"/>
    <col min="8460" max="8705" width="9" style="3334"/>
    <col min="8706" max="8707" width="13.625" style="3334" customWidth="1"/>
    <col min="8708" max="8708" width="11" style="3334" customWidth="1"/>
    <col min="8709" max="8709" width="13.625" style="3334" customWidth="1"/>
    <col min="8710" max="8710" width="19.5" style="3334" customWidth="1"/>
    <col min="8711" max="8711" width="15.5" style="3334" customWidth="1"/>
    <col min="8712" max="8712" width="17.125" style="3334" customWidth="1"/>
    <col min="8713" max="8713" width="13.625" style="3334" customWidth="1"/>
    <col min="8714" max="8714" width="19" style="3334" customWidth="1"/>
    <col min="8715" max="8715" width="9.5" style="3334" bestFit="1" customWidth="1"/>
    <col min="8716" max="8961" width="9" style="3334"/>
    <col min="8962" max="8963" width="13.625" style="3334" customWidth="1"/>
    <col min="8964" max="8964" width="11" style="3334" customWidth="1"/>
    <col min="8965" max="8965" width="13.625" style="3334" customWidth="1"/>
    <col min="8966" max="8966" width="19.5" style="3334" customWidth="1"/>
    <col min="8967" max="8967" width="15.5" style="3334" customWidth="1"/>
    <col min="8968" max="8968" width="17.125" style="3334" customWidth="1"/>
    <col min="8969" max="8969" width="13.625" style="3334" customWidth="1"/>
    <col min="8970" max="8970" width="19" style="3334" customWidth="1"/>
    <col min="8971" max="8971" width="9.5" style="3334" bestFit="1" customWidth="1"/>
    <col min="8972" max="9217" width="9" style="3334"/>
    <col min="9218" max="9219" width="13.625" style="3334" customWidth="1"/>
    <col min="9220" max="9220" width="11" style="3334" customWidth="1"/>
    <col min="9221" max="9221" width="13.625" style="3334" customWidth="1"/>
    <col min="9222" max="9222" width="19.5" style="3334" customWidth="1"/>
    <col min="9223" max="9223" width="15.5" style="3334" customWidth="1"/>
    <col min="9224" max="9224" width="17.125" style="3334" customWidth="1"/>
    <col min="9225" max="9225" width="13.625" style="3334" customWidth="1"/>
    <col min="9226" max="9226" width="19" style="3334" customWidth="1"/>
    <col min="9227" max="9227" width="9.5" style="3334" bestFit="1" customWidth="1"/>
    <col min="9228" max="9473" width="9" style="3334"/>
    <col min="9474" max="9475" width="13.625" style="3334" customWidth="1"/>
    <col min="9476" max="9476" width="11" style="3334" customWidth="1"/>
    <col min="9477" max="9477" width="13.625" style="3334" customWidth="1"/>
    <col min="9478" max="9478" width="19.5" style="3334" customWidth="1"/>
    <col min="9479" max="9479" width="15.5" style="3334" customWidth="1"/>
    <col min="9480" max="9480" width="17.125" style="3334" customWidth="1"/>
    <col min="9481" max="9481" width="13.625" style="3334" customWidth="1"/>
    <col min="9482" max="9482" width="19" style="3334" customWidth="1"/>
    <col min="9483" max="9483" width="9.5" style="3334" bestFit="1" customWidth="1"/>
    <col min="9484" max="9729" width="9" style="3334"/>
    <col min="9730" max="9731" width="13.625" style="3334" customWidth="1"/>
    <col min="9732" max="9732" width="11" style="3334" customWidth="1"/>
    <col min="9733" max="9733" width="13.625" style="3334" customWidth="1"/>
    <col min="9734" max="9734" width="19.5" style="3334" customWidth="1"/>
    <col min="9735" max="9735" width="15.5" style="3334" customWidth="1"/>
    <col min="9736" max="9736" width="17.125" style="3334" customWidth="1"/>
    <col min="9737" max="9737" width="13.625" style="3334" customWidth="1"/>
    <col min="9738" max="9738" width="19" style="3334" customWidth="1"/>
    <col min="9739" max="9739" width="9.5" style="3334" bestFit="1" customWidth="1"/>
    <col min="9740" max="9985" width="9" style="3334"/>
    <col min="9986" max="9987" width="13.625" style="3334" customWidth="1"/>
    <col min="9988" max="9988" width="11" style="3334" customWidth="1"/>
    <col min="9989" max="9989" width="13.625" style="3334" customWidth="1"/>
    <col min="9990" max="9990" width="19.5" style="3334" customWidth="1"/>
    <col min="9991" max="9991" width="15.5" style="3334" customWidth="1"/>
    <col min="9992" max="9992" width="17.125" style="3334" customWidth="1"/>
    <col min="9993" max="9993" width="13.625" style="3334" customWidth="1"/>
    <col min="9994" max="9994" width="19" style="3334" customWidth="1"/>
    <col min="9995" max="9995" width="9.5" style="3334" bestFit="1" customWidth="1"/>
    <col min="9996" max="10241" width="9" style="3334"/>
    <col min="10242" max="10243" width="13.625" style="3334" customWidth="1"/>
    <col min="10244" max="10244" width="11" style="3334" customWidth="1"/>
    <col min="10245" max="10245" width="13.625" style="3334" customWidth="1"/>
    <col min="10246" max="10246" width="19.5" style="3334" customWidth="1"/>
    <col min="10247" max="10247" width="15.5" style="3334" customWidth="1"/>
    <col min="10248" max="10248" width="17.125" style="3334" customWidth="1"/>
    <col min="10249" max="10249" width="13.625" style="3334" customWidth="1"/>
    <col min="10250" max="10250" width="19" style="3334" customWidth="1"/>
    <col min="10251" max="10251" width="9.5" style="3334" bestFit="1" customWidth="1"/>
    <col min="10252" max="10497" width="9" style="3334"/>
    <col min="10498" max="10499" width="13.625" style="3334" customWidth="1"/>
    <col min="10500" max="10500" width="11" style="3334" customWidth="1"/>
    <col min="10501" max="10501" width="13.625" style="3334" customWidth="1"/>
    <col min="10502" max="10502" width="19.5" style="3334" customWidth="1"/>
    <col min="10503" max="10503" width="15.5" style="3334" customWidth="1"/>
    <col min="10504" max="10504" width="17.125" style="3334" customWidth="1"/>
    <col min="10505" max="10505" width="13.625" style="3334" customWidth="1"/>
    <col min="10506" max="10506" width="19" style="3334" customWidth="1"/>
    <col min="10507" max="10507" width="9.5" style="3334" bestFit="1" customWidth="1"/>
    <col min="10508" max="10753" width="9" style="3334"/>
    <col min="10754" max="10755" width="13.625" style="3334" customWidth="1"/>
    <col min="10756" max="10756" width="11" style="3334" customWidth="1"/>
    <col min="10757" max="10757" width="13.625" style="3334" customWidth="1"/>
    <col min="10758" max="10758" width="19.5" style="3334" customWidth="1"/>
    <col min="10759" max="10759" width="15.5" style="3334" customWidth="1"/>
    <col min="10760" max="10760" width="17.125" style="3334" customWidth="1"/>
    <col min="10761" max="10761" width="13.625" style="3334" customWidth="1"/>
    <col min="10762" max="10762" width="19" style="3334" customWidth="1"/>
    <col min="10763" max="10763" width="9.5" style="3334" bestFit="1" customWidth="1"/>
    <col min="10764" max="11009" width="9" style="3334"/>
    <col min="11010" max="11011" width="13.625" style="3334" customWidth="1"/>
    <col min="11012" max="11012" width="11" style="3334" customWidth="1"/>
    <col min="11013" max="11013" width="13.625" style="3334" customWidth="1"/>
    <col min="11014" max="11014" width="19.5" style="3334" customWidth="1"/>
    <col min="11015" max="11015" width="15.5" style="3334" customWidth="1"/>
    <col min="11016" max="11016" width="17.125" style="3334" customWidth="1"/>
    <col min="11017" max="11017" width="13.625" style="3334" customWidth="1"/>
    <col min="11018" max="11018" width="19" style="3334" customWidth="1"/>
    <col min="11019" max="11019" width="9.5" style="3334" bestFit="1" customWidth="1"/>
    <col min="11020" max="11265" width="9" style="3334"/>
    <col min="11266" max="11267" width="13.625" style="3334" customWidth="1"/>
    <col min="11268" max="11268" width="11" style="3334" customWidth="1"/>
    <col min="11269" max="11269" width="13.625" style="3334" customWidth="1"/>
    <col min="11270" max="11270" width="19.5" style="3334" customWidth="1"/>
    <col min="11271" max="11271" width="15.5" style="3334" customWidth="1"/>
    <col min="11272" max="11272" width="17.125" style="3334" customWidth="1"/>
    <col min="11273" max="11273" width="13.625" style="3334" customWidth="1"/>
    <col min="11274" max="11274" width="19" style="3334" customWidth="1"/>
    <col min="11275" max="11275" width="9.5" style="3334" bestFit="1" customWidth="1"/>
    <col min="11276" max="11521" width="9" style="3334"/>
    <col min="11522" max="11523" width="13.625" style="3334" customWidth="1"/>
    <col min="11524" max="11524" width="11" style="3334" customWidth="1"/>
    <col min="11525" max="11525" width="13.625" style="3334" customWidth="1"/>
    <col min="11526" max="11526" width="19.5" style="3334" customWidth="1"/>
    <col min="11527" max="11527" width="15.5" style="3334" customWidth="1"/>
    <col min="11528" max="11528" width="17.125" style="3334" customWidth="1"/>
    <col min="11529" max="11529" width="13.625" style="3334" customWidth="1"/>
    <col min="11530" max="11530" width="19" style="3334" customWidth="1"/>
    <col min="11531" max="11531" width="9.5" style="3334" bestFit="1" customWidth="1"/>
    <col min="11532" max="11777" width="9" style="3334"/>
    <col min="11778" max="11779" width="13.625" style="3334" customWidth="1"/>
    <col min="11780" max="11780" width="11" style="3334" customWidth="1"/>
    <col min="11781" max="11781" width="13.625" style="3334" customWidth="1"/>
    <col min="11782" max="11782" width="19.5" style="3334" customWidth="1"/>
    <col min="11783" max="11783" width="15.5" style="3334" customWidth="1"/>
    <col min="11784" max="11784" width="17.125" style="3334" customWidth="1"/>
    <col min="11785" max="11785" width="13.625" style="3334" customWidth="1"/>
    <col min="11786" max="11786" width="19" style="3334" customWidth="1"/>
    <col min="11787" max="11787" width="9.5" style="3334" bestFit="1" customWidth="1"/>
    <col min="11788" max="12033" width="9" style="3334"/>
    <col min="12034" max="12035" width="13.625" style="3334" customWidth="1"/>
    <col min="12036" max="12036" width="11" style="3334" customWidth="1"/>
    <col min="12037" max="12037" width="13.625" style="3334" customWidth="1"/>
    <col min="12038" max="12038" width="19.5" style="3334" customWidth="1"/>
    <col min="12039" max="12039" width="15.5" style="3334" customWidth="1"/>
    <col min="12040" max="12040" width="17.125" style="3334" customWidth="1"/>
    <col min="12041" max="12041" width="13.625" style="3334" customWidth="1"/>
    <col min="12042" max="12042" width="19" style="3334" customWidth="1"/>
    <col min="12043" max="12043" width="9.5" style="3334" bestFit="1" customWidth="1"/>
    <col min="12044" max="12289" width="9" style="3334"/>
    <col min="12290" max="12291" width="13.625" style="3334" customWidth="1"/>
    <col min="12292" max="12292" width="11" style="3334" customWidth="1"/>
    <col min="12293" max="12293" width="13.625" style="3334" customWidth="1"/>
    <col min="12294" max="12294" width="19.5" style="3334" customWidth="1"/>
    <col min="12295" max="12295" width="15.5" style="3334" customWidth="1"/>
    <col min="12296" max="12296" width="17.125" style="3334" customWidth="1"/>
    <col min="12297" max="12297" width="13.625" style="3334" customWidth="1"/>
    <col min="12298" max="12298" width="19" style="3334" customWidth="1"/>
    <col min="12299" max="12299" width="9.5" style="3334" bestFit="1" customWidth="1"/>
    <col min="12300" max="12545" width="9" style="3334"/>
    <col min="12546" max="12547" width="13.625" style="3334" customWidth="1"/>
    <col min="12548" max="12548" width="11" style="3334" customWidth="1"/>
    <col min="12549" max="12549" width="13.625" style="3334" customWidth="1"/>
    <col min="12550" max="12550" width="19.5" style="3334" customWidth="1"/>
    <col min="12551" max="12551" width="15.5" style="3334" customWidth="1"/>
    <col min="12552" max="12552" width="17.125" style="3334" customWidth="1"/>
    <col min="12553" max="12553" width="13.625" style="3334" customWidth="1"/>
    <col min="12554" max="12554" width="19" style="3334" customWidth="1"/>
    <col min="12555" max="12555" width="9.5" style="3334" bestFit="1" customWidth="1"/>
    <col min="12556" max="12801" width="9" style="3334"/>
    <col min="12802" max="12803" width="13.625" style="3334" customWidth="1"/>
    <col min="12804" max="12804" width="11" style="3334" customWidth="1"/>
    <col min="12805" max="12805" width="13.625" style="3334" customWidth="1"/>
    <col min="12806" max="12806" width="19.5" style="3334" customWidth="1"/>
    <col min="12807" max="12807" width="15.5" style="3334" customWidth="1"/>
    <col min="12808" max="12808" width="17.125" style="3334" customWidth="1"/>
    <col min="12809" max="12809" width="13.625" style="3334" customWidth="1"/>
    <col min="12810" max="12810" width="19" style="3334" customWidth="1"/>
    <col min="12811" max="12811" width="9.5" style="3334" bestFit="1" customWidth="1"/>
    <col min="12812" max="13057" width="9" style="3334"/>
    <col min="13058" max="13059" width="13.625" style="3334" customWidth="1"/>
    <col min="13060" max="13060" width="11" style="3334" customWidth="1"/>
    <col min="13061" max="13061" width="13.625" style="3334" customWidth="1"/>
    <col min="13062" max="13062" width="19.5" style="3334" customWidth="1"/>
    <col min="13063" max="13063" width="15.5" style="3334" customWidth="1"/>
    <col min="13064" max="13064" width="17.125" style="3334" customWidth="1"/>
    <col min="13065" max="13065" width="13.625" style="3334" customWidth="1"/>
    <col min="13066" max="13066" width="19" style="3334" customWidth="1"/>
    <col min="13067" max="13067" width="9.5" style="3334" bestFit="1" customWidth="1"/>
    <col min="13068" max="13313" width="9" style="3334"/>
    <col min="13314" max="13315" width="13.625" style="3334" customWidth="1"/>
    <col min="13316" max="13316" width="11" style="3334" customWidth="1"/>
    <col min="13317" max="13317" width="13.625" style="3334" customWidth="1"/>
    <col min="13318" max="13318" width="19.5" style="3334" customWidth="1"/>
    <col min="13319" max="13319" width="15.5" style="3334" customWidth="1"/>
    <col min="13320" max="13320" width="17.125" style="3334" customWidth="1"/>
    <col min="13321" max="13321" width="13.625" style="3334" customWidth="1"/>
    <col min="13322" max="13322" width="19" style="3334" customWidth="1"/>
    <col min="13323" max="13323" width="9.5" style="3334" bestFit="1" customWidth="1"/>
    <col min="13324" max="13569" width="9" style="3334"/>
    <col min="13570" max="13571" width="13.625" style="3334" customWidth="1"/>
    <col min="13572" max="13572" width="11" style="3334" customWidth="1"/>
    <col min="13573" max="13573" width="13.625" style="3334" customWidth="1"/>
    <col min="13574" max="13574" width="19.5" style="3334" customWidth="1"/>
    <col min="13575" max="13575" width="15.5" style="3334" customWidth="1"/>
    <col min="13576" max="13576" width="17.125" style="3334" customWidth="1"/>
    <col min="13577" max="13577" width="13.625" style="3334" customWidth="1"/>
    <col min="13578" max="13578" width="19" style="3334" customWidth="1"/>
    <col min="13579" max="13579" width="9.5" style="3334" bestFit="1" customWidth="1"/>
    <col min="13580" max="13825" width="9" style="3334"/>
    <col min="13826" max="13827" width="13.625" style="3334" customWidth="1"/>
    <col min="13828" max="13828" width="11" style="3334" customWidth="1"/>
    <col min="13829" max="13829" width="13.625" style="3334" customWidth="1"/>
    <col min="13830" max="13830" width="19.5" style="3334" customWidth="1"/>
    <col min="13831" max="13831" width="15.5" style="3334" customWidth="1"/>
    <col min="13832" max="13832" width="17.125" style="3334" customWidth="1"/>
    <col min="13833" max="13833" width="13.625" style="3334" customWidth="1"/>
    <col min="13834" max="13834" width="19" style="3334" customWidth="1"/>
    <col min="13835" max="13835" width="9.5" style="3334" bestFit="1" customWidth="1"/>
    <col min="13836" max="14081" width="9" style="3334"/>
    <col min="14082" max="14083" width="13.625" style="3334" customWidth="1"/>
    <col min="14084" max="14084" width="11" style="3334" customWidth="1"/>
    <col min="14085" max="14085" width="13.625" style="3334" customWidth="1"/>
    <col min="14086" max="14086" width="19.5" style="3334" customWidth="1"/>
    <col min="14087" max="14087" width="15.5" style="3334" customWidth="1"/>
    <col min="14088" max="14088" width="17.125" style="3334" customWidth="1"/>
    <col min="14089" max="14089" width="13.625" style="3334" customWidth="1"/>
    <col min="14090" max="14090" width="19" style="3334" customWidth="1"/>
    <col min="14091" max="14091" width="9.5" style="3334" bestFit="1" customWidth="1"/>
    <col min="14092" max="14337" width="9" style="3334"/>
    <col min="14338" max="14339" width="13.625" style="3334" customWidth="1"/>
    <col min="14340" max="14340" width="11" style="3334" customWidth="1"/>
    <col min="14341" max="14341" width="13.625" style="3334" customWidth="1"/>
    <col min="14342" max="14342" width="19.5" style="3334" customWidth="1"/>
    <col min="14343" max="14343" width="15.5" style="3334" customWidth="1"/>
    <col min="14344" max="14344" width="17.125" style="3334" customWidth="1"/>
    <col min="14345" max="14345" width="13.625" style="3334" customWidth="1"/>
    <col min="14346" max="14346" width="19" style="3334" customWidth="1"/>
    <col min="14347" max="14347" width="9.5" style="3334" bestFit="1" customWidth="1"/>
    <col min="14348" max="14593" width="9" style="3334"/>
    <col min="14594" max="14595" width="13.625" style="3334" customWidth="1"/>
    <col min="14596" max="14596" width="11" style="3334" customWidth="1"/>
    <col min="14597" max="14597" width="13.625" style="3334" customWidth="1"/>
    <col min="14598" max="14598" width="19.5" style="3334" customWidth="1"/>
    <col min="14599" max="14599" width="15.5" style="3334" customWidth="1"/>
    <col min="14600" max="14600" width="17.125" style="3334" customWidth="1"/>
    <col min="14601" max="14601" width="13.625" style="3334" customWidth="1"/>
    <col min="14602" max="14602" width="19" style="3334" customWidth="1"/>
    <col min="14603" max="14603" width="9.5" style="3334" bestFit="1" customWidth="1"/>
    <col min="14604" max="14849" width="9" style="3334"/>
    <col min="14850" max="14851" width="13.625" style="3334" customWidth="1"/>
    <col min="14852" max="14852" width="11" style="3334" customWidth="1"/>
    <col min="14853" max="14853" width="13.625" style="3334" customWidth="1"/>
    <col min="14854" max="14854" width="19.5" style="3334" customWidth="1"/>
    <col min="14855" max="14855" width="15.5" style="3334" customWidth="1"/>
    <col min="14856" max="14856" width="17.125" style="3334" customWidth="1"/>
    <col min="14857" max="14857" width="13.625" style="3334" customWidth="1"/>
    <col min="14858" max="14858" width="19" style="3334" customWidth="1"/>
    <col min="14859" max="14859" width="9.5" style="3334" bestFit="1" customWidth="1"/>
    <col min="14860" max="15105" width="9" style="3334"/>
    <col min="15106" max="15107" width="13.625" style="3334" customWidth="1"/>
    <col min="15108" max="15108" width="11" style="3334" customWidth="1"/>
    <col min="15109" max="15109" width="13.625" style="3334" customWidth="1"/>
    <col min="15110" max="15110" width="19.5" style="3334" customWidth="1"/>
    <col min="15111" max="15111" width="15.5" style="3334" customWidth="1"/>
    <col min="15112" max="15112" width="17.125" style="3334" customWidth="1"/>
    <col min="15113" max="15113" width="13.625" style="3334" customWidth="1"/>
    <col min="15114" max="15114" width="19" style="3334" customWidth="1"/>
    <col min="15115" max="15115" width="9.5" style="3334" bestFit="1" customWidth="1"/>
    <col min="15116" max="15361" width="9" style="3334"/>
    <col min="15362" max="15363" width="13.625" style="3334" customWidth="1"/>
    <col min="15364" max="15364" width="11" style="3334" customWidth="1"/>
    <col min="15365" max="15365" width="13.625" style="3334" customWidth="1"/>
    <col min="15366" max="15366" width="19.5" style="3334" customWidth="1"/>
    <col min="15367" max="15367" width="15.5" style="3334" customWidth="1"/>
    <col min="15368" max="15368" width="17.125" style="3334" customWidth="1"/>
    <col min="15369" max="15369" width="13.625" style="3334" customWidth="1"/>
    <col min="15370" max="15370" width="19" style="3334" customWidth="1"/>
    <col min="15371" max="15371" width="9.5" style="3334" bestFit="1" customWidth="1"/>
    <col min="15372" max="15617" width="9" style="3334"/>
    <col min="15618" max="15619" width="13.625" style="3334" customWidth="1"/>
    <col min="15620" max="15620" width="11" style="3334" customWidth="1"/>
    <col min="15621" max="15621" width="13.625" style="3334" customWidth="1"/>
    <col min="15622" max="15622" width="19.5" style="3334" customWidth="1"/>
    <col min="15623" max="15623" width="15.5" style="3334" customWidth="1"/>
    <col min="15624" max="15624" width="17.125" style="3334" customWidth="1"/>
    <col min="15625" max="15625" width="13.625" style="3334" customWidth="1"/>
    <col min="15626" max="15626" width="19" style="3334" customWidth="1"/>
    <col min="15627" max="15627" width="9.5" style="3334" bestFit="1" customWidth="1"/>
    <col min="15628" max="15873" width="9" style="3334"/>
    <col min="15874" max="15875" width="13.625" style="3334" customWidth="1"/>
    <col min="15876" max="15876" width="11" style="3334" customWidth="1"/>
    <col min="15877" max="15877" width="13.625" style="3334" customWidth="1"/>
    <col min="15878" max="15878" width="19.5" style="3334" customWidth="1"/>
    <col min="15879" max="15879" width="15.5" style="3334" customWidth="1"/>
    <col min="15880" max="15880" width="17.125" style="3334" customWidth="1"/>
    <col min="15881" max="15881" width="13.625" style="3334" customWidth="1"/>
    <col min="15882" max="15882" width="19" style="3334" customWidth="1"/>
    <col min="15883" max="15883" width="9.5" style="3334" bestFit="1" customWidth="1"/>
    <col min="15884" max="16129" width="9" style="3334"/>
    <col min="16130" max="16131" width="13.625" style="3334" customWidth="1"/>
    <col min="16132" max="16132" width="11" style="3334" customWidth="1"/>
    <col min="16133" max="16133" width="13.625" style="3334" customWidth="1"/>
    <col min="16134" max="16134" width="19.5" style="3334" customWidth="1"/>
    <col min="16135" max="16135" width="15.5" style="3334" customWidth="1"/>
    <col min="16136" max="16136" width="17.125" style="3334" customWidth="1"/>
    <col min="16137" max="16137" width="13.625" style="3334" customWidth="1"/>
    <col min="16138" max="16138" width="19" style="3334" customWidth="1"/>
    <col min="16139" max="16139" width="9.5" style="3334" bestFit="1" customWidth="1"/>
    <col min="16140" max="16384" width="9" style="3334"/>
  </cols>
  <sheetData>
    <row r="2" spans="2:10">
      <c r="B2" s="3561" t="s">
        <v>3059</v>
      </c>
      <c r="C2" s="3561"/>
      <c r="D2" s="3561"/>
      <c r="E2" s="3561"/>
      <c r="F2" s="3561"/>
      <c r="G2" s="3561"/>
      <c r="H2" s="3561"/>
      <c r="I2" s="3561"/>
      <c r="J2" s="3561"/>
    </row>
    <row r="3" spans="2:10">
      <c r="B3" s="3552" t="s">
        <v>3060</v>
      </c>
      <c r="C3" s="3552" t="s">
        <v>3061</v>
      </c>
      <c r="D3" s="3552" t="s">
        <v>3062</v>
      </c>
      <c r="E3" s="3552" t="s">
        <v>3063</v>
      </c>
      <c r="F3" s="3552"/>
      <c r="G3" s="3552" t="s">
        <v>3064</v>
      </c>
      <c r="H3" s="3552"/>
      <c r="I3" s="3552" t="s">
        <v>3065</v>
      </c>
      <c r="J3" s="3552"/>
    </row>
    <row r="4" spans="2:10">
      <c r="B4" s="3552"/>
      <c r="C4" s="3552"/>
      <c r="D4" s="3552"/>
      <c r="E4" s="3335" t="s">
        <v>3066</v>
      </c>
      <c r="F4" s="3335" t="s">
        <v>2986</v>
      </c>
      <c r="G4" s="3335" t="s">
        <v>3066</v>
      </c>
      <c r="H4" s="3335" t="s">
        <v>2986</v>
      </c>
      <c r="I4" s="3335" t="s">
        <v>3066</v>
      </c>
      <c r="J4" s="3335" t="s">
        <v>2986</v>
      </c>
    </row>
    <row r="5" spans="2:10" ht="18.75" customHeight="1">
      <c r="B5" s="3335" t="str">
        <f>[3]典型户型修正!A24</f>
        <v>512-516</v>
      </c>
      <c r="C5" s="3335">
        <f>[3]典型户型修正!B24</f>
        <v>1286.47</v>
      </c>
      <c r="D5" s="3335">
        <f>[3]结果表!C121</f>
        <v>147.41999999999999</v>
      </c>
      <c r="E5" s="3335" t="e">
        <f ca="1">I5-G5</f>
        <v>#DIV/0!</v>
      </c>
      <c r="F5" s="3335" t="e">
        <f ca="1">J5-H5</f>
        <v>#DIV/0!</v>
      </c>
      <c r="G5" s="3335" t="e">
        <f ca="1">ROUND(H5*C5/10000,0)</f>
        <v>#DIV/0!</v>
      </c>
      <c r="H5" s="3335" t="e">
        <f ca="1">ROUND(J5*F21,0)</f>
        <v>#DIV/0!</v>
      </c>
      <c r="I5" s="3335" t="e">
        <f ca="1">ROUND(J5*C5/10000,0)</f>
        <v>#DIV/0!</v>
      </c>
      <c r="J5" s="3336" t="e">
        <f ca="1">典型户型修正!R27</f>
        <v>#DIV/0!</v>
      </c>
    </row>
    <row r="6" spans="2:10">
      <c r="B6" s="3335">
        <f>[3]典型户型修正!A26</f>
        <v>2101</v>
      </c>
      <c r="C6" s="3335">
        <f>[3]典型户型修正!B26</f>
        <v>236.83</v>
      </c>
      <c r="D6" s="3335">
        <f>ROUND(C6/$C$16*$C$17,2)</f>
        <v>27.14</v>
      </c>
      <c r="E6" s="3335" t="e">
        <f t="shared" ref="E6:E7" ca="1" si="0">I6-G6</f>
        <v>#DIV/0!</v>
      </c>
      <c r="F6" s="3335" t="e">
        <f ca="1">J6-H6</f>
        <v>#DIV/0!</v>
      </c>
      <c r="G6" s="3335" t="e">
        <f ca="1">ROUND(H6*C6/10000,0)</f>
        <v>#DIV/0!</v>
      </c>
      <c r="H6" s="3335" t="e">
        <f ca="1">H5</f>
        <v>#DIV/0!</v>
      </c>
      <c r="I6" s="3335" t="e">
        <f ca="1">ROUND(J6*C6/10000,0)</f>
        <v>#DIV/0!</v>
      </c>
      <c r="J6" s="3336" t="e">
        <f ca="1">典型户型修正!R28</f>
        <v>#DIV/0!</v>
      </c>
    </row>
    <row r="7" spans="2:10">
      <c r="B7" s="3335">
        <f>[3]典型户型修正!A27</f>
        <v>2201</v>
      </c>
      <c r="C7" s="3335">
        <f>[3]典型户型修正!B27</f>
        <v>240.11</v>
      </c>
      <c r="D7" s="3335">
        <f>ROUND(C7/$C$16*$C$17,2)</f>
        <v>27.52</v>
      </c>
      <c r="E7" s="3335" t="e">
        <f t="shared" ca="1" si="0"/>
        <v>#DIV/0!</v>
      </c>
      <c r="F7" s="3335" t="e">
        <f ca="1">J7-H7</f>
        <v>#DIV/0!</v>
      </c>
      <c r="G7" s="3335" t="e">
        <f ca="1">ROUND(H7*C7/10000,0)</f>
        <v>#DIV/0!</v>
      </c>
      <c r="H7" s="3335" t="e">
        <f ca="1">H6</f>
        <v>#DIV/0!</v>
      </c>
      <c r="I7" s="3335" t="e">
        <f ca="1">ROUND(J7*C7/10000,0)</f>
        <v>#DIV/0!</v>
      </c>
      <c r="J7" s="3336" t="e">
        <f ca="1">典型户型修正!R29</f>
        <v>#DIV/0!</v>
      </c>
    </row>
    <row r="8" spans="2:10">
      <c r="B8" s="3335" t="s">
        <v>51</v>
      </c>
      <c r="C8" s="3335">
        <f>SUM(C5:C7)</f>
        <v>1763.4099999999999</v>
      </c>
      <c r="D8" s="3335">
        <f>SUM(D5:D7)</f>
        <v>202.08</v>
      </c>
      <c r="E8" s="3550" t="e">
        <f ca="1">SUM(E5:E7)</f>
        <v>#DIV/0!</v>
      </c>
      <c r="F8" s="3551"/>
      <c r="G8" s="3550" t="e">
        <f ca="1">SUM(G5:G7)</f>
        <v>#DIV/0!</v>
      </c>
      <c r="H8" s="3551"/>
      <c r="I8" s="3550" t="e">
        <f ca="1">SUM(I5:I7)</f>
        <v>#DIV/0!</v>
      </c>
      <c r="J8" s="3551"/>
    </row>
    <row r="9" spans="2:10">
      <c r="B9" s="3552" t="s">
        <v>3067</v>
      </c>
      <c r="C9" s="3552"/>
      <c r="D9" s="3552"/>
      <c r="E9" s="3553" t="e">
        <f ca="1">E8*10000</f>
        <v>#DIV/0!</v>
      </c>
      <c r="F9" s="3553"/>
      <c r="G9" s="3553" t="e">
        <f ca="1">G8*10000</f>
        <v>#DIV/0!</v>
      </c>
      <c r="H9" s="3553"/>
      <c r="I9" s="3553" t="e">
        <f ca="1">I8*10000</f>
        <v>#DIV/0!</v>
      </c>
      <c r="J9" s="3553"/>
    </row>
    <row r="10" spans="2:10">
      <c r="B10" s="3557" t="s">
        <v>3068</v>
      </c>
      <c r="C10" s="3557"/>
      <c r="D10" s="3557"/>
      <c r="E10" s="3558">
        <v>0</v>
      </c>
      <c r="F10" s="3559"/>
      <c r="G10" s="3559"/>
      <c r="H10" s="3559"/>
      <c r="I10" s="3559"/>
      <c r="J10" s="3560"/>
    </row>
    <row r="11" spans="2:10">
      <c r="B11" s="3552" t="s">
        <v>3069</v>
      </c>
      <c r="C11" s="3552"/>
      <c r="D11" s="3552"/>
      <c r="E11" s="3554">
        <f>E10*10000</f>
        <v>0</v>
      </c>
      <c r="F11" s="3555"/>
      <c r="G11" s="3555"/>
      <c r="H11" s="3555"/>
      <c r="I11" s="3555"/>
      <c r="J11" s="3556"/>
    </row>
    <row r="12" spans="2:10">
      <c r="B12" s="3557" t="s">
        <v>2977</v>
      </c>
      <c r="C12" s="3557"/>
      <c r="D12" s="3557"/>
      <c r="E12" s="3558" t="e">
        <f ca="1">I8</f>
        <v>#DIV/0!</v>
      </c>
      <c r="F12" s="3559"/>
      <c r="G12" s="3559"/>
      <c r="H12" s="3559"/>
      <c r="I12" s="3559"/>
      <c r="J12" s="3560"/>
    </row>
    <row r="13" spans="2:10">
      <c r="B13" s="3552" t="s">
        <v>3069</v>
      </c>
      <c r="C13" s="3552"/>
      <c r="D13" s="3552"/>
      <c r="E13" s="3554" t="e">
        <f ca="1">E12*10000</f>
        <v>#DIV/0!</v>
      </c>
      <c r="F13" s="3555"/>
      <c r="G13" s="3555"/>
      <c r="H13" s="3555"/>
      <c r="I13" s="3555"/>
      <c r="J13" s="3556"/>
    </row>
    <row r="16" spans="2:10">
      <c r="B16" s="3334" t="s">
        <v>3070</v>
      </c>
      <c r="C16" s="3334">
        <v>93222.79</v>
      </c>
    </row>
    <row r="17" spans="2:10">
      <c r="B17" s="3334" t="s">
        <v>3071</v>
      </c>
      <c r="C17" s="3334">
        <v>10682.89</v>
      </c>
    </row>
    <row r="19" spans="2:10">
      <c r="C19" s="3337" t="s">
        <v>3072</v>
      </c>
      <c r="D19" s="3338"/>
      <c r="E19" s="3339"/>
      <c r="F19" s="3340" t="s">
        <v>3073</v>
      </c>
    </row>
    <row r="20" spans="2:10" ht="15">
      <c r="C20" s="3341"/>
      <c r="D20" s="3342" t="s">
        <v>3074</v>
      </c>
      <c r="E20" s="3343">
        <f ca="1">E18-E21</f>
        <v>0</v>
      </c>
      <c r="F20" s="3344">
        <f ca="1">收益法!J39</f>
        <v>0.52700000000000002</v>
      </c>
    </row>
    <row r="21" spans="2:10" ht="15.75" thickBot="1">
      <c r="C21" s="3345"/>
      <c r="D21" s="3346" t="s">
        <v>3075</v>
      </c>
      <c r="E21" s="3347">
        <f ca="1">ROUND(E18*F21,0)</f>
        <v>0</v>
      </c>
      <c r="F21" s="3344">
        <f ca="1">收益法!J38</f>
        <v>0.47299999999999998</v>
      </c>
    </row>
    <row r="25" spans="2:10">
      <c r="B25" s="3348" t="s">
        <v>3076</v>
      </c>
    </row>
    <row r="26" spans="2:10">
      <c r="B26" s="3552" t="s">
        <v>3060</v>
      </c>
      <c r="C26" s="3552" t="s">
        <v>3061</v>
      </c>
      <c r="D26" s="3552" t="s">
        <v>3062</v>
      </c>
      <c r="E26" s="3552" t="s">
        <v>3077</v>
      </c>
      <c r="F26" s="3552"/>
      <c r="G26" s="3552" t="s">
        <v>3064</v>
      </c>
      <c r="H26" s="3552"/>
      <c r="I26" s="3552" t="s">
        <v>3065</v>
      </c>
      <c r="J26" s="3552"/>
    </row>
    <row r="27" spans="2:10">
      <c r="B27" s="3552"/>
      <c r="C27" s="3552"/>
      <c r="D27" s="3552"/>
      <c r="E27" s="3335" t="s">
        <v>3066</v>
      </c>
      <c r="F27" s="3335" t="s">
        <v>2986</v>
      </c>
      <c r="G27" s="3335" t="s">
        <v>3066</v>
      </c>
      <c r="H27" s="3335" t="s">
        <v>2986</v>
      </c>
      <c r="I27" s="3335" t="s">
        <v>3066</v>
      </c>
      <c r="J27" s="3335" t="s">
        <v>2986</v>
      </c>
    </row>
    <row r="28" spans="2:10">
      <c r="B28" s="3335" t="s">
        <v>3078</v>
      </c>
      <c r="C28" s="3335">
        <v>1286.47</v>
      </c>
      <c r="D28" s="3335">
        <v>147.41999999999999</v>
      </c>
      <c r="E28" s="3335">
        <v>3702</v>
      </c>
      <c r="F28" s="3335">
        <v>28773</v>
      </c>
      <c r="G28" s="3335">
        <v>684</v>
      </c>
      <c r="H28" s="3335">
        <v>5318</v>
      </c>
      <c r="I28" s="3335">
        <v>4386</v>
      </c>
      <c r="J28" s="3336">
        <v>34091</v>
      </c>
    </row>
    <row r="29" spans="2:10">
      <c r="B29" s="3335">
        <v>2101</v>
      </c>
      <c r="C29" s="3335">
        <v>236.83</v>
      </c>
      <c r="D29" s="3335">
        <v>27.14</v>
      </c>
      <c r="E29" s="3335">
        <v>726</v>
      </c>
      <c r="F29" s="3335">
        <v>30668</v>
      </c>
      <c r="G29" s="3335">
        <v>126</v>
      </c>
      <c r="H29" s="3335">
        <v>5318</v>
      </c>
      <c r="I29" s="3335">
        <v>852</v>
      </c>
      <c r="J29" s="3336">
        <v>35986</v>
      </c>
    </row>
    <row r="30" spans="2:10">
      <c r="B30" s="3335">
        <v>2201</v>
      </c>
      <c r="C30" s="3335">
        <v>240.11</v>
      </c>
      <c r="D30" s="3335">
        <v>27.52</v>
      </c>
      <c r="E30" s="3335">
        <v>736</v>
      </c>
      <c r="F30" s="3335">
        <v>30668</v>
      </c>
      <c r="G30" s="3335">
        <v>128</v>
      </c>
      <c r="H30" s="3335">
        <v>5318</v>
      </c>
      <c r="I30" s="3335">
        <v>864</v>
      </c>
      <c r="J30" s="3336">
        <v>35986</v>
      </c>
    </row>
    <row r="31" spans="2:10">
      <c r="B31" s="3335" t="s">
        <v>51</v>
      </c>
      <c r="C31" s="3335">
        <v>1763.4099999999999</v>
      </c>
      <c r="D31" s="3335">
        <v>202.08</v>
      </c>
      <c r="E31" s="3550">
        <v>5164</v>
      </c>
      <c r="F31" s="3551"/>
      <c r="G31" s="3550">
        <v>938</v>
      </c>
      <c r="H31" s="3551"/>
      <c r="I31" s="3550">
        <v>6102</v>
      </c>
      <c r="J31" s="3551"/>
    </row>
    <row r="32" spans="2:10">
      <c r="B32" s="3552" t="s">
        <v>3069</v>
      </c>
      <c r="C32" s="3552"/>
      <c r="D32" s="3552"/>
      <c r="E32" s="3553">
        <v>51640000</v>
      </c>
      <c r="F32" s="3553"/>
      <c r="G32" s="3553">
        <v>9380000</v>
      </c>
      <c r="H32" s="3553"/>
      <c r="I32" s="3553">
        <v>61020000</v>
      </c>
      <c r="J32" s="3553"/>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1824</v>
      </c>
      <c r="B1" s="1428"/>
      <c r="C1" s="1428"/>
      <c r="D1" s="1428"/>
      <c r="E1" s="1428"/>
      <c r="F1" s="1428"/>
      <c r="G1" s="1428"/>
      <c r="H1" s="1428"/>
      <c r="I1" s="1428"/>
    </row>
    <row r="2" spans="1:15" ht="21.75" customHeight="1">
      <c r="A2" s="3586" t="s">
        <v>1825</v>
      </c>
      <c r="B2" s="3586"/>
      <c r="C2" s="3586"/>
      <c r="D2" s="3586"/>
      <c r="E2" s="3586"/>
      <c r="F2" s="3586"/>
      <c r="G2" s="3586"/>
      <c r="H2" s="3586"/>
      <c r="I2" s="3586"/>
      <c r="J2" s="2839"/>
    </row>
    <row r="3" spans="1:15" ht="12.75">
      <c r="A3" s="3498" t="s">
        <v>1653</v>
      </c>
      <c r="B3" s="3499"/>
      <c r="C3" s="3499"/>
      <c r="D3" s="3499"/>
      <c r="E3" s="3499"/>
      <c r="F3" s="3499"/>
      <c r="G3" s="3499"/>
      <c r="H3" s="3499"/>
      <c r="I3" s="3499"/>
      <c r="J3" s="2809"/>
    </row>
    <row r="4" spans="1:15" ht="14.25">
      <c r="A4" s="2678" t="s">
        <v>1654</v>
      </c>
      <c r="B4" s="2678" t="s">
        <v>1655</v>
      </c>
      <c r="C4" s="2679" t="s">
        <v>3045</v>
      </c>
      <c r="D4" s="2679" t="s">
        <v>3046</v>
      </c>
      <c r="E4" s="3444" t="s">
        <v>1826</v>
      </c>
      <c r="F4" s="3482"/>
      <c r="G4" s="3482"/>
      <c r="H4" s="3482"/>
      <c r="I4" s="3483"/>
      <c r="J4" s="2810"/>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475" t="s">
        <v>1657</v>
      </c>
      <c r="B5" s="3475">
        <v>25</v>
      </c>
      <c r="C5" s="3484">
        <v>24</v>
      </c>
      <c r="D5" s="3497">
        <v>20</v>
      </c>
      <c r="E5" s="12" t="s">
        <v>1658</v>
      </c>
      <c r="F5" s="2056"/>
      <c r="G5" s="2056"/>
      <c r="H5" s="2056"/>
      <c r="I5" s="2051"/>
      <c r="J5" s="2810"/>
    </row>
    <row r="6" spans="1:15" ht="12.75">
      <c r="A6" s="3475"/>
      <c r="B6" s="3475"/>
      <c r="C6" s="3500"/>
      <c r="D6" s="3497"/>
      <c r="E6" s="12" t="s">
        <v>1659</v>
      </c>
      <c r="F6" s="2056"/>
      <c r="G6" s="2056"/>
      <c r="H6" s="2056"/>
      <c r="I6" s="2051"/>
      <c r="J6" s="2810"/>
    </row>
    <row r="7" spans="1:15" ht="12.75">
      <c r="A7" s="3475"/>
      <c r="B7" s="3475"/>
      <c r="C7" s="3485"/>
      <c r="D7" s="3497"/>
      <c r="E7" s="12" t="s">
        <v>1660</v>
      </c>
      <c r="F7" s="2056"/>
      <c r="G7" s="2056"/>
      <c r="H7" s="2056"/>
      <c r="I7" s="2051"/>
      <c r="J7" s="2810"/>
    </row>
    <row r="8" spans="1:15" ht="12.75">
      <c r="A8" s="3475" t="s">
        <v>1661</v>
      </c>
      <c r="B8" s="3475">
        <v>15</v>
      </c>
      <c r="C8" s="3484">
        <v>13</v>
      </c>
      <c r="D8" s="3497">
        <v>9</v>
      </c>
      <c r="E8" s="12" t="s">
        <v>1662</v>
      </c>
      <c r="F8" s="2056"/>
      <c r="G8" s="2056"/>
      <c r="H8" s="2056"/>
      <c r="I8" s="2051"/>
      <c r="J8" s="2810"/>
    </row>
    <row r="9" spans="1:15" ht="12.75">
      <c r="A9" s="3475"/>
      <c r="B9" s="3475"/>
      <c r="C9" s="3485"/>
      <c r="D9" s="3497"/>
      <c r="E9" s="12" t="s">
        <v>1663</v>
      </c>
      <c r="F9" s="2056"/>
      <c r="G9" s="2056"/>
      <c r="H9" s="2056"/>
      <c r="I9" s="2051"/>
      <c r="J9" s="2810"/>
    </row>
    <row r="10" spans="1:15" ht="12.75">
      <c r="A10" s="3475" t="s">
        <v>1664</v>
      </c>
      <c r="B10" s="3475">
        <v>15</v>
      </c>
      <c r="C10" s="3484">
        <v>13</v>
      </c>
      <c r="D10" s="3497">
        <v>9</v>
      </c>
      <c r="E10" s="12" t="s">
        <v>1665</v>
      </c>
      <c r="F10" s="2056"/>
      <c r="G10" s="2056"/>
      <c r="H10" s="2056"/>
      <c r="I10" s="2051"/>
      <c r="J10" s="2810"/>
    </row>
    <row r="11" spans="1:15" ht="12.75">
      <c r="A11" s="3475"/>
      <c r="B11" s="3475"/>
      <c r="C11" s="3485"/>
      <c r="D11" s="3497"/>
      <c r="E11" s="12" t="s">
        <v>1666</v>
      </c>
      <c r="F11" s="2056"/>
      <c r="G11" s="2056"/>
      <c r="H11" s="2056"/>
      <c r="I11" s="2051"/>
      <c r="J11" s="2810"/>
    </row>
    <row r="12" spans="1:15" ht="12.75">
      <c r="A12" s="3475" t="s">
        <v>1667</v>
      </c>
      <c r="B12" s="3475">
        <v>15</v>
      </c>
      <c r="C12" s="3484">
        <v>14</v>
      </c>
      <c r="D12" s="3497">
        <v>10</v>
      </c>
      <c r="E12" s="12" t="s">
        <v>1668</v>
      </c>
      <c r="F12" s="2056"/>
      <c r="G12" s="2056"/>
      <c r="H12" s="2056"/>
      <c r="I12" s="2051"/>
      <c r="J12" s="2810"/>
    </row>
    <row r="13" spans="1:15" ht="12.75">
      <c r="A13" s="3475"/>
      <c r="B13" s="3475"/>
      <c r="C13" s="3485"/>
      <c r="D13" s="3497"/>
      <c r="E13" s="12" t="s">
        <v>1669</v>
      </c>
      <c r="F13" s="2056"/>
      <c r="G13" s="2056"/>
      <c r="H13" s="2056"/>
      <c r="I13" s="2051"/>
      <c r="J13" s="2810"/>
    </row>
    <row r="14" spans="1:15" ht="12.75">
      <c r="A14" s="3475" t="s">
        <v>1670</v>
      </c>
      <c r="B14" s="3475">
        <v>30</v>
      </c>
      <c r="C14" s="3484">
        <v>22</v>
      </c>
      <c r="D14" s="3497">
        <v>23</v>
      </c>
      <c r="E14" s="12" t="s">
        <v>1671</v>
      </c>
      <c r="F14" s="2056"/>
      <c r="G14" s="2056"/>
      <c r="H14" s="2056"/>
      <c r="I14" s="2051"/>
      <c r="J14" s="2810"/>
    </row>
    <row r="15" spans="1:15" ht="12.75">
      <c r="A15" s="3475"/>
      <c r="B15" s="3475"/>
      <c r="C15" s="3500"/>
      <c r="D15" s="3497"/>
      <c r="E15" s="12" t="s">
        <v>1672</v>
      </c>
      <c r="F15" s="2056"/>
      <c r="G15" s="2056"/>
      <c r="H15" s="2056"/>
      <c r="I15" s="2051"/>
      <c r="J15" s="2810"/>
    </row>
    <row r="16" spans="1:15" ht="12.75">
      <c r="A16" s="3475"/>
      <c r="B16" s="3475"/>
      <c r="C16" s="3485"/>
      <c r="D16" s="3497"/>
      <c r="E16" s="12" t="s">
        <v>1673</v>
      </c>
      <c r="F16" s="2056"/>
      <c r="G16" s="2056"/>
      <c r="H16" s="2056"/>
      <c r="I16" s="2051"/>
      <c r="J16" s="2810"/>
    </row>
    <row r="17" spans="1:36" ht="15">
      <c r="A17" s="2680" t="s">
        <v>1674</v>
      </c>
      <c r="B17" s="2061"/>
      <c r="C17" s="2681">
        <f>SUM(C5:C16)</f>
        <v>86</v>
      </c>
      <c r="D17" s="2681">
        <f>SUM(D5:D16)</f>
        <v>71</v>
      </c>
      <c r="E17" s="2529"/>
      <c r="F17" s="2529"/>
      <c r="G17" s="2529"/>
      <c r="H17" s="2529"/>
      <c r="I17" s="2529"/>
      <c r="J17" s="2811"/>
    </row>
    <row r="18" spans="1:36" ht="32.450000000000003" customHeight="1" thickBot="1">
      <c r="A18" s="2682" t="s">
        <v>1675</v>
      </c>
      <c r="B18" s="2683"/>
      <c r="C18" s="2684">
        <f>ROUND(C17/SUM(C17:D17),2)</f>
        <v>0.55000000000000004</v>
      </c>
      <c r="D18" s="2684">
        <f>1-C18</f>
        <v>0.44999999999999996</v>
      </c>
      <c r="E18" s="3493" t="s">
        <v>2754</v>
      </c>
      <c r="F18" s="3494"/>
      <c r="G18" s="3494"/>
      <c r="H18" s="3494"/>
      <c r="I18" s="3494"/>
      <c r="J18" s="2811"/>
    </row>
    <row r="19" spans="1:36" ht="15">
      <c r="A19" s="2685" t="s">
        <v>1676</v>
      </c>
      <c r="B19" s="2686" t="s">
        <v>1677</v>
      </c>
      <c r="C19" s="2687" t="e">
        <f ca="1">SUMIF(INDIRECT("'"&amp;C4&amp;"'"&amp;"!A:A"),'结果表 (1修多)'!B19,INDIRECT("'"&amp;C4&amp;"'"&amp;"!B:B"))</f>
        <v>#DIV/0!</v>
      </c>
      <c r="D19" s="2688">
        <f ca="1">SUMIF(INDIRECT("'"&amp;D4&amp;"'"&amp;"!A:A"),'结果表 (1修多)'!B19,INDIRECT("'"&amp;D4&amp;"'"&amp;"!B:B"))</f>
        <v>216</v>
      </c>
      <c r="E19" s="2685" t="s">
        <v>1678</v>
      </c>
      <c r="F19" s="2686" t="s">
        <v>1677</v>
      </c>
      <c r="G19" s="2689" t="e">
        <f ca="1">ROUND(C19*$C$18+D19*$D$18,0)</f>
        <v>#DIV/0!</v>
      </c>
      <c r="H19" s="2690" t="str">
        <f>'数据-取费表'!B3</f>
        <v>万元</v>
      </c>
      <c r="I19" s="2529"/>
      <c r="J19" s="2811"/>
    </row>
    <row r="20" spans="1:36" ht="15">
      <c r="A20" s="2691"/>
      <c r="B20" s="1661" t="s">
        <v>1679</v>
      </c>
      <c r="C20" s="1886" t="e">
        <f ca="1">SUMIF(INDIRECT("'"&amp;C4&amp;"'"&amp;"!A:A"),'结果表 (1修多)'!B20,INDIRECT("'"&amp;C4&amp;"'"&amp;"!B:B"))</f>
        <v>#DIV/0!</v>
      </c>
      <c r="D20" s="1889">
        <f ca="1">SUMIF(INDIRECT("'"&amp;D4&amp;"'"&amp;"!A:A"),'结果表 (1修多)'!B20,INDIRECT("'"&amp;D4&amp;"'"&amp;"!B:B"))</f>
        <v>11379</v>
      </c>
      <c r="E20" s="2691"/>
      <c r="F20" s="1661" t="s">
        <v>1679</v>
      </c>
      <c r="G20" s="2060" t="e">
        <f ca="1">ROUND(C20*$C$18+D20*$D$18,0)</f>
        <v>#DIV/0!</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t="e">
        <f ca="1">IF(C19&lt;D19,D19/C19-1,C19/D19-1)</f>
        <v>#DIV/0!</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486" t="s">
        <v>1682</v>
      </c>
      <c r="B24" s="2686" t="s">
        <v>1677</v>
      </c>
      <c r="C24" s="2689">
        <f>D30</f>
        <v>0</v>
      </c>
      <c r="D24" s="2641"/>
      <c r="E24" s="947"/>
      <c r="F24" s="947"/>
      <c r="G24" s="947"/>
      <c r="H24" s="947"/>
      <c r="I24" s="947"/>
      <c r="J24" s="2811"/>
    </row>
    <row r="25" spans="1:36" ht="21.75" customHeight="1">
      <c r="A25" s="3503"/>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t="s">
        <v>1827</v>
      </c>
      <c r="B27" s="2704">
        <v>0</v>
      </c>
      <c r="C27" s="2704">
        <v>0</v>
      </c>
      <c r="D27" s="2705">
        <f>ROUND(C27*B27/10000,0)</f>
        <v>0</v>
      </c>
      <c r="E27" s="947"/>
      <c r="F27" s="947"/>
      <c r="G27" s="947"/>
      <c r="H27" s="947"/>
      <c r="I27" s="947"/>
      <c r="J27" s="2811"/>
    </row>
    <row r="28" spans="1:36" ht="14.25">
      <c r="A28" s="2703"/>
      <c r="B28" s="2704"/>
      <c r="C28" s="2704"/>
      <c r="D28" s="2705">
        <f>ROUND(C28*B28/10000,0)</f>
        <v>0</v>
      </c>
      <c r="E28" s="947"/>
      <c r="F28" s="947"/>
      <c r="G28" s="947"/>
      <c r="H28" s="947"/>
      <c r="I28" s="947"/>
      <c r="J28" s="2811"/>
    </row>
    <row r="29" spans="1:36" ht="14.25">
      <c r="A29" s="2703"/>
      <c r="B29" s="2704"/>
      <c r="C29" s="2704"/>
      <c r="D29" s="2705">
        <f t="shared" ref="D29" si="0">ROUND(C29*B29/10000,0)</f>
        <v>0</v>
      </c>
      <c r="E29" s="947"/>
      <c r="F29" s="947"/>
      <c r="G29" s="947"/>
      <c r="H29" s="947"/>
      <c r="I29" s="947"/>
      <c r="J29" s="2811"/>
    </row>
    <row r="30" spans="1:36" ht="15" thickBot="1">
      <c r="A30" s="2739" t="s">
        <v>1828</v>
      </c>
      <c r="B30" s="2740"/>
      <c r="C30" s="2740"/>
      <c r="D30" s="2740"/>
      <c r="E30" s="2707" t="s">
        <v>2758</v>
      </c>
      <c r="F30" s="2529"/>
      <c r="G30" s="2529"/>
      <c r="H30" s="2529"/>
      <c r="I30" s="2529"/>
      <c r="J30" s="2811"/>
    </row>
    <row r="31" spans="1:36" s="2804" customFormat="1" ht="27.6"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2" customFormat="1" ht="16.5" thickTop="1" thickBot="1">
      <c r="A32" s="3563" t="s">
        <v>1829</v>
      </c>
      <c r="B32" s="3563"/>
      <c r="C32" s="3563"/>
      <c r="D32" s="3563"/>
      <c r="E32" s="3563"/>
      <c r="F32" s="3563"/>
      <c r="G32" s="3563"/>
      <c r="H32" s="3563"/>
      <c r="I32" s="3563"/>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1" t="s">
        <v>1830</v>
      </c>
      <c r="C33" s="2742" t="e">
        <f ca="1">典型户型修正!R27</f>
        <v>#DIV/0!</v>
      </c>
      <c r="D33" s="2529" t="s">
        <v>1831</v>
      </c>
      <c r="E33" s="947"/>
      <c r="F33" s="947"/>
      <c r="G33" s="947"/>
      <c r="H33" s="947"/>
      <c r="I33" s="947"/>
      <c r="J33" s="2811"/>
    </row>
    <row r="34" spans="1:16" ht="15">
      <c r="A34" s="1479" t="s">
        <v>1832</v>
      </c>
      <c r="B34" s="2743" t="s">
        <v>1833</v>
      </c>
      <c r="C34" s="2744" t="e">
        <f ca="1">典型户型修正!B2</f>
        <v>#DIV/0!</v>
      </c>
      <c r="D34" s="2745" t="str">
        <f>IF('数据-取费表'!B3="万元","万元","元")</f>
        <v>万元</v>
      </c>
      <c r="E34" s="947"/>
      <c r="F34" s="947"/>
      <c r="G34" s="947"/>
      <c r="H34" s="947"/>
      <c r="I34" s="947"/>
      <c r="J34" s="2811"/>
    </row>
    <row r="35" spans="1:16" ht="15.75" thickBot="1">
      <c r="A35" s="1480"/>
      <c r="B35" s="2746" t="s">
        <v>1834</v>
      </c>
      <c r="C35" s="2695" t="e">
        <f ca="1">典型户型修正!B3</f>
        <v>#DIV/0!</v>
      </c>
      <c r="D35" s="2529" t="s">
        <v>1835</v>
      </c>
      <c r="E35" s="947"/>
      <c r="F35" s="947"/>
      <c r="G35" s="947"/>
      <c r="H35" s="947"/>
      <c r="I35" s="947"/>
      <c r="J35" s="2811"/>
    </row>
    <row r="36" spans="1:16" ht="15">
      <c r="A36" s="1481"/>
      <c r="B36" s="1435" t="s">
        <v>1836</v>
      </c>
      <c r="C36" s="2747">
        <f>IF('数据-取费表'!B3="万元",典型户型修正!V25,典型户型修正!U25)</f>
        <v>0</v>
      </c>
      <c r="D36" s="2529" t="str">
        <f>D34</f>
        <v>万元</v>
      </c>
      <c r="E36" s="947"/>
      <c r="F36" s="947"/>
      <c r="G36" s="947"/>
      <c r="H36" s="947"/>
      <c r="I36" s="947"/>
      <c r="J36" s="2811"/>
    </row>
    <row r="37" spans="1:16" ht="15.75" thickBot="1">
      <c r="A37" s="1434"/>
      <c r="B37" s="1436" t="s">
        <v>1837</v>
      </c>
      <c r="C37" s="2748">
        <f>IF('数据-取费表'!B3="万元",典型户型修正!Y25,典型户型修正!X25)</f>
        <v>0</v>
      </c>
      <c r="D37" s="2529" t="str">
        <f>D34</f>
        <v>万元</v>
      </c>
      <c r="E37" s="947"/>
      <c r="F37" s="947"/>
      <c r="G37" s="947"/>
      <c r="H37" s="947"/>
      <c r="I37" s="947"/>
      <c r="J37" s="2811"/>
    </row>
    <row r="38" spans="1:16" ht="15.75" thickBot="1">
      <c r="A38" s="3486" t="s">
        <v>1838</v>
      </c>
      <c r="B38" s="1435" t="s">
        <v>1839</v>
      </c>
      <c r="C38" s="2722"/>
      <c r="D38" s="2723"/>
      <c r="E38" s="1647"/>
      <c r="F38" s="1647"/>
      <c r="G38" s="947"/>
      <c r="H38" s="947"/>
      <c r="I38" s="947"/>
      <c r="J38" s="2811"/>
    </row>
    <row r="39" spans="1:16" ht="15.75" thickBot="1">
      <c r="A39" s="3487"/>
      <c r="B39" s="2061" t="s">
        <v>1840</v>
      </c>
      <c r="C39" s="2724"/>
      <c r="D39" s="1281"/>
      <c r="E39" s="1281"/>
      <c r="F39" s="1647"/>
      <c r="G39" s="1281"/>
      <c r="H39" s="1281"/>
      <c r="I39" s="1281"/>
      <c r="J39" s="2815"/>
    </row>
    <row r="40" spans="1:16" ht="15.75" thickBot="1">
      <c r="A40" s="3488"/>
      <c r="B40" s="1436" t="s">
        <v>1841</v>
      </c>
      <c r="C40" s="2725"/>
      <c r="D40" s="2726" t="s">
        <v>1842</v>
      </c>
      <c r="E40" s="1281"/>
      <c r="F40" s="1647"/>
      <c r="G40" s="1281"/>
      <c r="H40" s="1281"/>
      <c r="I40" s="1281"/>
      <c r="J40" s="2815"/>
    </row>
    <row r="41" spans="1:16" ht="15">
      <c r="A41" s="2691" t="s">
        <v>1843</v>
      </c>
      <c r="B41" s="2727" t="s">
        <v>1844</v>
      </c>
      <c r="C41" s="2728" t="s">
        <v>1845</v>
      </c>
      <c r="D41" s="2728" t="s">
        <v>1846</v>
      </c>
      <c r="E41" s="2729" t="s">
        <v>1847</v>
      </c>
      <c r="F41" s="1647"/>
      <c r="G41" s="1281"/>
      <c r="H41" s="1281"/>
      <c r="I41" s="1281"/>
      <c r="J41" s="2815"/>
    </row>
    <row r="42" spans="1:16" ht="14.25">
      <c r="A42" s="2730" t="s">
        <v>1848</v>
      </c>
      <c r="B42" s="2731"/>
      <c r="C42" s="2732"/>
      <c r="D42" s="2732"/>
      <c r="E42" s="2733"/>
      <c r="F42" s="1647"/>
      <c r="G42" s="1281"/>
      <c r="H42" s="1281"/>
      <c r="I42" s="1281"/>
      <c r="J42" s="2815"/>
    </row>
    <row r="43" spans="1:16" ht="14.25">
      <c r="A43" s="2730" t="s">
        <v>1849</v>
      </c>
      <c r="B43" s="2731"/>
      <c r="C43" s="2732"/>
      <c r="D43" s="2732"/>
      <c r="E43" s="2733"/>
      <c r="F43" s="1647"/>
      <c r="G43" s="1281"/>
      <c r="H43" s="1281"/>
      <c r="I43" s="1281"/>
      <c r="J43" s="2815"/>
    </row>
    <row r="44" spans="1:16" ht="15" thickBot="1">
      <c r="A44" s="2734"/>
      <c r="B44" s="2735"/>
      <c r="C44" s="2736"/>
      <c r="D44" s="2736"/>
      <c r="E44" s="2721"/>
      <c r="F44" s="1647"/>
      <c r="G44" s="1281"/>
      <c r="H44" s="1281"/>
      <c r="I44" s="1281"/>
      <c r="J44" s="2815"/>
    </row>
    <row r="45" spans="1:16" ht="12.75">
      <c r="A45" s="1448"/>
      <c r="B45" s="1448"/>
      <c r="C45" s="1448"/>
      <c r="D45" s="1448"/>
      <c r="E45" s="1448"/>
      <c r="F45" s="1405"/>
      <c r="G45" s="1405"/>
      <c r="H45" s="1405"/>
      <c r="I45" s="2737"/>
      <c r="J45" s="2816"/>
    </row>
    <row r="46" spans="1:16" ht="18.75">
      <c r="A46" s="1438" t="s">
        <v>1850</v>
      </c>
      <c r="B46" s="1439"/>
      <c r="C46" s="1439"/>
      <c r="D46" s="2749"/>
      <c r="E46" s="2749"/>
      <c r="F46" s="2749"/>
      <c r="G46" s="2749"/>
      <c r="H46" s="2749"/>
      <c r="I46" s="2805" t="s">
        <v>2753</v>
      </c>
      <c r="J46" s="2841"/>
      <c r="K46" s="1442" t="s">
        <v>1705</v>
      </c>
      <c r="L46" s="1443"/>
      <c r="M46" s="1443"/>
      <c r="N46" s="1443"/>
      <c r="O46" s="1443"/>
      <c r="P46" s="1443"/>
    </row>
    <row r="47" spans="1:16" ht="14.25" customHeight="1" thickBot="1">
      <c r="A47" s="3490" t="s">
        <v>1851</v>
      </c>
      <c r="B47" s="3491"/>
      <c r="C47" s="3450"/>
      <c r="D47" s="246" t="e">
        <f ca="1">ROUND(I104*F47,0)</f>
        <v>#DIV/0!</v>
      </c>
      <c r="E47" s="1509" t="s">
        <v>1852</v>
      </c>
      <c r="F47" s="2527">
        <v>1</v>
      </c>
      <c r="G47" s="2528" t="s">
        <v>1853</v>
      </c>
      <c r="H47" s="947"/>
      <c r="I47" s="947"/>
      <c r="J47" s="2811"/>
      <c r="K47" s="3588" t="s">
        <v>1709</v>
      </c>
      <c r="L47" s="3588"/>
      <c r="M47" s="3588"/>
      <c r="N47" s="3588"/>
      <c r="O47" s="3588"/>
      <c r="P47" s="3588"/>
    </row>
    <row r="48" spans="1:16" ht="14.25" customHeight="1">
      <c r="A48" s="3479" t="s">
        <v>1710</v>
      </c>
      <c r="B48" s="3480"/>
      <c r="C48" s="3480"/>
      <c r="D48" s="3480"/>
      <c r="E48" s="3480"/>
      <c r="F48" s="3480"/>
      <c r="G48" s="3481"/>
      <c r="H48" s="2943"/>
      <c r="I48" s="947"/>
      <c r="J48" s="2811"/>
      <c r="K48" s="2479">
        <v>1</v>
      </c>
      <c r="L48" s="3583" t="s">
        <v>1711</v>
      </c>
      <c r="M48" s="3583"/>
      <c r="N48" s="3589"/>
      <c r="O48" s="3589"/>
      <c r="P48" s="3589"/>
    </row>
    <row r="49" spans="1:18" ht="12" customHeight="1">
      <c r="A49" s="38" t="s">
        <v>1712</v>
      </c>
      <c r="B49" s="39"/>
      <c r="C49" s="40"/>
      <c r="D49" s="1070" t="s">
        <v>1713</v>
      </c>
      <c r="E49" s="235" t="s">
        <v>1714</v>
      </c>
      <c r="F49" s="41" t="s">
        <v>1715</v>
      </c>
      <c r="G49" s="2530" t="s">
        <v>1716</v>
      </c>
      <c r="H49" s="2943"/>
      <c r="I49" s="947"/>
      <c r="J49" s="2811"/>
      <c r="K49" s="2479">
        <v>2</v>
      </c>
      <c r="L49" s="3583" t="s">
        <v>1717</v>
      </c>
      <c r="M49" s="3583"/>
      <c r="N49" s="3590">
        <f>'数据-取费表'!B2</f>
        <v>44727</v>
      </c>
      <c r="O49" s="3590"/>
      <c r="P49" s="3590"/>
    </row>
    <row r="50" spans="1:18" ht="25.5">
      <c r="A50" s="3489" t="s">
        <v>1718</v>
      </c>
      <c r="B50" s="3443"/>
      <c r="C50" s="3443"/>
      <c r="D50" s="12" t="e">
        <f ca="1">IF(H50="情况1",0,IF(H50="情况2",D54,IF(H50="情况3",D55,IF(H50="情况4",D56))))</f>
        <v>#DIV/0!</v>
      </c>
      <c r="E50" s="2059" t="str">
        <f>IF(H50="情况4","(销售额-原购置价)×税（费）率","销售额×税（费）率")</f>
        <v>销售额×税（费）率</v>
      </c>
      <c r="F50" s="2531">
        <f>IF(H50="情况1","免征",'数据-取费表'!E29)</f>
        <v>5.6000000000000001E-2</v>
      </c>
      <c r="G50" s="2532" t="s">
        <v>1719</v>
      </c>
      <c r="H50" s="2533" t="s">
        <v>1720</v>
      </c>
      <c r="I50" s="2943"/>
      <c r="J50" s="2818"/>
      <c r="K50" s="2479">
        <v>3</v>
      </c>
      <c r="L50" s="3583" t="s">
        <v>1721</v>
      </c>
      <c r="M50" s="3583"/>
      <c r="N50" s="3584" t="e">
        <f ca="1">I104</f>
        <v>#DIV/0!</v>
      </c>
      <c r="O50" s="3584"/>
      <c r="P50" s="3584"/>
    </row>
    <row r="51" spans="1:18" ht="25.5" customHeight="1">
      <c r="A51" s="2058" t="s">
        <v>1722</v>
      </c>
      <c r="B51" s="3482" t="s">
        <v>1723</v>
      </c>
      <c r="C51" s="3482"/>
      <c r="D51" s="2534">
        <v>0</v>
      </c>
      <c r="E51" s="261" t="s">
        <v>1724</v>
      </c>
      <c r="F51" s="2535" t="s">
        <v>48</v>
      </c>
      <c r="G51" s="3539"/>
      <c r="H51" s="2536" t="s">
        <v>2678</v>
      </c>
      <c r="I51" s="2537"/>
      <c r="J51" s="2819"/>
      <c r="K51" s="2479">
        <v>4</v>
      </c>
      <c r="L51" s="3583" t="str">
        <f>IF(项目基本情况!F5="房地产抵押价值","房地产抵押价值","抵押担保权已注销时的房地产抵押价值")</f>
        <v>房地产抵押价值</v>
      </c>
      <c r="M51" s="3583"/>
      <c r="N51" s="3584" t="e">
        <f ca="1">IF(项目基本情况!F5="房地产抵押价值",I112,I114)</f>
        <v>#DIV/0!</v>
      </c>
      <c r="O51" s="3584"/>
      <c r="P51" s="3584"/>
    </row>
    <row r="52" spans="1:18" ht="25.5" customHeight="1">
      <c r="A52" s="2048"/>
      <c r="B52" s="3482" t="s">
        <v>1725</v>
      </c>
      <c r="C52" s="3482"/>
      <c r="D52" s="2538"/>
      <c r="E52" s="269"/>
      <c r="F52" s="2535"/>
      <c r="G52" s="3540"/>
      <c r="H52" s="2539" t="s">
        <v>2679</v>
      </c>
      <c r="I52" s="2537"/>
      <c r="J52" s="2819"/>
      <c r="K52" s="3583" t="s">
        <v>1726</v>
      </c>
      <c r="L52" s="3583"/>
      <c r="M52" s="3583"/>
      <c r="N52" s="3583"/>
      <c r="O52" s="3583"/>
      <c r="P52" s="3583"/>
    </row>
    <row r="53" spans="1:18" ht="20.45" customHeight="1">
      <c r="A53" s="2540"/>
      <c r="B53" s="3482" t="s">
        <v>1727</v>
      </c>
      <c r="C53" s="3482"/>
      <c r="D53" s="1070"/>
      <c r="E53" s="264"/>
      <c r="F53" s="2535"/>
      <c r="G53" s="3541"/>
      <c r="H53" s="2539" t="s">
        <v>2680</v>
      </c>
      <c r="I53" s="2537"/>
      <c r="J53" s="2819"/>
      <c r="K53" s="2480" t="s">
        <v>1728</v>
      </c>
      <c r="L53" s="3583" t="s">
        <v>1729</v>
      </c>
      <c r="M53" s="3583"/>
      <c r="N53" s="2480" t="s">
        <v>1730</v>
      </c>
      <c r="O53" s="2480" t="s">
        <v>1731</v>
      </c>
      <c r="P53" s="2480" t="s">
        <v>1732</v>
      </c>
    </row>
    <row r="54" spans="1:18" ht="24" customHeight="1">
      <c r="A54" s="2049" t="s">
        <v>1733</v>
      </c>
      <c r="B54" s="3482" t="s">
        <v>1734</v>
      </c>
      <c r="C54" s="3482"/>
      <c r="D54" s="1070" t="e">
        <f ca="1">ROUND(D47*'数据-取费表'!E29/(1+'数据-取费表'!F30),0)</f>
        <v>#DIV/0!</v>
      </c>
      <c r="E54" s="2059" t="s">
        <v>1735</v>
      </c>
      <c r="F54" s="2541">
        <f>'数据-取费表'!E29</f>
        <v>5.6000000000000001E-2</v>
      </c>
      <c r="G54" s="2542"/>
      <c r="H54" s="947"/>
      <c r="I54" s="2944"/>
      <c r="J54" s="2819"/>
      <c r="K54" s="2479">
        <v>1</v>
      </c>
      <c r="L54" s="3579" t="s">
        <v>1736</v>
      </c>
      <c r="M54" s="3579"/>
      <c r="N54" s="2481" t="e">
        <f ca="1">D50</f>
        <v>#DIV/0!</v>
      </c>
      <c r="O54" s="2479" t="str">
        <f>E50</f>
        <v>销售额×税（费）率</v>
      </c>
      <c r="P54" s="2482">
        <f>F50</f>
        <v>5.6000000000000001E-2</v>
      </c>
    </row>
    <row r="55" spans="1:18" ht="12" customHeight="1">
      <c r="A55" s="2049" t="s">
        <v>1737</v>
      </c>
      <c r="B55" s="3444" t="s">
        <v>2772</v>
      </c>
      <c r="C55" s="3483"/>
      <c r="D55" s="1070" t="e">
        <f ca="1">ROUND(D47*'数据-取费表'!E29/(1+'数据-取费表'!F30),0)</f>
        <v>#DIV/0!</v>
      </c>
      <c r="E55" s="2059" t="s">
        <v>1735</v>
      </c>
      <c r="F55" s="2541">
        <f>'数据-取费表'!E29</f>
        <v>5.6000000000000001E-2</v>
      </c>
      <c r="G55" s="2542"/>
      <c r="H55" s="947"/>
      <c r="I55" s="2944"/>
      <c r="J55" s="2819"/>
      <c r="K55" s="2479">
        <v>2</v>
      </c>
      <c r="L55" s="3579" t="s">
        <v>1738</v>
      </c>
      <c r="M55" s="3579"/>
      <c r="N55" s="2481" t="e">
        <f t="shared" ref="N55:P56" ca="1" si="1">D57</f>
        <v>#DIV/0!</v>
      </c>
      <c r="O55" s="2479" t="str">
        <f t="shared" si="1"/>
        <v>销售额×税（费）率</v>
      </c>
      <c r="P55" s="2482">
        <f t="shared" si="1"/>
        <v>5.0000000000000001E-4</v>
      </c>
    </row>
    <row r="56" spans="1:18" ht="12" customHeight="1">
      <c r="A56" s="2049" t="s">
        <v>1739</v>
      </c>
      <c r="B56" s="3444" t="s">
        <v>2773</v>
      </c>
      <c r="C56" s="3483"/>
      <c r="D56" s="1070" t="e">
        <f ca="1">C70</f>
        <v>#DIV/0!</v>
      </c>
      <c r="E56" s="264" t="s">
        <v>1740</v>
      </c>
      <c r="F56" s="2541">
        <f>'数据-取费表'!E29</f>
        <v>5.6000000000000001E-2</v>
      </c>
      <c r="G56" s="2542"/>
      <c r="H56" s="2945"/>
      <c r="I56" s="2944"/>
      <c r="J56" s="2819"/>
      <c r="K56" s="2479">
        <v>3</v>
      </c>
      <c r="L56" s="3579" t="s">
        <v>1741</v>
      </c>
      <c r="M56" s="3579"/>
      <c r="N56" s="2481" t="e">
        <f t="shared" ca="1" si="1"/>
        <v>#DIV/0!</v>
      </c>
      <c r="O56" s="2479" t="str">
        <f t="shared" si="1"/>
        <v>增值额×税（费）率</v>
      </c>
      <c r="P56" s="2483" t="str">
        <f t="shared" si="1"/>
        <v>——</v>
      </c>
    </row>
    <row r="57" spans="1:18" ht="24" customHeight="1">
      <c r="A57" s="3442" t="s">
        <v>1742</v>
      </c>
      <c r="B57" s="3443"/>
      <c r="C57" s="3443"/>
      <c r="D57" s="12" t="e">
        <f ca="1">IF(H57="个人住宅",0,ROUND(D47*I57,0))</f>
        <v>#DIV/0!</v>
      </c>
      <c r="E57" s="2059" t="s">
        <v>1743</v>
      </c>
      <c r="F57" s="2541">
        <f>IF(H57="正常",I57,"免征")</f>
        <v>5.0000000000000001E-4</v>
      </c>
      <c r="G57" s="2542"/>
      <c r="H57" s="2533" t="s">
        <v>1744</v>
      </c>
      <c r="I57" s="74">
        <f>'数据-取费表'!E37</f>
        <v>5.0000000000000001E-4</v>
      </c>
      <c r="J57" s="2819"/>
      <c r="K57" s="2479" t="str">
        <f>IF(H61="非个人房产","",4)</f>
        <v/>
      </c>
      <c r="L57" s="3579" t="str">
        <f>IF(H61="非个人房产","——","个人所得税")</f>
        <v>——</v>
      </c>
      <c r="M57" s="3579"/>
      <c r="N57" s="2484" t="str">
        <f>D61</f>
        <v>——</v>
      </c>
      <c r="O57" s="2485" t="str">
        <f>E61</f>
        <v>——</v>
      </c>
      <c r="P57" s="2486" t="str">
        <f>F61</f>
        <v>——</v>
      </c>
    </row>
    <row r="58" spans="1:18" ht="24.75">
      <c r="A58" s="3442" t="s">
        <v>1745</v>
      </c>
      <c r="B58" s="3443"/>
      <c r="C58" s="3443"/>
      <c r="D58" s="12" t="e">
        <f ca="1">IF(H58="个人住宅",D59,D60)</f>
        <v>#DIV/0!</v>
      </c>
      <c r="E58" s="2059" t="s">
        <v>1746</v>
      </c>
      <c r="F58" s="2541" t="str">
        <f>IF(H58="正常",F60,"免征")</f>
        <v>——</v>
      </c>
      <c r="G58" s="2543" t="s">
        <v>1747</v>
      </c>
      <c r="H58" s="2544" t="s">
        <v>1744</v>
      </c>
      <c r="I58" s="2946"/>
      <c r="J58" s="2819"/>
      <c r="K58" s="2479" t="str">
        <f>IF(项目基本情况!I6="上海银行",IF(K57="",4,K57+1),"")</f>
        <v/>
      </c>
      <c r="L58" s="3581" t="str">
        <f>IF(项目基本情况!I6="上海银行","其他处置费用","")</f>
        <v/>
      </c>
      <c r="M58" s="3582"/>
      <c r="N58" s="2481" t="str">
        <f>IF(项目基本情况!I6="上海银行",N71,"")</f>
        <v/>
      </c>
      <c r="O58" s="3581" t="str">
        <f>IF(项目基本情况!I6="上海银行","包含处置中涉及的律师、诉讼、拍卖、评估等费用","")</f>
        <v/>
      </c>
      <c r="P58" s="3585"/>
    </row>
    <row r="59" spans="1:18" ht="12.75">
      <c r="A59" s="2049" t="s">
        <v>1722</v>
      </c>
      <c r="B59" s="3444" t="s">
        <v>1748</v>
      </c>
      <c r="C59" s="3483"/>
      <c r="D59" s="2534">
        <v>0</v>
      </c>
      <c r="E59" s="261" t="s">
        <v>1724</v>
      </c>
      <c r="F59" s="235"/>
      <c r="G59" s="2542"/>
      <c r="H59" s="2946"/>
      <c r="I59" s="2946"/>
      <c r="J59" s="2819"/>
      <c r="K59" s="3579">
        <f>IF(AND(K57="",K58=""),4,IF(项目基本情况!I6="上海银行",K58+1,K57+1))</f>
        <v>4</v>
      </c>
      <c r="L59" s="3579" t="s">
        <v>1749</v>
      </c>
      <c r="M59" s="2487" t="s">
        <v>1750</v>
      </c>
      <c r="N59" s="2488"/>
      <c r="O59" s="2489">
        <f ca="1">SUMIF(N54:N58,"&lt;9e307")</f>
        <v>0</v>
      </c>
      <c r="P59" s="2490"/>
      <c r="Q59" s="1276" t="e">
        <f ca="1">O59/N51</f>
        <v>#DIV/0!</v>
      </c>
    </row>
    <row r="60" spans="1:18" ht="24.75">
      <c r="A60" s="2049" t="s">
        <v>1733</v>
      </c>
      <c r="B60" s="3444" t="s">
        <v>1751</v>
      </c>
      <c r="C60" s="3482"/>
      <c r="D60" s="12" t="e">
        <f ca="1">IF(H60="转让取得",C83,C99)</f>
        <v>#DIV/0!</v>
      </c>
      <c r="E60" s="2059" t="s">
        <v>1746</v>
      </c>
      <c r="F60" s="235" t="s">
        <v>48</v>
      </c>
      <c r="G60" s="2542"/>
      <c r="H60" s="2544" t="s">
        <v>1752</v>
      </c>
      <c r="I60" s="2946"/>
      <c r="J60" s="2819"/>
      <c r="K60" s="3579"/>
      <c r="L60" s="3579"/>
      <c r="M60" s="2487" t="s">
        <v>1753</v>
      </c>
      <c r="N60" s="2491"/>
      <c r="O60" s="2492" t="str">
        <f ca="1">IF(H19="元",NUMBERSTRING(INT(O59),2)&amp;"元整",NUMBERSTRING(INT(O59*10000),2)&amp;"元整")</f>
        <v>零元整</v>
      </c>
      <c r="P60" s="2493"/>
    </row>
    <row r="61" spans="1:18" ht="24.75" thickBot="1">
      <c r="A61" s="3466" t="s">
        <v>1754</v>
      </c>
      <c r="B61" s="3467"/>
      <c r="C61" s="3467"/>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0" t="str">
        <f>IF(OR(H61="非个人房产",H61="个人住宅（满五唯一有凭证）"),"——",IF(H61="个人其他（有凭证）",20%,1%))</f>
        <v>——</v>
      </c>
      <c r="G61" s="2789" t="s">
        <v>2751</v>
      </c>
      <c r="H61" s="2063" t="s">
        <v>2761</v>
      </c>
      <c r="I61" s="2847" t="s">
        <v>2763</v>
      </c>
      <c r="J61" s="2819"/>
      <c r="K61" s="3577">
        <f>K59+1</f>
        <v>5</v>
      </c>
      <c r="L61" s="3579" t="s">
        <v>1755</v>
      </c>
      <c r="M61" s="2479" t="s">
        <v>1750</v>
      </c>
      <c r="N61" s="2494"/>
      <c r="O61" s="2495" t="e">
        <f ca="1">N51-O59</f>
        <v>#DIV/0!</v>
      </c>
      <c r="P61" s="2496"/>
      <c r="R61" s="659">
        <v>4690</v>
      </c>
    </row>
    <row r="62" spans="1:18" ht="12" customHeight="1">
      <c r="A62" s="1424"/>
      <c r="B62" s="2529"/>
      <c r="C62" s="2529"/>
      <c r="D62" s="2529"/>
      <c r="E62" s="1424"/>
      <c r="F62" s="2946"/>
      <c r="G62" s="2946"/>
      <c r="H62" s="2941"/>
      <c r="I62" s="947"/>
      <c r="J62" s="2819"/>
      <c r="K62" s="3578"/>
      <c r="L62" s="3579"/>
      <c r="M62" s="2487" t="s">
        <v>1753</v>
      </c>
      <c r="N62" s="2491"/>
      <c r="O62" s="2492" t="e">
        <f ca="1">IF(H19="元",NUMBERSTRING(INT(O61),2)&amp;"元整",NUMBERSTRING(INT(O61*10000),2)&amp;"元整")</f>
        <v>#DIV/0!</v>
      </c>
      <c r="P62" s="2493"/>
    </row>
    <row r="63" spans="1:18" ht="13.5" thickBot="1">
      <c r="A63" s="3580" t="s">
        <v>1756</v>
      </c>
      <c r="B63" s="3580"/>
      <c r="C63" s="3580"/>
      <c r="D63" s="3580"/>
      <c r="E63" s="3580"/>
      <c r="F63" s="2946"/>
      <c r="G63" s="2946"/>
      <c r="H63" s="2941"/>
      <c r="I63" s="947"/>
      <c r="J63" s="2811"/>
      <c r="K63" s="2479">
        <f>K61+1</f>
        <v>6</v>
      </c>
      <c r="L63" s="3579" t="s">
        <v>1757</v>
      </c>
      <c r="M63" s="3579"/>
      <c r="N63" s="2497"/>
      <c r="O63" s="2498" t="e">
        <f ca="1">IF(H19="元",ROUND(O61/项目基本情况!C12,0),ROUND(O61*10000/项目基本情况!C12,0))</f>
        <v>#DIV/0!</v>
      </c>
      <c r="P63" s="2499"/>
    </row>
    <row r="64" spans="1:18" ht="12.75">
      <c r="A64" s="3501" t="s">
        <v>1758</v>
      </c>
      <c r="B64" s="3502"/>
      <c r="C64" s="1574"/>
      <c r="D64" s="1574" t="s">
        <v>1759</v>
      </c>
      <c r="E64" s="45" t="s">
        <v>1760</v>
      </c>
      <c r="F64" s="2946"/>
      <c r="G64" s="2946"/>
      <c r="H64" s="2941"/>
      <c r="I64" s="947"/>
      <c r="J64" s="2811"/>
      <c r="K64" s="1278"/>
      <c r="L64" s="1278"/>
      <c r="M64" s="1278"/>
      <c r="N64" s="1278"/>
      <c r="O64" s="1278"/>
    </row>
    <row r="65" spans="1:36" ht="12.75">
      <c r="A65" s="46">
        <v>1</v>
      </c>
      <c r="B65" s="47" t="s">
        <v>1761</v>
      </c>
      <c r="C65" s="2751" t="e">
        <f ca="1">ROUND((C66+C67)/(1+'数据-取费表'!F30),0)</f>
        <v>#DIV/0!</v>
      </c>
      <c r="D65" s="47"/>
      <c r="E65" s="48"/>
      <c r="F65" s="2946"/>
      <c r="G65" s="2946"/>
      <c r="H65" s="2941"/>
      <c r="I65" s="947"/>
      <c r="J65" s="2811"/>
      <c r="K65" s="3587" t="s">
        <v>1762</v>
      </c>
      <c r="L65" s="1277" t="s">
        <v>1763</v>
      </c>
      <c r="M65" s="1277" t="e">
        <f ca="1">IF(N51&gt;10000,N51*0.5%,IF(AND(N51&gt;1000,N51&lt;=10000),N51*1%,IF(AND(N51&gt;100,N51&lt;=1000),N51*3%,IF(AND(N51&gt;10,N51&lt;=100),N51*5%,N51*8%))))</f>
        <v>#DIV/0!</v>
      </c>
      <c r="N65" s="235" t="e">
        <f ca="1">ROUND(M65,1)</f>
        <v>#DIV/0!</v>
      </c>
      <c r="O65" s="2500"/>
    </row>
    <row r="66" spans="1:36" ht="12.75">
      <c r="A66" s="49" t="s">
        <v>71</v>
      </c>
      <c r="B66" s="50" t="s">
        <v>1764</v>
      </c>
      <c r="C66" s="2752" t="e">
        <f ca="1">D47</f>
        <v>#DIV/0!</v>
      </c>
      <c r="D66" s="50" t="s">
        <v>41</v>
      </c>
      <c r="E66" s="52"/>
      <c r="F66" s="2946"/>
      <c r="G66" s="2946"/>
      <c r="H66" s="2941"/>
      <c r="I66" s="947"/>
      <c r="J66" s="2811"/>
      <c r="K66" s="3587"/>
      <c r="L66" s="1277" t="s">
        <v>1765</v>
      </c>
      <c r="M66" s="1277" t="e">
        <f ca="1">IF(N51&gt;2000,N51*0.5%,IF(AND(N51&gt;1000,N51&lt;=2000),N51*0.6%,IF(AND(N51&gt;500,N51&lt;=1000),N51*0.7%,IF(AND(N51&gt;200,N51&lt;=500),N51*0.8%,IF(AND(N51&gt;100,N51&lt;=200),N51*0.9%,IF(AND(N51&gt;50,N51&lt;=100),N51*1%,IF(AND(N51&gt;20,N51&lt;=50),N51*1.5%,IF(AND(N51&gt;10,N51&lt;=20),N51*2%,IF(AND(N51&gt;1,N51&lt;=10),N51*2.5%)))))))))</f>
        <v>#DIV/0!</v>
      </c>
      <c r="N66" s="235" t="e">
        <f t="shared" ref="N66:N67" ca="1" si="2">ROUND(M66,1)</f>
        <v>#DIV/0!</v>
      </c>
      <c r="O66" s="2500" t="s">
        <v>1766</v>
      </c>
    </row>
    <row r="67" spans="1:36" ht="12.75">
      <c r="A67" s="49" t="s">
        <v>72</v>
      </c>
      <c r="B67" s="50" t="s">
        <v>1767</v>
      </c>
      <c r="C67" s="2753"/>
      <c r="D67" s="50"/>
      <c r="E67" s="52"/>
      <c r="F67" s="2946"/>
      <c r="G67" s="2946"/>
      <c r="H67" s="2941"/>
      <c r="I67" s="947"/>
      <c r="J67" s="2811"/>
      <c r="K67" s="3587"/>
      <c r="L67" s="1277" t="s">
        <v>1768</v>
      </c>
      <c r="M67" s="1277" t="e">
        <f ca="1">IF(N51&gt;1000,N51*0.1%,IF(AND(N51&gt;500,N51&lt;=1000),N51*0.5%,IF(AND(N51&gt;50,N51&lt;=500),N51*1%,IF(AND(N51&gt;1,N51&lt;=50),N51*1.5%))))</f>
        <v>#DIV/0!</v>
      </c>
      <c r="N67" s="235" t="e">
        <f t="shared" ca="1" si="2"/>
        <v>#DIV/0!</v>
      </c>
      <c r="O67" s="2500" t="s">
        <v>1766</v>
      </c>
    </row>
    <row r="68" spans="1:36" ht="12.75">
      <c r="A68" s="53" t="s">
        <v>47</v>
      </c>
      <c r="B68" s="54" t="s">
        <v>1769</v>
      </c>
      <c r="C68" s="2754"/>
      <c r="D68" s="54" t="s">
        <v>41</v>
      </c>
      <c r="E68" s="1286" t="s">
        <v>1770</v>
      </c>
      <c r="F68" s="2946"/>
      <c r="G68" s="2946"/>
      <c r="H68" s="2941"/>
      <c r="I68" s="947"/>
      <c r="J68" s="2811"/>
      <c r="K68" s="3587"/>
      <c r="L68" s="1277" t="s">
        <v>1771</v>
      </c>
      <c r="M68" s="1277" t="e">
        <f ca="1">N51*0.5%</f>
        <v>#DIV/0!</v>
      </c>
      <c r="N68" s="235" t="e">
        <f ca="1">IF(M68&gt;0.5,0.5,ROUND(M68,0))</f>
        <v>#DIV/0!</v>
      </c>
      <c r="O68" s="2500" t="s">
        <v>1772</v>
      </c>
    </row>
    <row r="69" spans="1:36" ht="12.75">
      <c r="A69" s="53" t="s">
        <v>42</v>
      </c>
      <c r="B69" s="54" t="s">
        <v>1773</v>
      </c>
      <c r="C69" s="2755" t="e">
        <f ca="1">C65-C68</f>
        <v>#DIV/0!</v>
      </c>
      <c r="D69" s="50" t="s">
        <v>41</v>
      </c>
      <c r="E69" s="52"/>
      <c r="F69" s="2946"/>
      <c r="G69" s="2946"/>
      <c r="H69" s="2941"/>
      <c r="I69" s="947"/>
      <c r="J69" s="2811"/>
      <c r="K69" s="3587"/>
      <c r="L69" s="1277" t="s">
        <v>1774</v>
      </c>
      <c r="M69" s="1277" t="e">
        <f ca="1">IF(N51&gt;=10000,(8.25+(N51-10000)*0.01%),IF(AND(N51&gt;=8000,N51&lt;10000),(7.85+(N51-8000)*0.02%),IF(AND(N51&gt;=5000,N51&lt;8000),(6.65+(N51-5000)*0.04%),IF(AND(N51&gt;=2000,N51&lt;5000),(4.25+(PN51-2000)*0.08%),IF(AND(N51&gt;=1000,N51&lt;2000),(2.75+(N51-1000)*0.15%),IF(AND(N51&gt;=100,N51&lt;1000),(0.5+(N51-100)*0.25%),IF(AND(N51&gt;0,N51&lt;100),N51*0.5%)))))))</f>
        <v>#DIV/0!</v>
      </c>
      <c r="N69" s="235" t="e">
        <f ca="1">ROUND(M69*0.9,1)</f>
        <v>#DIV/0!</v>
      </c>
      <c r="O69" s="2500"/>
    </row>
    <row r="70" spans="1:36" ht="13.5" thickBot="1">
      <c r="A70" s="55" t="s">
        <v>46</v>
      </c>
      <c r="B70" s="56" t="s">
        <v>1775</v>
      </c>
      <c r="C70" s="2756" t="e">
        <f ca="1">IF(C69&lt;=0,0,ROUND(C69*D70,0))</f>
        <v>#DIV/0!</v>
      </c>
      <c r="D70" s="2209">
        <f>'数据-取费表'!E29</f>
        <v>5.6000000000000001E-2</v>
      </c>
      <c r="E70" s="57"/>
      <c r="F70" s="2946"/>
      <c r="G70" s="2946"/>
      <c r="H70" s="2941"/>
      <c r="I70" s="947"/>
      <c r="J70" s="2811"/>
      <c r="K70" s="3587"/>
      <c r="L70" s="1277" t="s">
        <v>1776</v>
      </c>
      <c r="M70" s="1277" t="e">
        <f ca="1">IF(N51&gt;10000,N51*0.5%,IF(AND(N51&gt;5000,N51&lt;=10000),N51*1%,IF(AND(N51&gt;1000,N51&lt;=5000),N51*2%,IF(AND(N51&gt;200,N51&lt;=1000),N51*3%,N51*5%))))</f>
        <v>#DIV/0!</v>
      </c>
      <c r="N70" s="235" t="e">
        <f ca="1">ROUND(M70,1)</f>
        <v>#DIV/0!</v>
      </c>
      <c r="O70" s="2500"/>
    </row>
    <row r="71" spans="1:36" s="1432" customFormat="1" ht="7.5" customHeight="1">
      <c r="A71" s="1444"/>
      <c r="B71" s="1445"/>
      <c r="C71" s="2757"/>
      <c r="D71" s="2252"/>
      <c r="E71" s="1448"/>
      <c r="F71" s="1424"/>
      <c r="G71" s="1424"/>
      <c r="H71" s="1448"/>
      <c r="I71" s="2529"/>
      <c r="J71" s="2811"/>
      <c r="K71" s="3587"/>
      <c r="L71" s="1277" t="s">
        <v>1777</v>
      </c>
      <c r="M71" s="1277"/>
      <c r="N71" s="235" t="e">
        <f ca="1">ROUND(SUM(N65:N70),0)</f>
        <v>#DIV/0!</v>
      </c>
      <c r="O71" s="2501"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74" t="s">
        <v>1778</v>
      </c>
      <c r="B72" s="3575"/>
      <c r="C72" s="3575"/>
      <c r="D72" s="3575"/>
      <c r="E72" s="3575"/>
      <c r="F72" s="3575"/>
      <c r="G72" s="3575"/>
      <c r="H72" s="3575"/>
      <c r="I72" s="1449"/>
      <c r="J72" s="2820"/>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501" t="s">
        <v>1758</v>
      </c>
      <c r="B73" s="3502"/>
      <c r="C73" s="1574"/>
      <c r="D73" s="1574" t="s">
        <v>1759</v>
      </c>
      <c r="E73" s="58" t="s">
        <v>1760</v>
      </c>
      <c r="F73" s="59"/>
      <c r="G73" s="59"/>
      <c r="H73" s="60"/>
      <c r="I73" s="2758"/>
      <c r="J73" s="2842"/>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1779</v>
      </c>
      <c r="C74" s="2755" t="e">
        <f ca="1">ROUND(D47/(1+'数据-取费表'!F30),0)</f>
        <v>#DIV/0!</v>
      </c>
      <c r="D74" s="50" t="s">
        <v>41</v>
      </c>
      <c r="E74" s="2055"/>
      <c r="F74" s="2056"/>
      <c r="G74" s="2056"/>
      <c r="H74" s="62"/>
      <c r="I74" s="2758"/>
      <c r="J74" s="2842"/>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1781</v>
      </c>
      <c r="C75" s="2755" t="e">
        <f ca="1">C76+C80</f>
        <v>#DIV/0!</v>
      </c>
      <c r="D75" s="50" t="s">
        <v>41</v>
      </c>
      <c r="E75" s="2055"/>
      <c r="F75" s="2056"/>
      <c r="G75" s="2056"/>
      <c r="H75" s="62"/>
      <c r="I75" s="2758"/>
      <c r="J75" s="2842"/>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2"/>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8"/>
      <c r="J77" s="2843"/>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444" t="s">
        <v>1788</v>
      </c>
      <c r="F78" s="3482"/>
      <c r="G78" s="3482"/>
      <c r="H78" s="3496"/>
      <c r="I78" s="2758"/>
      <c r="J78" s="2842"/>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3" t="e">
        <f ca="1">ROUND(D47*D80/(1+'数据-取费表'!F30),0)</f>
        <v>#DIV/0!</v>
      </c>
      <c r="D80" s="2764">
        <f>'数据-取费表'!E31</f>
        <v>6.000000000000001E-3</v>
      </c>
      <c r="E80" s="3476" t="s">
        <v>1793</v>
      </c>
      <c r="F80" s="3477"/>
      <c r="G80" s="3477"/>
      <c r="H80" s="3478"/>
      <c r="I80" s="609"/>
      <c r="J80" s="284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1794</v>
      </c>
      <c r="C81" s="2755" t="e">
        <f ca="1">C74-C75</f>
        <v>#DIV/0!</v>
      </c>
      <c r="D81" s="50" t="s">
        <v>41</v>
      </c>
      <c r="E81" s="2055"/>
      <c r="F81" s="2056"/>
      <c r="G81" s="2056"/>
      <c r="H81" s="62"/>
      <c r="I81" s="2758"/>
      <c r="J81" s="284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1795</v>
      </c>
      <c r="C82" s="2765" t="e">
        <f ca="1">IF(C81&lt;=0,0,C81/C75)</f>
        <v>#DIV/0!</v>
      </c>
      <c r="D82" s="50" t="s">
        <v>41</v>
      </c>
      <c r="E82" s="12" t="e">
        <f ca="1">IF(C82&gt;=200%,"增值额超过扣除项目金额200%",IF(C82&gt;=100%,"增值额超过扣除项目金额100%，未超过200%",IF(C82&gt;=50%,"增值额超过扣除项目金额50%，未超过100%",IF(C82&lt;50%,"增值额未超过扣除项目金额50%"))))</f>
        <v>#DIV/0!</v>
      </c>
      <c r="F82" s="2056"/>
      <c r="G82" s="2056"/>
      <c r="H82" s="62"/>
      <c r="I82" s="2758"/>
      <c r="J82" s="2842"/>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1796</v>
      </c>
      <c r="C83" s="2766" t="e">
        <f ca="1">ROUND(IF(C81&lt;=0,0,IF(C82&gt;=200%,C81*60%-C75*35%,IF(C82&gt;=100%,C81*50%-C75*15%,IF(C82&gt;=50%,C81*40%-C75*5%,IF(C82&lt;50%,C81*30%,0))))),0)</f>
        <v>#DIV/0!</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#DIV/0!</v>
      </c>
      <c r="F83" s="70"/>
      <c r="G83" s="70"/>
      <c r="H83" s="71"/>
      <c r="I83" s="2758"/>
      <c r="J83" s="284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74" t="s">
        <v>1797</v>
      </c>
      <c r="B85" s="3575"/>
      <c r="C85" s="3575"/>
      <c r="D85" s="3575"/>
      <c r="E85" s="3575"/>
      <c r="F85" s="3575"/>
      <c r="G85" s="3575"/>
      <c r="H85" s="3575"/>
      <c r="I85" s="608"/>
      <c r="J85" s="2843"/>
      <c r="K85" s="976">
        <f>项目基本情况!C12</f>
        <v>189.52</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501" t="s">
        <v>1758</v>
      </c>
      <c r="B86" s="3502"/>
      <c r="C86" s="1574"/>
      <c r="D86" s="1574" t="s">
        <v>1759</v>
      </c>
      <c r="E86" s="58" t="s">
        <v>1760</v>
      </c>
      <c r="F86" s="59"/>
      <c r="G86" s="59"/>
      <c r="H86" s="72"/>
      <c r="I86" s="608"/>
      <c r="J86" s="2843"/>
      <c r="K86" s="3331">
        <v>11899.22</v>
      </c>
      <c r="L86" s="3332">
        <f>收益法!C19/收益法!F7</f>
        <v>4379.9968341072181</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1779</v>
      </c>
      <c r="C87" s="2755" t="e">
        <f ca="1">ROUND(D47/(1+'数据-取费表'!F30),0)</f>
        <v>#DIV/0!</v>
      </c>
      <c r="D87" s="50" t="s">
        <v>41</v>
      </c>
      <c r="E87" s="2055"/>
      <c r="F87" s="2056"/>
      <c r="G87" s="2056"/>
      <c r="H87" s="73"/>
      <c r="I87" s="608"/>
      <c r="J87" s="284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1781</v>
      </c>
      <c r="C88" s="2755" t="e">
        <f ca="1">IF(H90="仅含出让金",C89+C92+C93+C94+C95+C96,C89+C93+C94+C95+C96)</f>
        <v>#DIV/0!</v>
      </c>
      <c r="D88" s="2767"/>
      <c r="E88" s="2055"/>
      <c r="F88" s="2056"/>
      <c r="G88" s="2056"/>
      <c r="H88" s="73"/>
      <c r="I88" s="608"/>
      <c r="J88" s="2843"/>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1798</v>
      </c>
      <c r="C89" s="2763">
        <f>C90+C91</f>
        <v>147</v>
      </c>
      <c r="D89" s="2764"/>
      <c r="E89" s="2052"/>
      <c r="F89" s="2053"/>
      <c r="G89" s="2053"/>
      <c r="H89" s="2054"/>
      <c r="I89" s="608"/>
      <c r="J89" s="284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1799</v>
      </c>
      <c r="C90" s="2768">
        <f>ROUND((K86-L86)*K85/10000,0)</f>
        <v>143</v>
      </c>
      <c r="D90" s="2764"/>
      <c r="E90" s="74" t="s">
        <v>1800</v>
      </c>
      <c r="F90" s="2053"/>
      <c r="G90" s="75" t="s">
        <v>1801</v>
      </c>
      <c r="H90" s="1455" t="s">
        <v>3054</v>
      </c>
      <c r="I90" s="608"/>
      <c r="J90" s="2843"/>
      <c r="K90" s="2938" t="s">
        <v>2755</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1789</v>
      </c>
      <c r="C91" s="2763">
        <f>ROUND(C90*D91,0)</f>
        <v>4</v>
      </c>
      <c r="D91" s="2764">
        <f>'数据-取费表'!E36+'数据-取费表'!E37</f>
        <v>3.0499999999999999E-2</v>
      </c>
      <c r="E91" s="74" t="s">
        <v>1802</v>
      </c>
      <c r="F91" s="2053"/>
      <c r="G91" s="2053"/>
      <c r="H91" s="2054"/>
      <c r="I91" s="608"/>
      <c r="J91" s="2843"/>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537" t="s">
        <v>2673</v>
      </c>
      <c r="H92" s="3576"/>
      <c r="I92" s="608"/>
      <c r="J92" s="2843"/>
      <c r="K92" s="2938" t="s">
        <v>2756</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3">
        <f>IF(H93="——",成本法!C33,I93)</f>
        <v>83</v>
      </c>
      <c r="D93" s="2764"/>
      <c r="E93" s="3476" t="s">
        <v>1805</v>
      </c>
      <c r="F93" s="3477"/>
      <c r="G93" s="3477"/>
      <c r="H93" s="1456" t="s">
        <v>1806</v>
      </c>
      <c r="I93" s="1457">
        <f>ROUND(K85*L86/10000,0)</f>
        <v>83</v>
      </c>
      <c r="J93" s="284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3">
        <f>ROUND((C89+C92+C93)*D94,0)</f>
        <v>23</v>
      </c>
      <c r="D94" s="2764">
        <v>0.1</v>
      </c>
      <c r="E94" s="3476" t="s">
        <v>1808</v>
      </c>
      <c r="F94" s="3477"/>
      <c r="G94" s="3477"/>
      <c r="H94" s="3478"/>
      <c r="I94" s="608"/>
      <c r="J94" s="2843"/>
      <c r="K94" s="2939" t="s">
        <v>2757</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3" t="e">
        <f ca="1">ROUND(D47*D95/(1+'数据-取费表'!F30),0)</f>
        <v>#DIV/0!</v>
      </c>
      <c r="D95" s="2764">
        <f>'数据-取费表'!E31</f>
        <v>6.000000000000001E-3</v>
      </c>
      <c r="E95" s="3476" t="s">
        <v>1793</v>
      </c>
      <c r="F95" s="3477"/>
      <c r="G95" s="3477"/>
      <c r="H95" s="3478"/>
      <c r="I95" s="608"/>
      <c r="J95" s="284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3">
        <f>ROUND((C89+C92+C93)*D96,0)</f>
        <v>46</v>
      </c>
      <c r="D96" s="2764">
        <v>0.2</v>
      </c>
      <c r="E96" s="3476" t="s">
        <v>1810</v>
      </c>
      <c r="F96" s="3477"/>
      <c r="G96" s="3477"/>
      <c r="H96" s="3478"/>
      <c r="I96" s="608"/>
      <c r="J96" s="284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1794</v>
      </c>
      <c r="C97" s="2755" t="e">
        <f ca="1">ROUND(C87-C88,0)</f>
        <v>#DIV/0!</v>
      </c>
      <c r="D97" s="50" t="s">
        <v>41</v>
      </c>
      <c r="E97" s="2055"/>
      <c r="F97" s="2056"/>
      <c r="G97" s="2056"/>
      <c r="H97" s="73"/>
      <c r="I97" s="608"/>
      <c r="J97" s="284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1795</v>
      </c>
      <c r="C98" s="2765" t="e">
        <f ca="1">IF(C97&lt;=0,0,C97/C88)</f>
        <v>#DIV/0!</v>
      </c>
      <c r="D98" s="50" t="s">
        <v>41</v>
      </c>
      <c r="E98" s="12" t="e">
        <f ca="1">IF(C98&gt;=200%,"增值额超过扣除项目金额200%",IF(C98&gt;=100%,"增值额超过扣除项目金额100%，未超过200%",IF(C98&gt;=50%,"增值额超过扣除项目金额50%，未超过100%",IF(C98&lt;50%,"增值额未超过扣除项目金额50%"))))</f>
        <v>#DIV/0!</v>
      </c>
      <c r="F98" s="2056"/>
      <c r="G98" s="2056"/>
      <c r="H98" s="73"/>
      <c r="I98" s="608"/>
      <c r="J98" s="2843"/>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1796</v>
      </c>
      <c r="C99" s="67" t="e">
        <f ca="1">ROUND(IF(C97&lt;=0,0,IF(C98&gt;=200%,C97*60%-C88*35%,IF(C98&gt;=100%,C97*50%-C88*15%,IF(C98&gt;=50%,C97*40%-C88*5%,IF(C98&lt;50%,C97*30%,0))))),0)</f>
        <v>#DIV/0!</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70"/>
      <c r="G99" s="70"/>
      <c r="H99" s="76"/>
      <c r="I99" s="9"/>
      <c r="J99" s="2822"/>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5">
      <c r="A101" s="3523" t="s">
        <v>1812</v>
      </c>
      <c r="B101" s="3524"/>
      <c r="C101" s="3524"/>
      <c r="D101" s="3525"/>
      <c r="E101" s="1428"/>
      <c r="F101" s="3571" t="s">
        <v>2714</v>
      </c>
      <c r="G101" s="3572"/>
      <c r="H101" s="3572"/>
      <c r="I101" s="3573"/>
      <c r="J101" s="2846"/>
    </row>
    <row r="102" spans="1:36" ht="15">
      <c r="A102" s="3535" t="s">
        <v>1814</v>
      </c>
      <c r="B102" s="3536"/>
      <c r="C102" s="2769" t="str">
        <f>C4</f>
        <v>比较法-办公</v>
      </c>
      <c r="D102" s="2770" t="str">
        <f>D4</f>
        <v>收益法</v>
      </c>
      <c r="E102" s="1428"/>
      <c r="F102" s="3447" t="s">
        <v>2715</v>
      </c>
      <c r="G102" s="3448"/>
      <c r="H102" s="3453" t="s">
        <v>2716</v>
      </c>
      <c r="I102" s="3446"/>
      <c r="J102" s="2826"/>
    </row>
    <row r="103" spans="1:36" ht="12.75">
      <c r="A103" s="3568" t="s">
        <v>2710</v>
      </c>
      <c r="B103" s="2274" t="str">
        <f>IF(H19="元","总价（元）","总价（万元）")</f>
        <v>总价（万元）</v>
      </c>
      <c r="C103" s="1277" t="e">
        <f ca="1">C19</f>
        <v>#DIV/0!</v>
      </c>
      <c r="D103" s="2773">
        <f ca="1">D19</f>
        <v>216</v>
      </c>
      <c r="E103" s="1428"/>
      <c r="F103" s="3569"/>
      <c r="G103" s="3570"/>
      <c r="H103" s="3445">
        <f>典型户型修正!B25</f>
        <v>476.94000000000005</v>
      </c>
      <c r="I103" s="3446"/>
      <c r="J103" s="2826"/>
    </row>
    <row r="104" spans="1:36" ht="12.75">
      <c r="A104" s="3568"/>
      <c r="B104" s="2274" t="s">
        <v>2711</v>
      </c>
      <c r="C104" s="2774" t="e">
        <f ca="1">C20</f>
        <v>#DIV/0!</v>
      </c>
      <c r="D104" s="2775">
        <f ca="1">D20</f>
        <v>11379</v>
      </c>
      <c r="E104" s="1428"/>
      <c r="F104" s="3457" t="s">
        <v>2717</v>
      </c>
      <c r="G104" s="3458"/>
      <c r="H104" s="2783" t="str">
        <f>C110</f>
        <v>总价（万元）</v>
      </c>
      <c r="I104" s="2784" t="e">
        <f ca="1">H125</f>
        <v>#DIV/0!</v>
      </c>
      <c r="J104" s="2826"/>
    </row>
    <row r="105" spans="1:36" ht="12.75">
      <c r="A105" s="3568" t="s">
        <v>2712</v>
      </c>
      <c r="B105" s="2212" t="str">
        <f>B103</f>
        <v>总价（万元）</v>
      </c>
      <c r="C105" s="12" t="e">
        <f ca="1">ROUND(IF('数据-取费表'!B4="总价",G19,IF(H19="元",G20*'数据-取费表'!E5,G20*'数据-取费表'!E5/10000)),0)</f>
        <v>#DIV/0!</v>
      </c>
      <c r="D105" s="2776"/>
      <c r="E105" s="1428"/>
      <c r="F105" s="3457"/>
      <c r="G105" s="3458"/>
      <c r="H105" s="2783" t="s">
        <v>2718</v>
      </c>
      <c r="I105" s="52" t="e">
        <f ca="1">I125</f>
        <v>#DIV/0!</v>
      </c>
      <c r="J105" s="2810"/>
    </row>
    <row r="106" spans="1:36" ht="12.75">
      <c r="A106" s="3568"/>
      <c r="B106" s="2274" t="s">
        <v>2711</v>
      </c>
      <c r="C106" s="1448" t="e">
        <f ca="1">ROUND(IF('数据-取费表'!B4="楼面单价",G20,IF(H19="元",G19/'数据-取费表'!E5,G19*10000/'数据-取费表'!E5)),0)</f>
        <v>#DIV/0!</v>
      </c>
      <c r="D106" s="2776"/>
      <c r="E106" s="1428"/>
      <c r="F106" s="3457"/>
      <c r="G106" s="3458"/>
      <c r="H106" s="3517"/>
      <c r="I106" s="3518"/>
      <c r="J106" s="2827"/>
    </row>
    <row r="107" spans="1:36" ht="12.75">
      <c r="A107" s="3562" t="s">
        <v>2713</v>
      </c>
      <c r="B107" s="2777" t="str">
        <f>B103</f>
        <v>总价（万元）</v>
      </c>
      <c r="C107" s="2778" t="e">
        <f ca="1">H125</f>
        <v>#DIV/0!</v>
      </c>
      <c r="D107" s="2779"/>
      <c r="E107" s="1428"/>
      <c r="F107" s="3521" t="s">
        <v>2719</v>
      </c>
      <c r="G107" s="3522"/>
      <c r="H107" s="2785" t="str">
        <f>C112</f>
        <v>总额（万元）</v>
      </c>
      <c r="I107" s="2784">
        <f>SUMIF(I108:I110,"&lt;9E307")</f>
        <v>0</v>
      </c>
      <c r="J107" s="2826"/>
    </row>
    <row r="108" spans="1:36" ht="15" thickBot="1">
      <c r="A108" s="3516"/>
      <c r="B108" s="2780" t="s">
        <v>2711</v>
      </c>
      <c r="C108" s="2781" t="e">
        <f ca="1">I125</f>
        <v>#DIV/0!</v>
      </c>
      <c r="D108" s="2782"/>
      <c r="E108" s="1428"/>
      <c r="F108" s="3459" t="s">
        <v>2720</v>
      </c>
      <c r="G108" s="3460"/>
      <c r="H108" s="2785" t="str">
        <f>C113</f>
        <v>总额（万元）</v>
      </c>
      <c r="I108" s="2786">
        <f>IF(D38="同一抵押权人同一抵押物续贷",C38&amp;"（续贷，未扣减，详见特别提示）",C38)</f>
        <v>0</v>
      </c>
      <c r="J108" s="2810"/>
      <c r="L108" s="1431" t="str">
        <f>IF(D125=0,"本次评估不存在"&amp;A125&amp;"。","本次评估"&amp;A125&amp;"为"&amp;D125&amp;"元人民币。")</f>
        <v>本次评估不存在北京市房地产。</v>
      </c>
      <c r="M108" s="1428"/>
      <c r="N108" s="1428"/>
      <c r="O108" s="1428"/>
      <c r="P108" s="1428"/>
      <c r="Q108" s="1428"/>
    </row>
    <row r="109" spans="1:36" ht="15">
      <c r="A109" s="3565" t="s">
        <v>1815</v>
      </c>
      <c r="B109" s="3566"/>
      <c r="C109" s="3566"/>
      <c r="D109" s="3567"/>
      <c r="E109" s="1428"/>
      <c r="F109" s="3459" t="s">
        <v>2721</v>
      </c>
      <c r="G109" s="3460"/>
      <c r="H109" s="2785" t="str">
        <f>C114</f>
        <v>总额（万元）</v>
      </c>
      <c r="I109" s="52">
        <f>C39</f>
        <v>0</v>
      </c>
      <c r="J109" s="2810"/>
    </row>
    <row r="110" spans="1:36" ht="12.75">
      <c r="A110" s="3457" t="s">
        <v>2724</v>
      </c>
      <c r="B110" s="3458"/>
      <c r="C110" s="2783" t="str">
        <f>B103</f>
        <v>总价（万元）</v>
      </c>
      <c r="D110" s="2784" t="e">
        <f ca="1">H125</f>
        <v>#DIV/0!</v>
      </c>
      <c r="E110" s="1428"/>
      <c r="F110" s="3459" t="s">
        <v>2722</v>
      </c>
      <c r="G110" s="3460"/>
      <c r="H110" s="2785" t="str">
        <f>C115</f>
        <v>总额（万元）</v>
      </c>
      <c r="I110" s="52">
        <f>C40</f>
        <v>0</v>
      </c>
      <c r="J110" s="2810"/>
    </row>
    <row r="111" spans="1:36" ht="12.75">
      <c r="A111" s="3457"/>
      <c r="B111" s="3458"/>
      <c r="C111" s="2783" t="s">
        <v>2725</v>
      </c>
      <c r="D111" s="52" t="e">
        <f ca="1">I125</f>
        <v>#DIV/0!</v>
      </c>
      <c r="E111" s="1428"/>
      <c r="F111" s="3457"/>
      <c r="G111" s="3458"/>
      <c r="H111" s="3519"/>
      <c r="I111" s="3520"/>
      <c r="J111" s="2828"/>
    </row>
    <row r="112" spans="1:36" ht="28.5" customHeight="1">
      <c r="A112" s="3464" t="s">
        <v>2719</v>
      </c>
      <c r="B112" s="3465"/>
      <c r="C112" s="2785" t="str">
        <f>IF(H19="元","总额（元）","总额（万元）")</f>
        <v>总额（万元）</v>
      </c>
      <c r="D112" s="2784">
        <f>IF(D38="正常操作",I108+I109+I110,I109+I110)</f>
        <v>0</v>
      </c>
      <c r="E112" s="1428"/>
      <c r="F112" s="3449" t="str">
        <f>IF(项目基本情况!F5="已注销","——","3.房地产抵押价值")</f>
        <v>3.房地产抵押价值</v>
      </c>
      <c r="G112" s="3450"/>
      <c r="H112" s="1448" t="str">
        <f>C116</f>
        <v>总价（万元）</v>
      </c>
      <c r="I112" s="2784" t="e">
        <f ca="1">IF(F112="——","——",I104-I107)</f>
        <v>#DIV/0!</v>
      </c>
      <c r="J112" s="2826"/>
    </row>
    <row r="113" spans="1:27" ht="12.75">
      <c r="A113" s="3459" t="s">
        <v>2726</v>
      </c>
      <c r="B113" s="3460"/>
      <c r="C113" s="2785" t="str">
        <f>C112</f>
        <v>总额（万元）</v>
      </c>
      <c r="D113" s="52">
        <f>IF(D38="同一抵押权人同一抵押物续贷",C38&amp;"（未扣减，详见特别提示）",C38)</f>
        <v>0</v>
      </c>
      <c r="E113" s="1428"/>
      <c r="F113" s="3548"/>
      <c r="G113" s="3549"/>
      <c r="H113" s="2783" t="s">
        <v>2718</v>
      </c>
      <c r="I113" s="2787" t="e">
        <f ca="1">D117</f>
        <v>#DIV/0!</v>
      </c>
      <c r="J113" s="2829"/>
    </row>
    <row r="114" spans="1:27" ht="12.75">
      <c r="A114" s="3459" t="s">
        <v>2727</v>
      </c>
      <c r="B114" s="3460"/>
      <c r="C114" s="2785" t="str">
        <f>C112</f>
        <v>总额（万元）</v>
      </c>
      <c r="D114" s="52">
        <f>C39</f>
        <v>0</v>
      </c>
      <c r="E114" s="1428"/>
      <c r="F114" s="3449" t="str">
        <f>IF(项目基本情况!F5="已注销及未注销","4.抵押担保权已注销时的房地产抵押价值",IF(项目基本情况!F5="已注销","3.抵押担保权已注销时的房地产抵押价值","——"))</f>
        <v>——</v>
      </c>
      <c r="G114" s="3450"/>
      <c r="H114" s="1448" t="str">
        <f>C118</f>
        <v>总价（万元）</v>
      </c>
      <c r="I114" s="2784" t="str">
        <f>IF(F114="——","——",I104-I109-I110)</f>
        <v>——</v>
      </c>
      <c r="J114" s="2826"/>
    </row>
    <row r="115" spans="1:27" ht="12.75">
      <c r="A115" s="3459" t="s">
        <v>2728</v>
      </c>
      <c r="B115" s="3460"/>
      <c r="C115" s="2785" t="str">
        <f>C112</f>
        <v>总额（万元）</v>
      </c>
      <c r="D115" s="52">
        <f>C40</f>
        <v>0</v>
      </c>
      <c r="E115" s="1428"/>
      <c r="F115" s="3548"/>
      <c r="G115" s="3549"/>
      <c r="H115" s="2783" t="s">
        <v>2718</v>
      </c>
      <c r="I115" s="52" t="str">
        <f>D119</f>
        <v>——</v>
      </c>
      <c r="J115" s="2810"/>
    </row>
    <row r="116" spans="1:27" ht="12.75">
      <c r="A116" s="3457" t="str">
        <f>IF(项目基本情况!F5="已注销","——","3.房地产抵押价值")</f>
        <v>3.房地产抵押价值</v>
      </c>
      <c r="B116" s="3458"/>
      <c r="C116" s="2783" t="str">
        <f>B103</f>
        <v>总价（万元）</v>
      </c>
      <c r="D116" s="2784" t="e">
        <f ca="1">IF(A116="——","——",D110-D112)</f>
        <v>#DIV/0!</v>
      </c>
      <c r="E116" s="1428"/>
      <c r="F116" s="3449" t="str">
        <f>IF(项目基本情况!G5="抵押净值",IF(OR(项目基本情况!F5="已注销",项目基本情况!F5="房地产抵押价值"),"4.抵押净值","5.抵押净值"),"——")</f>
        <v>——</v>
      </c>
      <c r="G116" s="3450"/>
      <c r="H116" s="2783" t="str">
        <f>C120</f>
        <v>总价（万元）</v>
      </c>
      <c r="I116" s="2784" t="str">
        <f>IF(F116="——","——",O61)</f>
        <v>——</v>
      </c>
      <c r="J116" s="2826"/>
    </row>
    <row r="117" spans="1:27" ht="13.5" thickBot="1">
      <c r="A117" s="3457"/>
      <c r="B117" s="3458"/>
      <c r="C117" s="2783" t="s">
        <v>2725</v>
      </c>
      <c r="D117" s="52" t="e">
        <f ca="1">ROUND(IF(D116=D110,D111,IF(H19="元",D116/B125,D116*10000/B125)),0)</f>
        <v>#DIV/0!</v>
      </c>
      <c r="E117" s="1428"/>
      <c r="F117" s="3451"/>
      <c r="G117" s="3452"/>
      <c r="H117" s="2788" t="s">
        <v>2718</v>
      </c>
      <c r="I117" s="2772" t="e">
        <f ca="1">D121</f>
        <v>#DIV/0!</v>
      </c>
      <c r="J117" s="2810"/>
    </row>
    <row r="118" spans="1:27" ht="15.75">
      <c r="A118" s="3457" t="str">
        <f>IF(项目基本情况!F5="已注销及未注销","4.抵押担保权已注销时的房地产抵押价值",IF(项目基本情况!F5="已注销","3.抵押担保权已注销时的房地产抵押价值","——"))</f>
        <v>——</v>
      </c>
      <c r="B118" s="3458"/>
      <c r="C118" s="2783" t="str">
        <f>B103</f>
        <v>总价（万元）</v>
      </c>
      <c r="D118" s="2784" t="str">
        <f>IF(A118="——","——",D110-D114-D115)</f>
        <v>——</v>
      </c>
      <c r="E118" s="1428"/>
      <c r="F118" s="3543"/>
      <c r="G118" s="3543"/>
      <c r="H118" s="3507"/>
      <c r="I118" s="3507"/>
      <c r="J118" s="2830"/>
      <c r="O118" s="32"/>
      <c r="P118" s="32"/>
    </row>
    <row r="119" spans="1:27" s="1278" customFormat="1" ht="12.75">
      <c r="A119" s="3457"/>
      <c r="B119" s="3458"/>
      <c r="C119" s="2783" t="s">
        <v>2725</v>
      </c>
      <c r="D119" s="52" t="str">
        <f>IF(A118="——","——",IF(H19="元",ROUND(D118/B125,0),ROUND(D118*10000/B125,0)))</f>
        <v>——</v>
      </c>
      <c r="E119" s="1428"/>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7" t="str">
        <f>IF(项目基本情况!G5="抵押净值",IF(OR(项目基本情况!F5="已注销",项目基本情况!F5="房地产抵押价值"),"4.抵押净值","5.抵押净值"),"——")</f>
        <v>——</v>
      </c>
      <c r="B120" s="3458"/>
      <c r="C120" s="2783" t="str">
        <f>B103</f>
        <v>总价（万元）</v>
      </c>
      <c r="D120" s="2784" t="str">
        <f>IF(A120="——","——",O61)</f>
        <v>——</v>
      </c>
      <c r="E120" s="1428"/>
      <c r="F120" s="1482"/>
      <c r="G120" s="1482"/>
      <c r="H120" s="1482"/>
      <c r="I120" s="1482"/>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62"/>
      <c r="B121" s="3463"/>
      <c r="C121" s="2788" t="s">
        <v>2725</v>
      </c>
      <c r="D121" s="2772" t="e">
        <f ca="1">IF(D120=D110,D111,IF(A120="——","——",O63))</f>
        <v>#DIV/0!</v>
      </c>
      <c r="E121" s="1428"/>
      <c r="F121" s="1482"/>
      <c r="G121" s="1482"/>
      <c r="H121" s="1482"/>
      <c r="I121" s="1482"/>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508" t="s">
        <v>1854</v>
      </c>
      <c r="B122" s="3509"/>
      <c r="C122" s="3509"/>
      <c r="D122" s="3509"/>
      <c r="E122" s="3509"/>
      <c r="F122" s="3509"/>
      <c r="G122" s="3509"/>
      <c r="H122" s="3509"/>
      <c r="I122" s="3509"/>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2" t="s">
        <v>2729</v>
      </c>
      <c r="B123" s="3468" t="s">
        <v>2730</v>
      </c>
      <c r="C123" s="3468" t="s">
        <v>2736</v>
      </c>
      <c r="D123" s="3530" t="s">
        <v>2731</v>
      </c>
      <c r="E123" s="3531"/>
      <c r="F123" s="3443" t="s">
        <v>2737</v>
      </c>
      <c r="G123" s="3443"/>
      <c r="H123" s="3443" t="s">
        <v>2732</v>
      </c>
      <c r="I123" s="3529"/>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2"/>
      <c r="B124" s="3469"/>
      <c r="C124" s="3469"/>
      <c r="D124" s="2059" t="s">
        <v>2733</v>
      </c>
      <c r="E124" s="2059" t="s">
        <v>2738</v>
      </c>
      <c r="F124" s="2059" t="s">
        <v>2733</v>
      </c>
      <c r="G124" s="2059" t="s">
        <v>2734</v>
      </c>
      <c r="H124" s="2059" t="s">
        <v>2733</v>
      </c>
      <c r="I124" s="52" t="s">
        <v>2734</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476.94000000000005</v>
      </c>
      <c r="C125" s="1423"/>
      <c r="D125" s="2059">
        <f>C36</f>
        <v>0</v>
      </c>
      <c r="E125" s="2059">
        <f>ROUND(IF(H19="元",D125/B125,D125*10000/B125),0)</f>
        <v>0</v>
      </c>
      <c r="F125" s="2059">
        <f>C37</f>
        <v>0</v>
      </c>
      <c r="G125" s="2059">
        <f>ROUND(IF(H19="元",F125/B125,F125*10000/B125),0)</f>
        <v>0</v>
      </c>
      <c r="H125" s="2059" t="e">
        <f ca="1">C34</f>
        <v>#DIV/0!</v>
      </c>
      <c r="I125" s="52" t="e">
        <f ca="1">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2" t="s">
        <v>2735</v>
      </c>
      <c r="B126" s="3443"/>
      <c r="C126" s="3443"/>
      <c r="D126" s="3470" t="str">
        <f>IF(H19="元",NUMBERSTRING(INT(D125),2)&amp;"元整",NUMBERSTRING(INT(D125*10000),2)&amp;"元整")</f>
        <v>零元整</v>
      </c>
      <c r="E126" s="3513"/>
      <c r="F126" s="3470" t="str">
        <f>IF(H19="元",NUMBERSTRING(INT(F125),2)&amp;"元整",NUMBERSTRING(INT(F125*10000),2)&amp;"元整")</f>
        <v>零元整</v>
      </c>
      <c r="G126" s="3513"/>
      <c r="H126" s="3470" t="e">
        <f ca="1">IF(H19="元",NUMBERSTRING(INT(H125),2)&amp;"元整",NUMBERSTRING(INT(H125*10000),2)&amp;"元整")</f>
        <v>#DIV/0!</v>
      </c>
      <c r="I126" s="3471"/>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47" t="str">
        <f>IF(项目基本情况!D5="房地产市场价值","——",MID(A112,3,LEN(A112)-2))</f>
        <v>估价师所知悉的法定优先受偿款</v>
      </c>
      <c r="B127" s="3453"/>
      <c r="C127" s="3448"/>
      <c r="D127" s="3445">
        <f>I107</f>
        <v>0</v>
      </c>
      <c r="E127" s="3453"/>
      <c r="F127" s="3453"/>
      <c r="G127" s="3453"/>
      <c r="H127" s="3453"/>
      <c r="I127" s="3446"/>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14" t="s">
        <v>2735</v>
      </c>
      <c r="B128" s="3482"/>
      <c r="C128" s="3483"/>
      <c r="D128" s="3454">
        <f>H111</f>
        <v>0</v>
      </c>
      <c r="E128" s="3455"/>
      <c r="F128" s="3455"/>
      <c r="G128" s="3455"/>
      <c r="H128" s="3455"/>
      <c r="I128" s="3456"/>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7" t="str">
        <f>IF(项目基本情况!D5="房地产市场价值","——",MID(A116,3,LEN(A116)-2))</f>
        <v>房地产抵押价值</v>
      </c>
      <c r="B129" s="3458"/>
      <c r="C129" s="3458"/>
      <c r="D129" s="3445" t="e">
        <f ca="1">I112</f>
        <v>#DIV/0!</v>
      </c>
      <c r="E129" s="3453"/>
      <c r="F129" s="3453"/>
      <c r="G129" s="3453"/>
      <c r="H129" s="3453"/>
      <c r="I129" s="3446"/>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2" t="s">
        <v>2735</v>
      </c>
      <c r="B130" s="3443"/>
      <c r="C130" s="3443"/>
      <c r="D130" s="3454" t="e">
        <f ca="1">I113</f>
        <v>#DIV/0!</v>
      </c>
      <c r="E130" s="3455"/>
      <c r="F130" s="3455"/>
      <c r="G130" s="3455"/>
      <c r="H130" s="3455"/>
      <c r="I130" s="3456"/>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7" t="str">
        <f>IF(项目基本情况!D5="房地产市场价值","——",MID(A118,3,LEN(A118)-2))</f>
        <v/>
      </c>
      <c r="B131" s="3458"/>
      <c r="C131" s="3458"/>
      <c r="D131" s="3490" t="str">
        <f>I114</f>
        <v>——</v>
      </c>
      <c r="E131" s="3491"/>
      <c r="F131" s="3491"/>
      <c r="G131" s="3491"/>
      <c r="H131" s="3491"/>
      <c r="I131" s="3542"/>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2" t="s">
        <v>2735</v>
      </c>
      <c r="B132" s="3443"/>
      <c r="C132" s="3444"/>
      <c r="D132" s="3506" t="str">
        <f>I115</f>
        <v>——</v>
      </c>
      <c r="E132" s="3506"/>
      <c r="F132" s="3506"/>
      <c r="G132" s="3506"/>
      <c r="H132" s="3506"/>
      <c r="I132" s="3506"/>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7" t="str">
        <f>IF(项目基本情况!D5="房地产市场价值","——",MID(F116,3,LEN(F116)-2))</f>
        <v/>
      </c>
      <c r="B133" s="3458"/>
      <c r="C133" s="3445"/>
      <c r="D133" s="3461" t="str">
        <f>I116</f>
        <v>——</v>
      </c>
      <c r="E133" s="3461"/>
      <c r="F133" s="3461"/>
      <c r="G133" s="3461"/>
      <c r="H133" s="3461"/>
      <c r="I133" s="3461"/>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66" t="s">
        <v>2735</v>
      </c>
      <c r="B134" s="3467"/>
      <c r="C134" s="3467"/>
      <c r="D134" s="3472">
        <f>H118</f>
        <v>0</v>
      </c>
      <c r="E134" s="3473"/>
      <c r="F134" s="3473"/>
      <c r="G134" s="3473"/>
      <c r="H134" s="3473"/>
      <c r="I134" s="3474"/>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40" t="str">
        <f>IF(B33="总价","（以上估价结果中楼面单价为总价除以建筑面积得出）","（以上估价结果中总价为楼面单价乘以建筑面积得出）")</f>
        <v>（以上估价结果中总价为楼面单价乘以建筑面积得出）</v>
      </c>
      <c r="B136" s="3440"/>
      <c r="C136" s="3440"/>
      <c r="D136" s="3440"/>
      <c r="E136" s="3440"/>
      <c r="F136" s="3440"/>
      <c r="G136" s="3440"/>
      <c r="H136" s="3440"/>
      <c r="I136" s="3440"/>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7"/>
      <c r="K520" s="659"/>
      <c r="L520" s="659"/>
      <c r="M520" s="659"/>
      <c r="N520" s="659"/>
      <c r="O520" s="659"/>
      <c r="P520" s="659"/>
      <c r="Q520" s="659"/>
      <c r="R520" s="659"/>
      <c r="S520" s="659"/>
      <c r="T520" s="659"/>
      <c r="U520" s="659"/>
      <c r="V520" s="659"/>
      <c r="W520" s="659"/>
      <c r="X520" s="659"/>
      <c r="Y520" s="659"/>
      <c r="Z520" s="659"/>
      <c r="AA520" s="659"/>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189.52</v>
      </c>
      <c r="E1" s="2067"/>
      <c r="F1" s="2067"/>
      <c r="G1" s="2067"/>
      <c r="H1" s="2067"/>
      <c r="I1" s="2067"/>
      <c r="J1" s="2067"/>
      <c r="K1" s="3014"/>
      <c r="L1" s="2068" t="s">
        <v>2439</v>
      </c>
      <c r="M1" s="2069">
        <f>SUMPRODUCT((区片价!B5:B9=I2)*(区片价!C3:F3=E2)*(区片价!C5:F9))</f>
        <v>0</v>
      </c>
      <c r="N1" s="2070">
        <f>SUMPRODUCT((因素修正幅度!B5:B9=I2)*(因素修正幅度!C3:F3=E2)*(因素修正幅度!C5:F9))</f>
        <v>0</v>
      </c>
      <c r="O1" s="3014"/>
      <c r="P1" s="3014"/>
      <c r="Q1" s="3014"/>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0</v>
      </c>
      <c r="C2" s="2075" t="s">
        <v>2446</v>
      </c>
      <c r="D2" s="1569" t="s">
        <v>2447</v>
      </c>
      <c r="E2" s="2076" t="s">
        <v>3080</v>
      </c>
      <c r="F2" s="1569" t="s">
        <v>2448</v>
      </c>
      <c r="G2" s="2077" t="str">
        <f>项目基本情况!F9</f>
        <v>四级</v>
      </c>
      <c r="H2" s="1570" t="s">
        <v>2449</v>
      </c>
      <c r="I2" s="2077" t="str">
        <f>项目基本情况!F10</f>
        <v>Ⅳ-09</v>
      </c>
      <c r="J2" s="2078"/>
      <c r="K2" s="3014"/>
      <c r="L2" s="2079" t="s">
        <v>2450</v>
      </c>
      <c r="M2" s="2080">
        <f>SUMPRODUCT((区片价!B10:B28=I2)*(区片价!C3:F3=E2)*(区片价!C10:F28))</f>
        <v>0</v>
      </c>
      <c r="N2" s="2081">
        <f>SUMPRODUCT((因素修正幅度!B10:B28=I2)*(因素修正幅度!C3:F3=E2)*(因素修正幅度!C10:F28))</f>
        <v>0</v>
      </c>
      <c r="O2" s="3014"/>
      <c r="P2" s="3014"/>
      <c r="Q2" s="3014"/>
      <c r="R2" s="2071">
        <v>1</v>
      </c>
      <c r="S2" s="2071">
        <f>ROUND(IF(G3&gt;1,IF(R2&lt;7,SUMPRODUCT((B93:B98=R2)*(C92:N92=G2)*(C93:N98)),SUMIF(C92:N92,G2,C100:N100)),IF(R2&lt;7,SUMPRODUCT((B102:B107=R2)*(C92:N92=G2)*(C102:N107)),SUMIF(C92:N92,G2,C109:N109))),4)</f>
        <v>1.8629</v>
      </c>
      <c r="T2" s="2071">
        <f>ROUND($C$5*$C$18*$C$19*$C$20*S2*$C$24,0)</f>
        <v>0</v>
      </c>
      <c r="U2" s="2082"/>
      <c r="V2" s="2071">
        <f t="shared" ref="V2:V8" si="0">ROUND(T2*U2,0)</f>
        <v>0</v>
      </c>
      <c r="W2" s="2072"/>
      <c r="X2" s="2072"/>
      <c r="Y2" s="2072"/>
      <c r="Z2" s="2072"/>
      <c r="AA2" s="2072"/>
      <c r="AB2" s="2072"/>
      <c r="AC2" s="2072"/>
      <c r="AD2" s="2073"/>
      <c r="AE2" s="2073"/>
      <c r="AF2" s="2073"/>
      <c r="AG2" s="2073"/>
      <c r="AH2" s="2073"/>
      <c r="AI2" s="2073"/>
      <c r="AJ2" s="2074"/>
    </row>
    <row r="3" spans="1:36" ht="15.75">
      <c r="A3" s="1626" t="s">
        <v>2451</v>
      </c>
      <c r="B3" s="1626">
        <f>ROUND(B2/D1,0)</f>
        <v>0</v>
      </c>
      <c r="C3" s="2075" t="s">
        <v>2452</v>
      </c>
      <c r="D3" s="1569" t="s">
        <v>2453</v>
      </c>
      <c r="E3" s="2076" t="s">
        <v>3082</v>
      </c>
      <c r="F3" s="1571" t="s">
        <v>2454</v>
      </c>
      <c r="G3" s="2083">
        <f>项目基本情况!C15</f>
        <v>2</v>
      </c>
      <c r="H3" s="50" t="s">
        <v>2455</v>
      </c>
      <c r="I3" s="2084">
        <v>1</v>
      </c>
      <c r="J3" s="2078" t="s">
        <v>2456</v>
      </c>
      <c r="K3" s="3014"/>
      <c r="L3" s="2079" t="s">
        <v>2457</v>
      </c>
      <c r="M3" s="2080">
        <f>SUMPRODUCT((区片价!B29:B48=I2)*(区片价!C3:F3=E2)*(区片价!C29:F48))</f>
        <v>0</v>
      </c>
      <c r="N3" s="2081">
        <f>SUMPRODUCT((因素修正幅度!B29:B48=I2)*(因素修正幅度!C3:F3=E2)*(因素修正幅度!C29:F48))</f>
        <v>0</v>
      </c>
      <c r="O3" s="3014"/>
      <c r="P3" s="3014"/>
      <c r="Q3" s="3014"/>
      <c r="R3" s="2071">
        <v>2</v>
      </c>
      <c r="S3" s="2071">
        <f>ROUND(IF(G3&gt;1,IF(R3&lt;7,SUMPRODUCT((B93:B98=R3)*(C92:N92=G2)*(C93:N98)),SUMIF(C92:N92,G2,C100:N100)),IF(R3&lt;7,SUMPRODUCT((B102:B107=R3)*(C92:N92=G2)*(C102:N107)),SUMIF(C92:N92,G2,C109:N109))),4)</f>
        <v>1.3371999999999999</v>
      </c>
      <c r="T3" s="2071">
        <f t="shared" ref="T3:T16" si="1">ROUND($C$5*$C$18*$C$19*$C$20*S3*$C$24,0)</f>
        <v>0</v>
      </c>
      <c r="U3" s="2082"/>
      <c r="V3" s="2071">
        <f t="shared" si="0"/>
        <v>0</v>
      </c>
      <c r="W3" s="2072"/>
      <c r="X3" s="2072"/>
      <c r="Y3" s="2072"/>
      <c r="Z3" s="2072"/>
      <c r="AA3" s="2072"/>
      <c r="AB3" s="2072"/>
      <c r="AC3" s="2072"/>
      <c r="AD3" s="2073"/>
      <c r="AE3" s="2073"/>
      <c r="AF3" s="2073"/>
      <c r="AG3" s="2073"/>
      <c r="AH3" s="2073"/>
      <c r="AI3" s="2073"/>
      <c r="AJ3" s="2074"/>
    </row>
    <row r="4" spans="1:36" ht="15.75">
      <c r="A4" s="3593"/>
      <c r="B4" s="3594"/>
      <c r="C4" s="3594"/>
      <c r="D4" s="3595"/>
      <c r="E4" s="3595"/>
      <c r="F4" s="3595"/>
      <c r="G4" s="3595"/>
      <c r="H4" s="3595"/>
      <c r="I4" s="3595"/>
      <c r="J4" s="3596"/>
      <c r="K4" s="3014"/>
      <c r="L4" s="2079" t="s">
        <v>2458</v>
      </c>
      <c r="M4" s="2080">
        <f>SUMPRODUCT((区片价!B49:B75=I2)*(区片价!C3:F3=E2)*(区片价!C49:F75))</f>
        <v>16160</v>
      </c>
      <c r="N4" s="2081">
        <f>SUMPRODUCT((因素修正幅度!B49:B75=I2)*(因素修正幅度!C3:F3=E2)*(因素修正幅度!C49:F75))</f>
        <v>9.7000000000000003E-2</v>
      </c>
      <c r="O4" s="3014"/>
      <c r="P4" s="3014"/>
      <c r="Q4" s="3014"/>
      <c r="R4" s="2071">
        <v>3</v>
      </c>
      <c r="S4" s="2071">
        <f>ROUND(IF(G3&gt;1,IF(R4&lt;7,SUMPRODUCT((B93:B98=R4)*(C92:N92=G2)*(C93:N98)),SUMIF(C92:N92,G2,C100:N100)),IF(R4&lt;7,SUMPRODUCT((B102:B107=R4)*(C92:N92=G2)*(C102:N107)),SUMIF(C92:N92,G2,C109:N109))),4)</f>
        <v>1.0788</v>
      </c>
      <c r="T4" s="2071">
        <f t="shared" si="1"/>
        <v>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16160</v>
      </c>
      <c r="D5" s="2086">
        <f>ROUND(C6+C16,0)</f>
        <v>16160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4"/>
      <c r="P5" s="3014"/>
      <c r="Q5" s="3014"/>
      <c r="R5" s="2071">
        <v>4</v>
      </c>
      <c r="S5" s="2071">
        <f>ROUND(IF(G3&gt;1,IF(R5&lt;7,SUMPRODUCT((B93:B98=R5)*(C92:N92=G2)*(C93:N98)),SUMIF(C92:N92,G2,C100:N100)),IF(R5&lt;7,SUMPRODUCT((B102:B107=R5)*(C92:N92=G2)*(C102:N107)),SUMIF(C92:N92,G2,C109:N109))),4)</f>
        <v>0.86560000000000004</v>
      </c>
      <c r="T5" s="2071">
        <f t="shared" si="1"/>
        <v>0</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16160</v>
      </c>
      <c r="D6" s="2095" t="s">
        <v>2463</v>
      </c>
      <c r="E6" s="1573"/>
      <c r="F6" s="1573"/>
      <c r="G6" s="2096"/>
      <c r="H6" s="2096"/>
      <c r="I6" s="2096"/>
      <c r="J6" s="2097"/>
      <c r="K6" s="3015"/>
      <c r="L6" s="2079" t="s">
        <v>2464</v>
      </c>
      <c r="M6" s="2080">
        <f>SUMPRODUCT((区片价!B110:B157=I2)*(区片价!C3:F3=E2)*(区片价!C110:F157))</f>
        <v>0</v>
      </c>
      <c r="N6" s="2081">
        <f>SUMPRODUCT((因素修正幅度!B110:B157=I2)*(因素修正幅度!C3:F3=E2)*(因素修正幅度!C110:F157))</f>
        <v>0</v>
      </c>
      <c r="O6" s="3014"/>
      <c r="P6" s="3014"/>
      <c r="Q6" s="3014"/>
      <c r="R6" s="2071">
        <v>5</v>
      </c>
      <c r="S6" s="2071">
        <f>ROUND(IF(G3&gt;1,IF(R6&lt;7,SUMPRODUCT((B93:B98=R6)*(C92:N92=G2)*(C93:N98)),SUMIF(C92:N92,G2,C100:N100)),IF(R6&lt;7,SUMPRODUCT((B102:B107=R6)*(C92:N92=G2)*(C102:N107)),SUMIF(C92:N92,G2,C109:N109))),4)</f>
        <v>0.73709999999999998</v>
      </c>
      <c r="T6" s="2071">
        <f t="shared" si="1"/>
        <v>0</v>
      </c>
      <c r="U6" s="2082"/>
      <c r="V6" s="2071">
        <f t="shared" si="0"/>
        <v>0</v>
      </c>
      <c r="W6" s="2072"/>
      <c r="X6" s="2072"/>
      <c r="Y6" s="2072"/>
      <c r="Z6" s="2072"/>
      <c r="AA6" s="2072"/>
      <c r="AB6" s="2072"/>
      <c r="AC6" s="2089"/>
      <c r="AD6" s="2090"/>
      <c r="AE6" s="2090"/>
      <c r="AF6" s="2090"/>
      <c r="AG6" s="2090"/>
      <c r="AH6" s="2090"/>
      <c r="AI6" s="2090"/>
      <c r="AJ6" s="2091"/>
    </row>
    <row r="7" spans="1:36" ht="24">
      <c r="A7" s="3597" t="str">
        <f>IF(E2="商业",IF(C8="不临58条商业街","",2),"")</f>
        <v/>
      </c>
      <c r="B7" s="1574" t="s">
        <v>2465</v>
      </c>
      <c r="C7" s="2098">
        <f>IF(C8="不临58条商业街",1,ROUND(1+(1.6*E8+1.2*E9+0.8*E10+0.4*E11)*C9,4))</f>
        <v>1</v>
      </c>
      <c r="D7" s="2099" t="s">
        <v>2466</v>
      </c>
      <c r="E7" s="2100"/>
      <c r="F7" s="2101"/>
      <c r="G7" s="2101"/>
      <c r="H7" s="2101"/>
      <c r="I7" s="2101"/>
      <c r="J7" s="2102"/>
      <c r="K7" s="3015"/>
      <c r="L7" s="2079" t="s">
        <v>2467</v>
      </c>
      <c r="M7" s="2080">
        <f>SUMPRODUCT((区片价!B158:B205=I2)*(区片价!C3:F3=E2)*(区片价!C158:F205))</f>
        <v>0</v>
      </c>
      <c r="N7" s="2081">
        <f>SUMPRODUCT((因素修正幅度!B158:B205=I2)*(因素修正幅度!C3:F3=E2)*(因素修正幅度!C158:F205))</f>
        <v>0</v>
      </c>
      <c r="O7" s="3014"/>
      <c r="P7" s="3014"/>
      <c r="Q7" s="3014"/>
      <c r="R7" s="2071">
        <v>6</v>
      </c>
      <c r="S7" s="2071">
        <f>ROUND(IF(G3&gt;1,IF(R7&lt;7,SUMPRODUCT((B93:B98=R7)*(C92:N92=G2)*(C93:N98)),SUMIF(C92:N92,G2,C100:N100)),IF(R7&lt;7,SUMPRODUCT((B102:B107=R7)*(C92:N92=G2)*(C102:N107)),SUMIF(C92:N92,G2,C109:N109))),4)</f>
        <v>0.6482</v>
      </c>
      <c r="T7" s="2071">
        <f t="shared" si="1"/>
        <v>0</v>
      </c>
      <c r="U7" s="2082"/>
      <c r="V7" s="2071">
        <f t="shared" si="0"/>
        <v>0</v>
      </c>
      <c r="W7" s="2103" t="s">
        <v>2468</v>
      </c>
      <c r="X7" s="2104" t="str">
        <f>G2</f>
        <v>四级</v>
      </c>
      <c r="Y7" s="2104" t="s">
        <v>2469</v>
      </c>
      <c r="Z7" s="2105">
        <f>G3</f>
        <v>2</v>
      </c>
      <c r="AA7" s="2072"/>
      <c r="AB7" s="2072"/>
      <c r="AC7" s="2072"/>
      <c r="AD7" s="2073"/>
      <c r="AE7" s="2073"/>
      <c r="AF7" s="2073"/>
      <c r="AG7" s="2073"/>
      <c r="AH7" s="2073"/>
      <c r="AI7" s="2073"/>
      <c r="AJ7" s="2074"/>
    </row>
    <row r="8" spans="1:36" ht="15">
      <c r="A8" s="3598"/>
      <c r="B8" s="50" t="s">
        <v>2470</v>
      </c>
      <c r="C8" s="2106" t="s">
        <v>3090</v>
      </c>
      <c r="D8" s="65" t="s">
        <v>89</v>
      </c>
      <c r="E8" s="2107" t="e">
        <f>ROUND(C11/E7,4)</f>
        <v>#DIV/0!</v>
      </c>
      <c r="F8" s="2108" t="s">
        <v>2471</v>
      </c>
      <c r="G8" s="2109"/>
      <c r="H8" s="2109"/>
      <c r="I8" s="2109"/>
      <c r="J8" s="2110"/>
      <c r="K8" s="3014"/>
      <c r="L8" s="2079" t="s">
        <v>2472</v>
      </c>
      <c r="M8" s="2080">
        <f>SUMPRODUCT((区片价!B206:B244=I2)*(区片价!C3:F3=E2)*(区片价!C206:F244))</f>
        <v>0</v>
      </c>
      <c r="N8" s="2081">
        <f>SUMPRODUCT((因素修正幅度!B206:B244=I2)*(因素修正幅度!C3:F3=E2)*(因素修正幅度!C206:F244))</f>
        <v>0</v>
      </c>
      <c r="O8" s="3014"/>
      <c r="P8" s="3014"/>
      <c r="Q8" s="3014"/>
      <c r="R8" s="2071">
        <v>7</v>
      </c>
      <c r="S8" s="2082"/>
      <c r="T8" s="2071">
        <f t="shared" si="1"/>
        <v>0</v>
      </c>
      <c r="U8" s="2082"/>
      <c r="V8" s="2071">
        <f t="shared" si="0"/>
        <v>0</v>
      </c>
      <c r="W8" s="3591" t="s">
        <v>2473</v>
      </c>
      <c r="X8" s="3592"/>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598"/>
      <c r="B9" s="50" t="s">
        <v>2486</v>
      </c>
      <c r="C9" s="2112">
        <f>SUMIF(修正!C59:C119,C8,修正!E59:E119)</f>
        <v>0</v>
      </c>
      <c r="D9" s="50" t="s">
        <v>90</v>
      </c>
      <c r="E9" s="50" t="e">
        <f>ROUND(C11/E7,4)</f>
        <v>#DIV/0!</v>
      </c>
      <c r="F9" s="2108" t="s">
        <v>2487</v>
      </c>
      <c r="G9" s="2109"/>
      <c r="H9" s="2109"/>
      <c r="I9" s="2109"/>
      <c r="J9" s="2110"/>
      <c r="K9" s="3014"/>
      <c r="L9" s="2079" t="s">
        <v>2488</v>
      </c>
      <c r="M9" s="2080">
        <f>SUMPRODUCT((区片价!B245:B289=I2)*(区片价!C3:F3=E2)*(区片价!C245:F289))</f>
        <v>0</v>
      </c>
      <c r="N9" s="2081">
        <f>SUMPRODUCT((因素修正幅度!B245:B289=I2)*(因素修正幅度!C3:F3=E2)*(因素修正幅度!C245:F289))</f>
        <v>0</v>
      </c>
      <c r="O9" s="3014"/>
      <c r="P9" s="3014"/>
      <c r="Q9" s="3014"/>
      <c r="R9" s="2071">
        <v>8</v>
      </c>
      <c r="S9" s="2082"/>
      <c r="T9" s="2071">
        <f t="shared" si="1"/>
        <v>0</v>
      </c>
      <c r="U9" s="2082"/>
      <c r="V9" s="2071">
        <f t="shared" ref="V9:V16" si="2">ROUND(T9*U9,0)</f>
        <v>0</v>
      </c>
      <c r="W9" s="3592" t="s">
        <v>2489</v>
      </c>
      <c r="X9" s="2113" t="s">
        <v>2490</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598"/>
      <c r="B10" s="50" t="s">
        <v>2491</v>
      </c>
      <c r="C10" s="50">
        <f>SUMIF(修正!C59:C119,C8,修正!F59:F119)</f>
        <v>0</v>
      </c>
      <c r="D10" s="50" t="s">
        <v>91</v>
      </c>
      <c r="E10" s="50" t="e">
        <f>ROUND(C11/E7,4)</f>
        <v>#DIV/0!</v>
      </c>
      <c r="F10" s="2108" t="s">
        <v>2492</v>
      </c>
      <c r="G10" s="2109"/>
      <c r="H10" s="2109"/>
      <c r="I10" s="2109"/>
      <c r="J10" s="2110"/>
      <c r="K10" s="3014"/>
      <c r="L10" s="2079" t="s">
        <v>2493</v>
      </c>
      <c r="M10" s="2080">
        <f>SUMPRODUCT((区片价!B290:B316=I2)*(区片价!C3:F3=E2)*(区片价!C290:F316))</f>
        <v>0</v>
      </c>
      <c r="N10" s="2081">
        <f>SUMPRODUCT((因素修正幅度!B290:B316=I2)*(因素修正幅度!C3:F3=E2)*(因素修正幅度!C290:F316))</f>
        <v>0</v>
      </c>
      <c r="O10" s="3014"/>
      <c r="P10" s="3014"/>
      <c r="Q10" s="3014"/>
      <c r="R10" s="2071">
        <v>9</v>
      </c>
      <c r="S10" s="2082"/>
      <c r="T10" s="2071">
        <f t="shared" si="1"/>
        <v>0</v>
      </c>
      <c r="U10" s="2082"/>
      <c r="V10" s="2071">
        <f t="shared" si="2"/>
        <v>0</v>
      </c>
      <c r="W10" s="3592"/>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598"/>
      <c r="B11" s="1575" t="s">
        <v>2494</v>
      </c>
      <c r="C11" s="1575">
        <f>C10/4</f>
        <v>0</v>
      </c>
      <c r="D11" s="1575" t="s">
        <v>92</v>
      </c>
      <c r="E11" s="1575" t="e">
        <f>ROUND(C11/E7,4)</f>
        <v>#DIV/0!</v>
      </c>
      <c r="F11" s="2117" t="s">
        <v>2495</v>
      </c>
      <c r="G11" s="2118"/>
      <c r="H11" s="2118"/>
      <c r="I11" s="2118"/>
      <c r="J11" s="2119"/>
      <c r="K11" s="3014"/>
      <c r="L11" s="2079" t="s">
        <v>2496</v>
      </c>
      <c r="M11" s="2080">
        <f>SUMPRODUCT((区片价!B317:B337=I2)*(区片价!C3:F3=E2)*(区片价!C317:F337))</f>
        <v>0</v>
      </c>
      <c r="N11" s="2081">
        <f>SUMPRODUCT((因素修正幅度!B317:B337=I2)*(因素修正幅度!C3:F3=E2)*(因素修正幅度!C317:F337))</f>
        <v>0</v>
      </c>
      <c r="O11" s="3014"/>
      <c r="P11" s="3014"/>
      <c r="Q11" s="3014"/>
      <c r="R11" s="2071">
        <v>10</v>
      </c>
      <c r="S11" s="2082"/>
      <c r="T11" s="2071">
        <f t="shared" si="1"/>
        <v>0</v>
      </c>
      <c r="U11" s="2082"/>
      <c r="V11" s="2071">
        <f t="shared" si="2"/>
        <v>0</v>
      </c>
      <c r="W11" s="3592" t="s">
        <v>2497</v>
      </c>
      <c r="X11" s="2120" t="s">
        <v>2498</v>
      </c>
      <c r="Y11" s="2121">
        <f>$G$3</f>
        <v>2</v>
      </c>
      <c r="Z11" s="2121">
        <f t="shared" ref="Z11:AJ11" si="4">$G$3</f>
        <v>2</v>
      </c>
      <c r="AA11" s="2121">
        <f t="shared" si="4"/>
        <v>2</v>
      </c>
      <c r="AB11" s="2121">
        <f t="shared" si="4"/>
        <v>2</v>
      </c>
      <c r="AC11" s="2121">
        <f t="shared" si="4"/>
        <v>2</v>
      </c>
      <c r="AD11" s="2121">
        <f t="shared" si="4"/>
        <v>2</v>
      </c>
      <c r="AE11" s="2121">
        <f t="shared" si="4"/>
        <v>2</v>
      </c>
      <c r="AF11" s="2121">
        <f t="shared" si="4"/>
        <v>2</v>
      </c>
      <c r="AG11" s="2121">
        <f t="shared" si="4"/>
        <v>2</v>
      </c>
      <c r="AH11" s="2121">
        <f t="shared" si="4"/>
        <v>2</v>
      </c>
      <c r="AI11" s="2121">
        <f t="shared" si="4"/>
        <v>2</v>
      </c>
      <c r="AJ11" s="2121">
        <f t="shared" si="4"/>
        <v>2</v>
      </c>
    </row>
    <row r="12" spans="1:36" ht="25.5" thickBot="1">
      <c r="A12" s="3597" t="str">
        <f>IF(E2="住宅",2,"")</f>
        <v/>
      </c>
      <c r="B12" s="1576" t="s">
        <v>2499</v>
      </c>
      <c r="C12" s="2098">
        <f>ROUND(C15*D15*E15*F15*G15*H15*I15*J15,4)</f>
        <v>1.32</v>
      </c>
      <c r="D12" s="2122" t="s">
        <v>2500</v>
      </c>
      <c r="E12" s="2123"/>
      <c r="F12" s="2123"/>
      <c r="G12" s="2123"/>
      <c r="H12" s="2123"/>
      <c r="I12" s="2123"/>
      <c r="J12" s="2124"/>
      <c r="K12" s="3014"/>
      <c r="L12" s="2125" t="s">
        <v>2501</v>
      </c>
      <c r="M12" s="2126">
        <f>SUMPRODUCT((区片价!B338:B344=I2)*(区片价!C3:F3=E2)*(区片价!C338:F344))</f>
        <v>0</v>
      </c>
      <c r="N12" s="2127">
        <f>SUMPRODUCT((因素修正幅度!B338:B344=I2)*(因素修正幅度!C3:F3=E2)*(因素修正幅度!C338:F344))</f>
        <v>0</v>
      </c>
      <c r="O12" s="3014"/>
      <c r="P12" s="3014"/>
      <c r="Q12" s="3014"/>
      <c r="R12" s="2071">
        <v>11</v>
      </c>
      <c r="S12" s="2082"/>
      <c r="T12" s="2071">
        <f t="shared" si="1"/>
        <v>0</v>
      </c>
      <c r="U12" s="2082"/>
      <c r="V12" s="2071">
        <f t="shared" si="2"/>
        <v>0</v>
      </c>
      <c r="W12" s="3592"/>
      <c r="X12" s="2128" t="s">
        <v>2502</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599"/>
      <c r="B13" s="1577" t="s">
        <v>2503</v>
      </c>
      <c r="C13" s="2129" t="s">
        <v>2504</v>
      </c>
      <c r="D13" s="1578" t="s">
        <v>2505</v>
      </c>
      <c r="E13" s="1578" t="s">
        <v>2506</v>
      </c>
      <c r="F13" s="264" t="s">
        <v>2507</v>
      </c>
      <c r="G13" s="2130" t="s">
        <v>2508</v>
      </c>
      <c r="H13" s="2130" t="s">
        <v>2508</v>
      </c>
      <c r="I13" s="2130" t="s">
        <v>2508</v>
      </c>
      <c r="J13" s="2131" t="s">
        <v>2508</v>
      </c>
      <c r="K13" s="3014"/>
      <c r="L13" s="3014"/>
      <c r="M13" s="3014"/>
      <c r="N13" s="3014"/>
      <c r="O13" s="3014"/>
      <c r="P13" s="3014"/>
      <c r="Q13" s="3014"/>
      <c r="R13" s="2071">
        <v>12</v>
      </c>
      <c r="S13" s="2082"/>
      <c r="T13" s="2071">
        <f t="shared" si="1"/>
        <v>0</v>
      </c>
      <c r="U13" s="2082"/>
      <c r="V13" s="2071">
        <f t="shared" si="2"/>
        <v>0</v>
      </c>
      <c r="W13" s="3592"/>
      <c r="X13" s="2128"/>
      <c r="Y13" s="2116">
        <f>(-0.163*(Y12^2)-0.59*Y12+7617)*(10^(-4))/Y11</f>
        <v>0.38085000000000002</v>
      </c>
      <c r="Z13" s="2116">
        <f t="shared" ref="Z13:AJ13" si="6">(-0.163*(Z12^2)-0.59*Z12+7617)*(10^(-4))/Z11</f>
        <v>0.38085000000000002</v>
      </c>
      <c r="AA13" s="2116">
        <f t="shared" si="6"/>
        <v>0.38085000000000002</v>
      </c>
      <c r="AB13" s="2116">
        <f t="shared" si="6"/>
        <v>0.38085000000000002</v>
      </c>
      <c r="AC13" s="2116">
        <f t="shared" si="6"/>
        <v>0.38085000000000002</v>
      </c>
      <c r="AD13" s="2116">
        <f t="shared" si="6"/>
        <v>0.38085000000000002</v>
      </c>
      <c r="AE13" s="2116">
        <f t="shared" si="6"/>
        <v>0.38085000000000002</v>
      </c>
      <c r="AF13" s="2116">
        <f t="shared" si="6"/>
        <v>0.38085000000000002</v>
      </c>
      <c r="AG13" s="2116">
        <f t="shared" si="6"/>
        <v>0.38085000000000002</v>
      </c>
      <c r="AH13" s="2116">
        <f t="shared" si="6"/>
        <v>0.38085000000000002</v>
      </c>
      <c r="AI13" s="2116">
        <f t="shared" si="6"/>
        <v>0.38085000000000002</v>
      </c>
      <c r="AJ13" s="2116">
        <f t="shared" si="6"/>
        <v>0.38085000000000002</v>
      </c>
    </row>
    <row r="14" spans="1:36" ht="15">
      <c r="A14" s="3599"/>
      <c r="B14" s="1578"/>
      <c r="C14" s="2132" t="s">
        <v>2509</v>
      </c>
      <c r="D14" s="2133" t="s">
        <v>2510</v>
      </c>
      <c r="E14" s="2133" t="s">
        <v>2510</v>
      </c>
      <c r="F14" s="2134" t="s">
        <v>2511</v>
      </c>
      <c r="G14" s="2135" t="s">
        <v>2512</v>
      </c>
      <c r="H14" s="2136"/>
      <c r="I14" s="2137"/>
      <c r="J14" s="2138"/>
      <c r="K14" s="3014"/>
      <c r="L14" s="3014"/>
      <c r="M14" s="3014"/>
      <c r="N14" s="3014"/>
      <c r="O14" s="3014"/>
      <c r="P14" s="3014"/>
      <c r="Q14" s="3014"/>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00"/>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4"/>
      <c r="L15" s="3014"/>
      <c r="M15" s="3014"/>
      <c r="N15" s="3014"/>
      <c r="O15" s="3014"/>
      <c r="P15" s="3014"/>
      <c r="Q15" s="3014"/>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01">
        <f>IF(E2="办公",2,IF(E2="工业",2,IF(E2="住宅",3,IF(E2="商业",IF(C8="不临58条商业街",2,3)))))</f>
        <v>2</v>
      </c>
      <c r="B16" s="1598" t="s">
        <v>2519</v>
      </c>
      <c r="C16" s="1574">
        <f>ROUND(IF(F17="与级别开发程度一致",0,(G17-E17)/C17),0)</f>
        <v>0</v>
      </c>
      <c r="D16" s="3614" t="s">
        <v>2523</v>
      </c>
      <c r="E16" s="3615"/>
      <c r="F16" s="3614" t="s">
        <v>2520</v>
      </c>
      <c r="G16" s="3615"/>
      <c r="H16" s="2142" t="s">
        <v>3083</v>
      </c>
      <c r="I16" s="2142" t="s">
        <v>3084</v>
      </c>
      <c r="J16" s="2143" t="s">
        <v>3085</v>
      </c>
      <c r="K16" s="2142" t="s">
        <v>3086</v>
      </c>
      <c r="L16" s="2142" t="s">
        <v>3087</v>
      </c>
      <c r="M16" s="2142" t="s">
        <v>3088</v>
      </c>
      <c r="N16" s="2142"/>
      <c r="O16" s="2144"/>
      <c r="P16" s="3014"/>
      <c r="Q16" s="3014"/>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02"/>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2821</v>
      </c>
      <c r="G17" s="1588">
        <f>SUM(H17:O17)</f>
        <v>235</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40</v>
      </c>
      <c r="N17" s="2145">
        <f>SUMPRODUCT((七通一平=N16)*(修正!B1:M1=G2)*(修正!B6:M14))</f>
        <v>0</v>
      </c>
      <c r="O17" s="2149">
        <f>SUMPRODUCT((七通一平=O16)*(修正!B1:M1=G2)*(修正!B6:M14))</f>
        <v>0</v>
      </c>
      <c r="P17" s="3014"/>
      <c r="Q17" s="3014"/>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6"/>
      <c r="L18" s="3016"/>
      <c r="M18" s="3016"/>
      <c r="N18" s="3016"/>
      <c r="O18" s="3014"/>
      <c r="P18" s="3014"/>
      <c r="Q18" s="3014"/>
      <c r="R18" s="3014"/>
      <c r="S18" s="3014"/>
      <c r="T18" s="3014"/>
      <c r="U18" s="3014"/>
      <c r="V18" s="3014"/>
      <c r="W18" s="3014"/>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ROUND(IF(H19="按公示增长率计算",SUMPRODUCT((地价!A3:A37=YEAR(G19)&amp;"-"&amp;ROUNDUP(MONTH(G19)/3,0))*(地价!X2:AB2=E2)*(地价!X3:AB37)),IF(H19="地价指数",M20/M19,(1+I19)^O19)),4)</f>
        <v>0</v>
      </c>
      <c r="D19" s="2157" t="s">
        <v>2529</v>
      </c>
      <c r="E19" s="2158">
        <v>41640</v>
      </c>
      <c r="F19" s="2157" t="s">
        <v>2530</v>
      </c>
      <c r="G19" s="2159">
        <f>'数据-取费表'!B2</f>
        <v>44727</v>
      </c>
      <c r="H19" s="2160" t="s">
        <v>2662</v>
      </c>
      <c r="I19" s="2161" t="str">
        <f>IF(H19="季度增幅（自定义）",SUMIF(N21:N24,E2,O21:O24),"")</f>
        <v/>
      </c>
      <c r="J19" s="2162"/>
      <c r="K19" s="3016"/>
      <c r="L19" s="2043" t="s">
        <v>2531</v>
      </c>
      <c r="M19" s="2163">
        <f>ROUND(SUMIF(地价!B2:F2,E2,地价!B37:F37),0)</f>
        <v>258</v>
      </c>
      <c r="N19" s="2164" t="s">
        <v>2532</v>
      </c>
      <c r="O19" s="2165">
        <f>ROUNDDOWN(DATEDIF(E19,G19,"M")/3,0)</f>
        <v>33</v>
      </c>
      <c r="P19" s="3014"/>
      <c r="Q19" s="3016"/>
      <c r="R19" s="3014"/>
      <c r="S19" s="3014"/>
      <c r="T19" s="3014"/>
      <c r="U19" s="3014"/>
      <c r="V19" s="3014"/>
      <c r="W19" s="3014"/>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0.79920000000000002</v>
      </c>
      <c r="D20" s="2169" t="s">
        <v>2535</v>
      </c>
      <c r="E20" s="3119">
        <f>存贷款利率!E20/100</f>
        <v>4.3499999999999997E-2</v>
      </c>
      <c r="F20" s="2169" t="s">
        <v>2524</v>
      </c>
      <c r="G20" s="3120">
        <f>SUMIF(M26:P26,E2,M28:P28)</f>
        <v>5.3999999999999999E-2</v>
      </c>
      <c r="H20" s="2169" t="s">
        <v>2536</v>
      </c>
      <c r="I20" s="2170">
        <f>'数据-取费表'!B13</f>
        <v>23</v>
      </c>
      <c r="J20" s="2171">
        <f>IF(E2="住宅",70,IF(E2="商业",40,50))</f>
        <v>40</v>
      </c>
      <c r="K20" s="3016"/>
      <c r="L20" s="2172" t="s">
        <v>2537</v>
      </c>
      <c r="M20" s="2173">
        <f>ROUND(SUMPRODUCT((地价!A4:A37=YEAR(G19)&amp;"-"&amp;ROUNDUP(MONTH(G19)/3,0))*(地价!B2:F2=E2)*(地价!B4:F37)),0)</f>
        <v>0</v>
      </c>
      <c r="N20" s="2174" t="s">
        <v>2538</v>
      </c>
      <c r="O20" s="2175" t="s">
        <v>2539</v>
      </c>
      <c r="P20" s="2176" t="s">
        <v>2540</v>
      </c>
      <c r="Q20" s="3016"/>
      <c r="R20" s="3014"/>
      <c r="S20" s="3014"/>
      <c r="T20" s="3014"/>
      <c r="U20" s="3014"/>
      <c r="V20" s="3014"/>
      <c r="W20" s="3014"/>
      <c r="X20" s="1590"/>
      <c r="Y20" s="1590"/>
      <c r="Z20" s="1590"/>
      <c r="AA20" s="1590"/>
      <c r="AB20" s="1590"/>
      <c r="AC20" s="1590"/>
      <c r="AD20" s="1590"/>
      <c r="AE20" s="2155"/>
      <c r="AF20" s="2155"/>
    </row>
    <row r="21" spans="1:35" s="2092" customFormat="1" ht="15">
      <c r="A21" s="2177" t="s">
        <v>2541</v>
      </c>
      <c r="B21" s="1582" t="s">
        <v>3089</v>
      </c>
      <c r="C21" s="2178">
        <f>IF(B21="容积率修正",IF(G3&lt;=10,D22,J22),C23)</f>
        <v>1.8629</v>
      </c>
      <c r="D21" s="2179"/>
      <c r="E21" s="2179"/>
      <c r="F21" s="2179"/>
      <c r="G21" s="2179"/>
      <c r="H21" s="2179"/>
      <c r="I21" s="2179"/>
      <c r="J21" s="2044"/>
      <c r="K21" s="3016"/>
      <c r="L21" s="3016"/>
      <c r="M21" s="3016"/>
      <c r="N21" s="2180" t="s">
        <v>2542</v>
      </c>
      <c r="O21" s="2181"/>
      <c r="P21" s="2182">
        <f>SUMPRODUCT((地价!A3:A37=YEAR(G19)&amp;"-"&amp;ROUNDUP(MONTH(G19)/3,0))*(地价!AD2:AH2=N21)*(地价!AD3:AH37))</f>
        <v>0</v>
      </c>
      <c r="Q21" s="3016"/>
      <c r="R21" s="3014"/>
      <c r="S21" s="3014"/>
      <c r="T21" s="3014"/>
      <c r="U21" s="3014"/>
      <c r="V21" s="3014"/>
      <c r="W21" s="3014"/>
      <c r="X21" s="1590"/>
      <c r="Y21" s="1590"/>
      <c r="Z21" s="1590"/>
      <c r="AA21" s="1590"/>
      <c r="AB21" s="1590"/>
      <c r="AC21" s="1590"/>
      <c r="AD21" s="1590"/>
      <c r="AE21" s="2155"/>
      <c r="AF21" s="2155"/>
    </row>
    <row r="22" spans="1:35" s="2092" customFormat="1" ht="14.25">
      <c r="A22" s="2040">
        <v>1</v>
      </c>
      <c r="B22" s="2039" t="s">
        <v>2543</v>
      </c>
      <c r="C22" s="2039" t="s">
        <v>2544</v>
      </c>
      <c r="D22" s="2039">
        <f>IF(E22=G22,F22,IF(G3&lt;=10,ROUND(F22+(H22-F22)*(G3-E22)/(G22-E22),4),"——"))</f>
        <v>1.0883</v>
      </c>
      <c r="E22" s="2083">
        <f>ROUNDDOWN(G3,1)</f>
        <v>2</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2083">
        <f>ROUNDUP(G3,1)</f>
        <v>2</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2039" t="s">
        <v>104</v>
      </c>
      <c r="J22" s="2183" t="str">
        <f>IF(G3&gt;10,D113,"——")</f>
        <v>——</v>
      </c>
      <c r="K22" s="3016"/>
      <c r="L22" s="3016"/>
      <c r="M22" s="3016"/>
      <c r="N22" s="2180" t="s">
        <v>2545</v>
      </c>
      <c r="O22" s="2181"/>
      <c r="P22" s="2182">
        <f>SUMPRODUCT((地价!A3:A37=YEAR(G19)&amp;"-"&amp;ROUNDUP(MONTH(G19)/3,0))*(地价!AD2:AH2=N22)*(地价!AD3:AH37))</f>
        <v>0</v>
      </c>
      <c r="Q22" s="3016"/>
      <c r="R22" s="3014"/>
      <c r="S22" s="3014"/>
      <c r="T22" s="3014"/>
      <c r="U22" s="3014"/>
      <c r="V22" s="3014"/>
      <c r="W22" s="3014"/>
      <c r="X22" s="1590"/>
      <c r="Y22" s="1590"/>
      <c r="Z22" s="1590"/>
      <c r="AA22" s="1590"/>
      <c r="AB22" s="1590"/>
      <c r="AC22" s="1590"/>
      <c r="AD22" s="1590"/>
      <c r="AE22" s="2155"/>
      <c r="AF22" s="2155"/>
    </row>
    <row r="23" spans="1:35" ht="27">
      <c r="A23" s="2040">
        <v>2</v>
      </c>
      <c r="B23" s="2039" t="s">
        <v>2546</v>
      </c>
      <c r="C23" s="2184">
        <f>ROUND(IF(G3&gt;1,IF(I3&lt;7,SUMPRODUCT((B93:B98=I3)*(C92:N92=G2)*(C93:N98)),SUMIF(C92:N92,G2,C100:N100)),IF(I3&lt;7,SUMPRODUCT((B102:B107=I3)*(C92:N92=G2)*(C102:N107)),SUMIF(C92:N92,G2,C109:N109))),4)</f>
        <v>1.8629</v>
      </c>
      <c r="D23" s="2136"/>
      <c r="E23" s="2136"/>
      <c r="F23" s="2185"/>
      <c r="G23" s="2186"/>
      <c r="H23" s="1587"/>
      <c r="I23" s="2039"/>
      <c r="J23" s="2183"/>
      <c r="K23" s="3014"/>
      <c r="L23" s="3014"/>
      <c r="M23" s="3014"/>
      <c r="N23" s="2180" t="s">
        <v>2547</v>
      </c>
      <c r="O23" s="2181"/>
      <c r="P23" s="2182">
        <f>SUMPRODUCT((地价!A3:A37=YEAR(G19)&amp;"-"&amp;ROUNDUP(MONTH(G19)/3,0))*(地价!AD2:AH2=N23)*(地价!AD3:AH37))</f>
        <v>0</v>
      </c>
      <c r="Q23" s="3014"/>
      <c r="R23" s="3014"/>
      <c r="S23" s="3014"/>
      <c r="T23" s="3014"/>
      <c r="U23" s="3014"/>
      <c r="V23" s="3014"/>
      <c r="W23" s="3014"/>
      <c r="X23" s="1590"/>
      <c r="Y23" s="1590"/>
      <c r="Z23" s="1590"/>
      <c r="AA23" s="1590"/>
      <c r="AB23" s="1590"/>
      <c r="AC23" s="1590"/>
      <c r="AD23" s="1590"/>
      <c r="AE23" s="1590"/>
      <c r="AF23" s="1590"/>
    </row>
    <row r="24" spans="1:35" s="2092" customFormat="1" ht="15.75" thickBot="1">
      <c r="A24" s="2187" t="s">
        <v>2548</v>
      </c>
      <c r="B24" s="1584" t="s">
        <v>2549</v>
      </c>
      <c r="C24" s="2188">
        <f>SUMIF(A46:A88,E2,B46:B88)</f>
        <v>1.0193000000000001</v>
      </c>
      <c r="D24" s="2189"/>
      <c r="E24" s="2190"/>
      <c r="F24" s="2190"/>
      <c r="G24" s="2190"/>
      <c r="H24" s="2190"/>
      <c r="I24" s="2190"/>
      <c r="J24" s="2191"/>
      <c r="K24" s="3016"/>
      <c r="L24" s="3016"/>
      <c r="M24" s="3016"/>
      <c r="N24" s="2192" t="s">
        <v>2550</v>
      </c>
      <c r="O24" s="2193"/>
      <c r="P24" s="2194">
        <f>SUMPRODUCT((地价!A3:A37=YEAR(G19)&amp;"-"&amp;ROUNDUP(MONTH(G19)/3,0))*(地价!AD2:AH2=N24)*(地价!AD3:AH37))</f>
        <v>0</v>
      </c>
      <c r="Q24" s="3016"/>
      <c r="R24" s="3014"/>
      <c r="S24" s="3014"/>
      <c r="T24" s="3014"/>
      <c r="U24" s="3014"/>
      <c r="V24" s="3014"/>
      <c r="W24" s="3014"/>
      <c r="X24" s="1590"/>
      <c r="Y24" s="1590"/>
      <c r="Z24" s="1590"/>
      <c r="AA24" s="1590"/>
      <c r="AB24" s="1590"/>
      <c r="AC24" s="1590"/>
      <c r="AD24" s="1590"/>
      <c r="AE24" s="2155"/>
      <c r="AF24" s="2155"/>
    </row>
    <row r="25" spans="1:35" ht="15" thickBot="1">
      <c r="A25" s="1685" t="s">
        <v>2551</v>
      </c>
      <c r="B25" s="1585" t="s">
        <v>2552</v>
      </c>
      <c r="C25" s="2195"/>
      <c r="D25" s="2101"/>
      <c r="E25" s="2101"/>
      <c r="F25" s="2196"/>
      <c r="G25" s="2101"/>
      <c r="H25" s="2101"/>
      <c r="I25" s="2101"/>
      <c r="J25" s="2102"/>
      <c r="K25" s="3014"/>
      <c r="L25" s="3014"/>
      <c r="M25" s="3014"/>
      <c r="N25" s="3017" t="s">
        <v>2553</v>
      </c>
      <c r="O25" s="3018"/>
      <c r="P25" s="3019">
        <f>SUMPRODUCT((地价!A3:A37=YEAR(G19)&amp;"-"&amp;ROUNDUP(MONTH(G19)/3,0))*(地价!AD2:AH2=N25)*(地价!AD3:AH37))</f>
        <v>0</v>
      </c>
      <c r="Q25" s="3014"/>
      <c r="R25" s="3014"/>
      <c r="S25" s="3014"/>
      <c r="T25" s="3014"/>
      <c r="U25" s="3014"/>
      <c r="V25" s="3014"/>
      <c r="W25" s="3014"/>
      <c r="X25" s="1590"/>
      <c r="Y25" s="1590"/>
      <c r="Z25" s="1590"/>
      <c r="AA25" s="1590"/>
      <c r="AB25" s="1590"/>
      <c r="AC25" s="1590"/>
      <c r="AD25" s="1590"/>
      <c r="AE25" s="1590"/>
      <c r="AF25" s="1590"/>
    </row>
    <row r="26" spans="1:35" ht="15">
      <c r="A26" s="1670"/>
      <c r="B26" s="2039" t="s">
        <v>2554</v>
      </c>
      <c r="C26" s="2854">
        <f>IF(B21="容积率修正",E29+SUM(E33:E39),SUM(V2:V16)+SUM(E33:E39))</f>
        <v>0</v>
      </c>
      <c r="D26" s="2197"/>
      <c r="E26" s="2136"/>
      <c r="F26" s="1445"/>
      <c r="G26" s="2136"/>
      <c r="H26" s="2136"/>
      <c r="I26" s="2136"/>
      <c r="J26" s="2198"/>
      <c r="K26" s="3014"/>
      <c r="L26" s="3020" t="s">
        <v>2514</v>
      </c>
      <c r="M26" s="2099" t="s">
        <v>2515</v>
      </c>
      <c r="N26" s="2099" t="s">
        <v>2516</v>
      </c>
      <c r="O26" s="2099" t="s">
        <v>2517</v>
      </c>
      <c r="P26" s="3021" t="s">
        <v>2518</v>
      </c>
      <c r="Q26" s="3014"/>
      <c r="R26" s="3014"/>
      <c r="S26" s="3014"/>
      <c r="T26" s="3014"/>
      <c r="U26" s="3014"/>
      <c r="V26" s="3014"/>
      <c r="W26" s="3014"/>
      <c r="X26" s="1590"/>
      <c r="Y26" s="1590"/>
      <c r="Z26" s="1590"/>
      <c r="AA26" s="1590"/>
      <c r="AB26" s="1590"/>
      <c r="AC26" s="1590"/>
      <c r="AD26" s="1590"/>
      <c r="AE26" s="1590"/>
      <c r="AF26" s="1590"/>
    </row>
    <row r="27" spans="1:35" ht="15.75" thickBot="1">
      <c r="A27" s="1670"/>
      <c r="B27" s="1586" t="s">
        <v>2555</v>
      </c>
      <c r="C27" s="2199">
        <f>E30+SUM(I33:I39)</f>
        <v>0</v>
      </c>
      <c r="D27" s="2148"/>
      <c r="E27" s="2200"/>
      <c r="F27" s="2201"/>
      <c r="G27" s="2200"/>
      <c r="H27" s="2200"/>
      <c r="I27" s="2200"/>
      <c r="J27" s="2202"/>
      <c r="K27" s="3014"/>
      <c r="L27" s="2203" t="s">
        <v>2521</v>
      </c>
      <c r="M27" s="2112">
        <v>0.25</v>
      </c>
      <c r="N27" s="2112">
        <v>0.2</v>
      </c>
      <c r="O27" s="2112">
        <v>0.15</v>
      </c>
      <c r="P27" s="2204">
        <v>0.1</v>
      </c>
      <c r="Q27" s="3014"/>
      <c r="R27" s="3014"/>
      <c r="S27" s="3014"/>
      <c r="T27" s="3014"/>
      <c r="U27" s="3014"/>
      <c r="V27" s="3014"/>
      <c r="W27" s="3014"/>
      <c r="X27" s="1590"/>
      <c r="Y27" s="1590"/>
      <c r="Z27" s="1590"/>
      <c r="AA27" s="1590"/>
      <c r="AB27" s="1590"/>
      <c r="AC27" s="1590"/>
      <c r="AD27" s="1590"/>
      <c r="AE27" s="1590"/>
      <c r="AF27" s="1590"/>
    </row>
    <row r="28" spans="1:35" ht="15.75" thickBot="1">
      <c r="A28" s="1685"/>
      <c r="B28" s="2205" t="s">
        <v>2556</v>
      </c>
      <c r="C28" s="2206" t="s">
        <v>2557</v>
      </c>
      <c r="D28" s="2206" t="s">
        <v>2558</v>
      </c>
      <c r="E28" s="1585" t="s">
        <v>2559</v>
      </c>
      <c r="F28" s="2207"/>
      <c r="G28" s="2123"/>
      <c r="H28" s="2123"/>
      <c r="I28" s="2123"/>
      <c r="J28" s="2124"/>
      <c r="K28" s="3014"/>
      <c r="L28" s="2208" t="s">
        <v>2524</v>
      </c>
      <c r="M28" s="2209">
        <f>ROUND($E$20*(1+M27),3)</f>
        <v>5.3999999999999999E-2</v>
      </c>
      <c r="N28" s="2209">
        <f>ROUND($E$20*(1+N27),3)</f>
        <v>5.1999999999999998E-2</v>
      </c>
      <c r="O28" s="2209">
        <f>ROUND($E$20*(1+O27),3)</f>
        <v>0.05</v>
      </c>
      <c r="P28" s="2127">
        <f>ROUND($E$20*(1+P27),3)</f>
        <v>4.8000000000000001E-2</v>
      </c>
      <c r="Q28" s="3014"/>
      <c r="R28" s="3014"/>
      <c r="S28" s="3014"/>
      <c r="T28" s="3014"/>
      <c r="U28" s="3014"/>
      <c r="V28" s="3014"/>
      <c r="W28" s="3014"/>
      <c r="X28" s="1590"/>
      <c r="Y28" s="1590"/>
      <c r="Z28" s="1590"/>
      <c r="AA28" s="1590"/>
      <c r="AB28" s="1590"/>
      <c r="AC28" s="1590"/>
      <c r="AD28" s="1590"/>
      <c r="AE28" s="1590"/>
      <c r="AF28" s="1590"/>
    </row>
    <row r="29" spans="1:35">
      <c r="A29" s="2210"/>
      <c r="B29" s="1587" t="s">
        <v>2560</v>
      </c>
      <c r="C29" s="54">
        <f>ROUND(C5*C18*C19*C20*C21*C24,0)</f>
        <v>0</v>
      </c>
      <c r="D29" s="2211">
        <f>项目基本情况!C12</f>
        <v>189.52</v>
      </c>
      <c r="E29" s="1998">
        <f>ROUND(C29*D29,0)</f>
        <v>0</v>
      </c>
      <c r="F29" s="2212" t="s">
        <v>2561</v>
      </c>
      <c r="G29" s="2213"/>
      <c r="H29" s="2213"/>
      <c r="I29" s="2213"/>
      <c r="J29" s="2214"/>
      <c r="K29" s="3014"/>
      <c r="L29" s="3014"/>
      <c r="M29" s="3014"/>
      <c r="N29" s="3014"/>
      <c r="O29" s="3014"/>
      <c r="P29" s="3014"/>
      <c r="Q29" s="3014"/>
      <c r="R29" s="3014"/>
      <c r="S29" s="3014"/>
      <c r="T29" s="3014"/>
      <c r="U29" s="3014"/>
      <c r="V29" s="3014"/>
      <c r="W29" s="3014"/>
      <c r="X29" s="1590"/>
      <c r="Y29" s="1590"/>
      <c r="Z29" s="1590"/>
      <c r="AA29" s="1590"/>
      <c r="AB29" s="1590"/>
      <c r="AC29" s="1590"/>
      <c r="AD29" s="1590"/>
      <c r="AE29" s="1590"/>
      <c r="AF29" s="1590"/>
    </row>
    <row r="30" spans="1:35" ht="25.5" thickBot="1">
      <c r="A30" s="2215"/>
      <c r="B30" s="1588" t="s">
        <v>2562</v>
      </c>
      <c r="C30" s="2139">
        <f>ROUND(IF(E2="工业",C29*M39,C29*M38),0)</f>
        <v>0</v>
      </c>
      <c r="D30" s="2216"/>
      <c r="E30" s="1998">
        <f>ROUND(C30*D30,0)</f>
        <v>0</v>
      </c>
      <c r="F30" s="2217" t="s">
        <v>2563</v>
      </c>
      <c r="G30" s="2218"/>
      <c r="H30" s="2218"/>
      <c r="I30" s="2218"/>
      <c r="J30" s="2219"/>
      <c r="K30" s="3014"/>
      <c r="L30" s="3014"/>
      <c r="M30" s="3014"/>
      <c r="N30" s="3014"/>
      <c r="O30" s="3014"/>
      <c r="P30" s="3014"/>
      <c r="Q30" s="3014"/>
      <c r="R30" s="3014"/>
      <c r="S30" s="3014"/>
      <c r="T30" s="3014"/>
      <c r="U30" s="3014"/>
      <c r="V30" s="3014"/>
      <c r="W30" s="3014"/>
      <c r="X30" s="1590"/>
      <c r="Y30" s="1590"/>
      <c r="Z30" s="1590"/>
      <c r="AA30" s="1590"/>
      <c r="AB30" s="1590"/>
      <c r="AC30" s="1590"/>
      <c r="AD30" s="1590"/>
      <c r="AE30" s="1590"/>
      <c r="AF30" s="1590"/>
    </row>
    <row r="31" spans="1:35">
      <c r="A31" s="2220"/>
      <c r="B31" s="1589" t="s">
        <v>2564</v>
      </c>
      <c r="C31" s="2221" t="s">
        <v>2565</v>
      </c>
      <c r="D31" s="2123"/>
      <c r="E31" s="2221"/>
      <c r="F31" s="2221"/>
      <c r="G31" s="2122" t="s">
        <v>2566</v>
      </c>
      <c r="H31" s="2123"/>
      <c r="I31" s="2222"/>
      <c r="J31" s="2124"/>
      <c r="K31" s="3014"/>
      <c r="L31" s="3014"/>
      <c r="M31" s="3014"/>
      <c r="N31" s="3014"/>
      <c r="O31" s="3014"/>
      <c r="P31" s="3014"/>
      <c r="Q31" s="3014"/>
      <c r="R31" s="3014"/>
      <c r="S31" s="3014"/>
      <c r="T31" s="3014"/>
      <c r="U31" s="3014"/>
      <c r="V31" s="3014"/>
      <c r="W31" s="3014"/>
      <c r="X31" s="1590"/>
      <c r="Y31" s="1590"/>
      <c r="Z31" s="1590"/>
      <c r="AA31" s="1590"/>
      <c r="AB31" s="1590"/>
      <c r="AC31" s="1590"/>
      <c r="AD31" s="1590"/>
      <c r="AE31" s="1590"/>
      <c r="AF31" s="1590"/>
    </row>
    <row r="32" spans="1:35" ht="24">
      <c r="A32" s="2210"/>
      <c r="B32" s="2223"/>
      <c r="C32" s="1778" t="s">
        <v>2557</v>
      </c>
      <c r="D32" s="1775" t="s">
        <v>2558</v>
      </c>
      <c r="E32" s="1775" t="s">
        <v>2559</v>
      </c>
      <c r="F32" s="50" t="s">
        <v>2567</v>
      </c>
      <c r="G32" s="2184" t="s">
        <v>2557</v>
      </c>
      <c r="H32" s="2184" t="s">
        <v>2558</v>
      </c>
      <c r="I32" s="2184" t="s">
        <v>2559</v>
      </c>
      <c r="J32" s="2036"/>
      <c r="K32" s="3014"/>
      <c r="L32" s="3014"/>
      <c r="M32" s="3014"/>
      <c r="N32" s="3014"/>
      <c r="O32" s="3014"/>
      <c r="P32" s="3014"/>
      <c r="Q32" s="3014"/>
      <c r="R32" s="3014"/>
      <c r="S32" s="3014"/>
      <c r="T32" s="3014"/>
      <c r="U32" s="3014"/>
      <c r="V32" s="3014"/>
      <c r="W32" s="3014"/>
      <c r="X32" s="1590"/>
      <c r="Y32" s="1590"/>
      <c r="Z32" s="1590"/>
      <c r="AA32" s="1590"/>
      <c r="AB32" s="1590"/>
      <c r="AC32" s="1590"/>
      <c r="AD32" s="1590"/>
      <c r="AE32" s="1590"/>
      <c r="AF32" s="1590"/>
    </row>
    <row r="33" spans="1:33">
      <c r="A33" s="3611" t="s">
        <v>2568</v>
      </c>
      <c r="B33" s="2224" t="s">
        <v>2569</v>
      </c>
      <c r="C33" s="54">
        <f>ROUND(D5*C19*C20*C24*F33,0)</f>
        <v>0</v>
      </c>
      <c r="D33" s="2211"/>
      <c r="E33" s="50">
        <f t="shared" ref="E33:E39" si="7">ROUND(C33*D33,0)</f>
        <v>0</v>
      </c>
      <c r="F33" s="50">
        <f>SUMIF(修正!A45:A56,G2,修正!B45:B56)</f>
        <v>0.7</v>
      </c>
      <c r="G33" s="50">
        <f t="shared" ref="G33" si="8">ROUND(IF(E2="工业",C33*$M$39,C33*$M$38),0)</f>
        <v>0</v>
      </c>
      <c r="H33" s="50">
        <f>D33</f>
        <v>0</v>
      </c>
      <c r="I33" s="50">
        <f t="shared" ref="I33:I39" si="9">ROUND(G33*H33,0)</f>
        <v>0</v>
      </c>
      <c r="J33" s="2198"/>
      <c r="K33" s="3014"/>
      <c r="L33" s="3014"/>
      <c r="M33" s="3014"/>
      <c r="N33" s="3014"/>
      <c r="O33" s="3014"/>
      <c r="P33" s="3014"/>
      <c r="Q33" s="3014"/>
      <c r="R33" s="3014"/>
      <c r="S33" s="3014"/>
      <c r="T33" s="3014"/>
      <c r="U33" s="3014"/>
      <c r="V33" s="3014"/>
      <c r="W33" s="3014"/>
      <c r="X33" s="1590"/>
      <c r="Y33" s="1590"/>
      <c r="Z33" s="1590"/>
      <c r="AA33" s="1590"/>
      <c r="AB33" s="1590"/>
      <c r="AC33" s="1590"/>
      <c r="AD33" s="1590"/>
      <c r="AE33" s="1590"/>
      <c r="AF33" s="1590"/>
    </row>
    <row r="34" spans="1:33">
      <c r="A34" s="3612"/>
      <c r="B34" s="2129" t="s">
        <v>2570</v>
      </c>
      <c r="C34" s="54">
        <f>ROUND(D5*C19*C20*C24*F34,0)</f>
        <v>0</v>
      </c>
      <c r="D34" s="2211"/>
      <c r="E34" s="50">
        <f t="shared" si="7"/>
        <v>0</v>
      </c>
      <c r="F34" s="50">
        <f>SUMIF(修正!A45:A56,G2,修正!C45:C56)</f>
        <v>0.4</v>
      </c>
      <c r="G34" s="50">
        <f>ROUND(IF(E2="工业",C34*$M$39,C34*$M$38),0)</f>
        <v>0</v>
      </c>
      <c r="H34" s="50">
        <f t="shared" ref="H34:H39" si="10">D34</f>
        <v>0</v>
      </c>
      <c r="I34" s="50">
        <f t="shared" si="9"/>
        <v>0</v>
      </c>
      <c r="J34" s="2198"/>
      <c r="K34" s="3014"/>
      <c r="L34" s="3014"/>
      <c r="M34" s="3014"/>
      <c r="N34" s="3014"/>
      <c r="O34" s="3014"/>
      <c r="P34" s="3014"/>
      <c r="Q34" s="3014"/>
      <c r="R34" s="3014"/>
      <c r="S34" s="3014"/>
      <c r="T34" s="3014"/>
      <c r="U34" s="3014"/>
      <c r="V34" s="3014"/>
      <c r="W34" s="3014"/>
      <c r="X34" s="1590"/>
      <c r="Y34" s="1590"/>
      <c r="Z34" s="1590"/>
      <c r="AA34" s="1590"/>
      <c r="AB34" s="1590"/>
      <c r="AC34" s="1590"/>
      <c r="AD34" s="1590"/>
      <c r="AE34" s="1590"/>
      <c r="AF34" s="1590"/>
    </row>
    <row r="35" spans="1:33">
      <c r="A35" s="3612"/>
      <c r="B35" s="2129" t="s">
        <v>2571</v>
      </c>
      <c r="C35" s="54">
        <f>ROUND(D5*C19*C20*C24*F35,0)</f>
        <v>0</v>
      </c>
      <c r="D35" s="2211"/>
      <c r="E35" s="50">
        <f t="shared" si="7"/>
        <v>0</v>
      </c>
      <c r="F35" s="50">
        <f>SUMIF(修正!A45:A56,G2,修正!D45:D56)</f>
        <v>0.28000000000000003</v>
      </c>
      <c r="G35" s="50">
        <f>ROUND(IF(E2="工业",C35*$M$39,C35*$M$38),0)</f>
        <v>0</v>
      </c>
      <c r="H35" s="50">
        <f t="shared" si="10"/>
        <v>0</v>
      </c>
      <c r="I35" s="50">
        <f t="shared" si="9"/>
        <v>0</v>
      </c>
      <c r="J35" s="2198"/>
      <c r="K35" s="3014"/>
      <c r="L35" s="3014"/>
      <c r="M35" s="3014"/>
      <c r="N35" s="3014"/>
      <c r="O35" s="3014"/>
      <c r="P35" s="3014"/>
      <c r="Q35" s="3014"/>
      <c r="R35" s="3014"/>
      <c r="S35" s="3014"/>
      <c r="T35" s="3014"/>
      <c r="U35" s="3014"/>
      <c r="V35" s="3014"/>
      <c r="W35" s="3014"/>
      <c r="X35" s="1590"/>
      <c r="Y35" s="1590"/>
      <c r="Z35" s="1590"/>
      <c r="AA35" s="1590"/>
      <c r="AB35" s="1590"/>
      <c r="AC35" s="1590"/>
      <c r="AD35" s="1590"/>
      <c r="AE35" s="1590"/>
      <c r="AF35" s="1590"/>
    </row>
    <row r="36" spans="1:33" ht="13.5" thickBot="1">
      <c r="A36" s="3613"/>
      <c r="B36" s="2129" t="s">
        <v>2572</v>
      </c>
      <c r="C36" s="54">
        <f>ROUND(D5*C19*C20*C24*F36,0)</f>
        <v>0</v>
      </c>
      <c r="D36" s="2211"/>
      <c r="E36" s="50">
        <f t="shared" si="7"/>
        <v>0</v>
      </c>
      <c r="F36" s="50">
        <f>SUMIF(修正!A45:A56,G2,修正!E45:E56)</f>
        <v>0.25</v>
      </c>
      <c r="G36" s="50">
        <f>ROUND(IF(E2="工业",C36*$M$39,C36*$M$38),0)</f>
        <v>0</v>
      </c>
      <c r="H36" s="50">
        <f t="shared" si="10"/>
        <v>0</v>
      </c>
      <c r="I36" s="50">
        <f t="shared" si="9"/>
        <v>0</v>
      </c>
      <c r="J36" s="2198"/>
      <c r="K36" s="3014"/>
      <c r="L36" s="3014"/>
      <c r="M36" s="3014"/>
      <c r="N36" s="3014"/>
      <c r="O36" s="3014"/>
      <c r="P36" s="3014"/>
      <c r="Q36" s="3014"/>
      <c r="R36" s="3014"/>
      <c r="S36" s="3014"/>
      <c r="T36" s="3014"/>
      <c r="U36" s="3014"/>
      <c r="V36" s="3014"/>
      <c r="W36" s="3014"/>
      <c r="X36" s="1590"/>
      <c r="Y36" s="1590"/>
      <c r="Z36" s="1590"/>
      <c r="AA36" s="1590"/>
      <c r="AB36" s="1590"/>
      <c r="AC36" s="1590"/>
      <c r="AD36" s="1590"/>
      <c r="AE36" s="1590"/>
      <c r="AF36" s="1590"/>
    </row>
    <row r="37" spans="1:33">
      <c r="A37" s="2225"/>
      <c r="B37" s="2129" t="s">
        <v>2573</v>
      </c>
      <c r="C37" s="50">
        <f>ROUND(D5*C19*C20*C24*F37,0)</f>
        <v>0</v>
      </c>
      <c r="D37" s="2211"/>
      <c r="E37" s="50">
        <f t="shared" si="7"/>
        <v>0</v>
      </c>
      <c r="F37" s="54">
        <f>SUMIF(修正!A45:A56,G2,修正!F45:F56)</f>
        <v>0.25</v>
      </c>
      <c r="G37" s="50">
        <f>ROUND(IF(E2="工业",C37*$M$39,C37*$M$38),0)</f>
        <v>0</v>
      </c>
      <c r="H37" s="50">
        <f t="shared" si="10"/>
        <v>0</v>
      </c>
      <c r="I37" s="50">
        <f t="shared" si="9"/>
        <v>0</v>
      </c>
      <c r="J37" s="2198"/>
      <c r="K37" s="3014"/>
      <c r="L37" s="2226" t="s">
        <v>2574</v>
      </c>
      <c r="M37" s="2102"/>
      <c r="N37" s="3014"/>
      <c r="O37" s="3014"/>
      <c r="P37" s="3014"/>
      <c r="Q37" s="3014"/>
      <c r="R37" s="3014"/>
      <c r="S37" s="3014"/>
      <c r="T37" s="3014"/>
      <c r="U37" s="3014"/>
      <c r="V37" s="3014"/>
      <c r="W37" s="3014"/>
      <c r="X37" s="1590"/>
      <c r="Y37" s="1590"/>
      <c r="Z37" s="1590"/>
      <c r="AA37" s="1590"/>
      <c r="AB37" s="1590"/>
      <c r="AC37" s="1590"/>
      <c r="AD37" s="1590"/>
      <c r="AE37" s="1590"/>
      <c r="AF37" s="1590"/>
    </row>
    <row r="38" spans="1:33">
      <c r="A38" s="2225"/>
      <c r="B38" s="2129" t="s">
        <v>2575</v>
      </c>
      <c r="C38" s="50">
        <f>ROUND(D5*C19*C41*C24*F38,0)</f>
        <v>0</v>
      </c>
      <c r="D38" s="2211"/>
      <c r="E38" s="50">
        <f t="shared" si="7"/>
        <v>0</v>
      </c>
      <c r="F38" s="54">
        <f>SUMIF(修正!A45:A56,G2,修正!G45:G56)</f>
        <v>0.25</v>
      </c>
      <c r="G38" s="50">
        <f>ROUND(IF(E2="工业",C38*$M$39,C38*$M$38),0)</f>
        <v>0</v>
      </c>
      <c r="H38" s="50">
        <f t="shared" si="10"/>
        <v>0</v>
      </c>
      <c r="I38" s="50">
        <f t="shared" si="9"/>
        <v>0</v>
      </c>
      <c r="J38" s="2198"/>
      <c r="K38" s="3014"/>
      <c r="L38" s="2227" t="s">
        <v>2576</v>
      </c>
      <c r="M38" s="2228">
        <v>0.25</v>
      </c>
      <c r="N38" s="3014"/>
      <c r="O38" s="3014"/>
      <c r="P38" s="3014"/>
      <c r="Q38" s="3014"/>
      <c r="R38" s="3014"/>
      <c r="S38" s="3014"/>
      <c r="T38" s="3014"/>
      <c r="U38" s="3014"/>
      <c r="V38" s="3014"/>
      <c r="W38" s="3014"/>
      <c r="X38" s="1590"/>
      <c r="Y38" s="1590"/>
      <c r="Z38" s="1590"/>
      <c r="AA38" s="1590"/>
      <c r="AB38" s="1590"/>
      <c r="AC38" s="1590"/>
      <c r="AD38" s="1590"/>
      <c r="AE38" s="1590"/>
      <c r="AF38" s="1590"/>
    </row>
    <row r="39" spans="1:33" ht="13.5" thickBot="1">
      <c r="A39" s="2215"/>
      <c r="B39" s="2229" t="s">
        <v>2577</v>
      </c>
      <c r="C39" s="2139">
        <f>ROUND(D5*C19*C41*C24*F39,0)</f>
        <v>0</v>
      </c>
      <c r="D39" s="2216"/>
      <c r="E39" s="2139">
        <f t="shared" si="7"/>
        <v>0</v>
      </c>
      <c r="F39" s="56">
        <f>SUMIF(修正!A45:A56,G2,修正!H45:H56)</f>
        <v>0.2</v>
      </c>
      <c r="G39" s="2139">
        <f>ROUND(IF(E2="工业",C39*$M$39,C39*$M$38),0)</f>
        <v>0</v>
      </c>
      <c r="H39" s="2139">
        <f t="shared" si="10"/>
        <v>0</v>
      </c>
      <c r="I39" s="2139">
        <f t="shared" si="9"/>
        <v>0</v>
      </c>
      <c r="J39" s="2202"/>
      <c r="K39" s="3014"/>
      <c r="L39" s="2230" t="s">
        <v>2518</v>
      </c>
      <c r="M39" s="2231">
        <v>0.15</v>
      </c>
      <c r="N39" s="3014"/>
      <c r="O39" s="3014"/>
      <c r="P39" s="3014"/>
      <c r="Q39" s="3014"/>
      <c r="R39" s="3014"/>
      <c r="S39" s="3014"/>
      <c r="T39" s="3014"/>
      <c r="U39" s="3014"/>
      <c r="V39" s="3014"/>
      <c r="W39" s="3014"/>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4"/>
      <c r="L40" s="3014"/>
      <c r="M40" s="3014"/>
      <c r="N40" s="3014"/>
      <c r="O40" s="3014"/>
      <c r="P40" s="3014"/>
      <c r="Q40" s="3014"/>
      <c r="R40" s="3014"/>
      <c r="S40" s="3014"/>
      <c r="T40" s="3014"/>
      <c r="U40" s="3014"/>
      <c r="V40" s="3014"/>
      <c r="W40" s="3014"/>
      <c r="X40" s="1590"/>
      <c r="Y40" s="1590"/>
      <c r="Z40" s="1590"/>
      <c r="AA40" s="1590"/>
      <c r="AB40" s="1590"/>
      <c r="AC40" s="1590"/>
      <c r="AD40" s="1590"/>
      <c r="AE40" s="1590"/>
      <c r="AF40" s="1590"/>
    </row>
    <row r="41" spans="1:33" s="2232" customFormat="1">
      <c r="A41" s="1590"/>
      <c r="B41" s="2233" t="s">
        <v>2657</v>
      </c>
      <c r="C41" s="50">
        <f>ROUND(POWER(1+E41,H41-G41)*(POWER(1+E41,G41)-1)/(POWER(1+E41,H41)-1),4)</f>
        <v>0</v>
      </c>
      <c r="D41" s="50" t="s">
        <v>2655</v>
      </c>
      <c r="E41" s="2234">
        <f>G20</f>
        <v>5.3999999999999999E-2</v>
      </c>
      <c r="F41" s="50" t="s">
        <v>2656</v>
      </c>
      <c r="G41" s="2235"/>
      <c r="H41" s="50">
        <v>50</v>
      </c>
      <c r="I41" s="1590"/>
      <c r="J41" s="1590"/>
      <c r="K41" s="3014"/>
      <c r="L41" s="3014"/>
      <c r="M41" s="3014"/>
      <c r="N41" s="3014"/>
      <c r="O41" s="3014"/>
      <c r="P41" s="3014"/>
      <c r="Q41" s="3014"/>
      <c r="R41" s="3014"/>
      <c r="S41" s="3014"/>
      <c r="T41" s="3014"/>
      <c r="U41" s="3014"/>
      <c r="V41" s="3014"/>
      <c r="W41" s="3014"/>
      <c r="X41" s="1590"/>
      <c r="Y41" s="1590"/>
      <c r="Z41" s="1590"/>
      <c r="AA41" s="1590"/>
      <c r="AB41" s="1590"/>
      <c r="AC41" s="1590"/>
      <c r="AD41" s="1590"/>
      <c r="AE41" s="1590"/>
      <c r="AF41" s="1590"/>
    </row>
    <row r="42" spans="1:33" s="2232"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0"/>
      <c r="Y42" s="1590"/>
      <c r="Z42" s="1590"/>
      <c r="AA42" s="1590"/>
      <c r="AB42" s="1590"/>
      <c r="AC42" s="1590"/>
      <c r="AD42" s="1590"/>
      <c r="AE42" s="1590"/>
      <c r="AF42" s="1590"/>
    </row>
    <row r="43" spans="1:33" s="2232"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0"/>
      <c r="Y43" s="1590"/>
      <c r="Z43" s="1590"/>
      <c r="AA43" s="1590"/>
      <c r="AB43" s="1590"/>
      <c r="AC43" s="1590"/>
      <c r="AD43" s="1590"/>
      <c r="AE43" s="1590"/>
      <c r="AF43" s="1590"/>
    </row>
    <row r="44" spans="1:33" s="2232"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0"/>
      <c r="Y44" s="1590"/>
      <c r="Z44" s="1590"/>
      <c r="AA44" s="1590"/>
      <c r="AB44" s="1590"/>
      <c r="AC44" s="1590"/>
      <c r="AD44" s="1590"/>
      <c r="AE44" s="1590"/>
      <c r="AF44" s="1590"/>
    </row>
    <row r="45" spans="1:33" s="2232" customFormat="1" ht="15.75" thickBot="1">
      <c r="A45" s="2236" t="s">
        <v>2578</v>
      </c>
      <c r="B45" s="2237"/>
      <c r="C45" s="608"/>
      <c r="D45" s="608"/>
      <c r="E45" s="608"/>
      <c r="F45" s="608"/>
      <c r="G45" s="608"/>
      <c r="H45" s="608"/>
      <c r="I45" s="608"/>
      <c r="J45" s="608"/>
      <c r="K45" s="608"/>
      <c r="L45" s="608"/>
      <c r="M45" s="608"/>
      <c r="N45" s="2067"/>
      <c r="O45" s="1590"/>
      <c r="P45" s="1590"/>
      <c r="Q45" s="3014"/>
      <c r="R45" s="3014"/>
      <c r="S45" s="3014"/>
      <c r="T45" s="3014"/>
      <c r="U45" s="3014"/>
      <c r="V45" s="3014"/>
      <c r="W45" s="3014"/>
      <c r="X45" s="1590"/>
      <c r="Y45" s="1590"/>
      <c r="Z45" s="1590"/>
      <c r="AA45" s="1590"/>
      <c r="AB45" s="1590"/>
      <c r="AC45" s="1590"/>
      <c r="AD45" s="1590"/>
      <c r="AE45" s="1590"/>
      <c r="AF45" s="1590"/>
    </row>
    <row r="46" spans="1:33" s="2232" customFormat="1" ht="15">
      <c r="A46" s="2238" t="s">
        <v>2579</v>
      </c>
      <c r="B46" s="2239">
        <f>1+E48</f>
        <v>1.0193000000000001</v>
      </c>
      <c r="C46" s="2240"/>
      <c r="D46" s="2241"/>
      <c r="E46" s="2242"/>
      <c r="F46" s="2243"/>
      <c r="G46" s="608"/>
      <c r="H46" s="608"/>
      <c r="I46" s="608"/>
      <c r="J46" s="608"/>
      <c r="K46" s="608"/>
      <c r="L46" s="608"/>
      <c r="M46" s="2067"/>
      <c r="N46" s="2244"/>
      <c r="O46" s="1590"/>
      <c r="P46" s="1590"/>
      <c r="Q46" s="3014"/>
      <c r="R46" s="3014"/>
      <c r="S46" s="3014"/>
      <c r="T46" s="3014"/>
      <c r="U46" s="3014"/>
      <c r="V46" s="3014"/>
      <c r="W46" s="3014"/>
      <c r="X46" s="1590"/>
      <c r="Y46" s="1590"/>
      <c r="Z46" s="1590"/>
      <c r="AA46" s="1590"/>
      <c r="AB46" s="1590"/>
      <c r="AC46" s="1590"/>
      <c r="AD46" s="1590"/>
      <c r="AE46" s="1590"/>
    </row>
    <row r="47" spans="1:33" s="2232" customFormat="1" ht="24.75">
      <c r="A47" s="2245" t="s">
        <v>2580</v>
      </c>
      <c r="B47" s="2246" t="s">
        <v>2581</v>
      </c>
      <c r="C47" s="2246" t="s">
        <v>2582</v>
      </c>
      <c r="D47" s="2246" t="s">
        <v>2583</v>
      </c>
      <c r="E47" s="2247" t="s">
        <v>2584</v>
      </c>
      <c r="F47" s="2197" t="s">
        <v>2585</v>
      </c>
      <c r="G47" s="2246" t="s">
        <v>2586</v>
      </c>
      <c r="H47" s="2248" t="s">
        <v>2587</v>
      </c>
      <c r="I47" s="2246" t="s">
        <v>2588</v>
      </c>
      <c r="J47" s="1873" t="s">
        <v>2589</v>
      </c>
      <c r="K47" s="1873" t="s">
        <v>2590</v>
      </c>
      <c r="L47" s="1873" t="s">
        <v>2591</v>
      </c>
      <c r="M47" s="1873" t="s">
        <v>2592</v>
      </c>
      <c r="N47" s="1873" t="s">
        <v>2593</v>
      </c>
      <c r="O47" s="1590"/>
      <c r="P47" s="1590"/>
      <c r="Q47" s="3014"/>
      <c r="R47" s="3014"/>
      <c r="S47" s="3014"/>
      <c r="T47" s="3014"/>
      <c r="U47" s="3014"/>
      <c r="V47" s="3014"/>
      <c r="W47" s="3014"/>
      <c r="X47" s="1590"/>
      <c r="Y47" s="1590"/>
      <c r="Z47" s="1590"/>
      <c r="AA47" s="1590"/>
      <c r="AB47" s="1590"/>
      <c r="AC47" s="1590"/>
      <c r="AD47" s="1590"/>
      <c r="AE47" s="1590"/>
      <c r="AF47" s="1590"/>
      <c r="AG47" s="1590"/>
    </row>
    <row r="48" spans="1:33" s="2232" customFormat="1" ht="24.75">
      <c r="A48" s="2245" t="s">
        <v>2594</v>
      </c>
      <c r="B48" s="2249">
        <f>估价对象房地状况!C16</f>
        <v>0</v>
      </c>
      <c r="C48" s="2133" t="s">
        <v>31</v>
      </c>
      <c r="D48" s="2250">
        <f t="shared" ref="D48:D56" si="11">SUMIF($J$47:$N$47,C48,J48:N48)</f>
        <v>0</v>
      </c>
      <c r="E48" s="2251">
        <f>ROUND(SUM(D48:D56),4)</f>
        <v>1.9300000000000001E-2</v>
      </c>
      <c r="F48" s="2252">
        <f>IF(E2="商业",SUMIF(L1:L12,G2,N1:N12),"——")</f>
        <v>9.7000000000000003E-2</v>
      </c>
      <c r="G48" s="2253">
        <v>1.6E-2</v>
      </c>
      <c r="H48" s="2254">
        <f t="shared" ref="H48:H56" si="12">IFERROR(ROUNDDOWN($F$48*I48/2,4),"——")</f>
        <v>1.6E-2</v>
      </c>
      <c r="I48" s="2255">
        <v>0.33</v>
      </c>
      <c r="J48" s="2256">
        <f t="shared" ref="J48:J56" si="13">K48+$G48</f>
        <v>3.2000000000000001E-2</v>
      </c>
      <c r="K48" s="2256">
        <f t="shared" ref="K48:K56" si="14">$L48+$G48</f>
        <v>1.6E-2</v>
      </c>
      <c r="L48" s="2256">
        <v>0</v>
      </c>
      <c r="M48" s="2256">
        <f t="shared" ref="M48:N56" si="15">L48-$G48</f>
        <v>-1.6E-2</v>
      </c>
      <c r="N48" s="2256">
        <f t="shared" si="15"/>
        <v>-3.2000000000000001E-2</v>
      </c>
      <c r="O48" s="1590"/>
      <c r="P48" s="1590"/>
      <c r="Q48" s="3014"/>
      <c r="R48" s="3014"/>
      <c r="S48" s="3014"/>
      <c r="T48" s="3014"/>
      <c r="U48" s="3014"/>
      <c r="V48" s="3014"/>
      <c r="W48" s="3014"/>
      <c r="X48" s="1590"/>
      <c r="Y48" s="1590"/>
      <c r="Z48" s="1590"/>
      <c r="AA48" s="1590"/>
      <c r="AB48" s="1590"/>
      <c r="AC48" s="1590"/>
      <c r="AD48" s="1590"/>
      <c r="AE48" s="1590"/>
      <c r="AF48" s="1590"/>
      <c r="AG48" s="1590"/>
    </row>
    <row r="49" spans="1:33" s="2232" customFormat="1" ht="51">
      <c r="A49" s="2245" t="s">
        <v>2595</v>
      </c>
      <c r="B49" s="2257" t="str">
        <f>估价对象房地状况!C18</f>
        <v>周边有75、110、420路及地铁2号、6号线，周边道路密集，停车便捷程度，综合评价交通便捷度好</v>
      </c>
      <c r="C49" s="2133" t="s">
        <v>30</v>
      </c>
      <c r="D49" s="2250">
        <f t="shared" si="11"/>
        <v>1.21E-2</v>
      </c>
      <c r="E49" s="2258"/>
      <c r="F49" s="2252"/>
      <c r="G49" s="2253">
        <v>1.21E-2</v>
      </c>
      <c r="H49" s="2254">
        <f t="shared" si="12"/>
        <v>1.21E-2</v>
      </c>
      <c r="I49" s="2255">
        <v>0.25</v>
      </c>
      <c r="J49" s="2256">
        <f t="shared" si="13"/>
        <v>2.4199999999999999E-2</v>
      </c>
      <c r="K49" s="2256">
        <f t="shared" si="14"/>
        <v>1.21E-2</v>
      </c>
      <c r="L49" s="2256">
        <v>0</v>
      </c>
      <c r="M49" s="2256">
        <f t="shared" si="15"/>
        <v>-1.21E-2</v>
      </c>
      <c r="N49" s="2256">
        <f t="shared" si="15"/>
        <v>-2.4199999999999999E-2</v>
      </c>
      <c r="O49" s="1590"/>
      <c r="P49" s="1590"/>
      <c r="Q49" s="3014"/>
      <c r="R49" s="3014"/>
      <c r="S49" s="3014"/>
      <c r="T49" s="3014"/>
      <c r="U49" s="3014"/>
      <c r="V49" s="3014"/>
      <c r="W49" s="3014"/>
      <c r="X49" s="1590"/>
      <c r="Y49" s="1590"/>
      <c r="Z49" s="1590"/>
      <c r="AA49" s="1590"/>
      <c r="AB49" s="1590"/>
      <c r="AC49" s="1590"/>
      <c r="AD49" s="1590"/>
      <c r="AE49" s="1590"/>
      <c r="AF49" s="1590"/>
      <c r="AG49" s="1590"/>
    </row>
    <row r="50" spans="1:33" s="2232" customFormat="1" ht="24">
      <c r="A50" s="2245" t="s">
        <v>2596</v>
      </c>
      <c r="B50" s="2257" t="str">
        <f>估价对象房地状况!C19</f>
        <v>较好</v>
      </c>
      <c r="C50" s="2133" t="s">
        <v>30</v>
      </c>
      <c r="D50" s="2250">
        <f t="shared" si="11"/>
        <v>2.3999999999999998E-3</v>
      </c>
      <c r="E50" s="2258"/>
      <c r="F50" s="2252"/>
      <c r="G50" s="2253">
        <v>2.3999999999999998E-3</v>
      </c>
      <c r="H50" s="2254">
        <f t="shared" si="12"/>
        <v>2.3999999999999998E-3</v>
      </c>
      <c r="I50" s="2255">
        <v>0.05</v>
      </c>
      <c r="J50" s="2256">
        <f t="shared" si="13"/>
        <v>4.7999999999999996E-3</v>
      </c>
      <c r="K50" s="2256">
        <f t="shared" si="14"/>
        <v>2.3999999999999998E-3</v>
      </c>
      <c r="L50" s="2256">
        <v>0</v>
      </c>
      <c r="M50" s="2256">
        <f t="shared" si="15"/>
        <v>-2.3999999999999998E-3</v>
      </c>
      <c r="N50" s="2256">
        <f t="shared" si="15"/>
        <v>-4.7999999999999996E-3</v>
      </c>
      <c r="O50" s="1590"/>
      <c r="P50" s="1590"/>
      <c r="Q50" s="3014"/>
      <c r="R50" s="3014"/>
      <c r="S50" s="3014"/>
      <c r="T50" s="3014"/>
      <c r="U50" s="3014"/>
      <c r="V50" s="3014"/>
      <c r="W50" s="3014"/>
      <c r="X50" s="1590"/>
      <c r="Y50" s="1590"/>
      <c r="Z50" s="1590"/>
      <c r="AA50" s="1590"/>
      <c r="AB50" s="1590"/>
      <c r="AC50" s="1590"/>
      <c r="AD50" s="1590"/>
      <c r="AE50" s="1590"/>
      <c r="AF50" s="1590"/>
      <c r="AG50" s="1590"/>
    </row>
    <row r="51" spans="1:33" s="2232" customFormat="1" ht="36.75">
      <c r="A51" s="2245" t="s">
        <v>2597</v>
      </c>
      <c r="B51" s="2259" t="s">
        <v>2598</v>
      </c>
      <c r="C51" s="2133" t="s">
        <v>30</v>
      </c>
      <c r="D51" s="2250">
        <f t="shared" si="11"/>
        <v>2.3999999999999998E-3</v>
      </c>
      <c r="E51" s="2258"/>
      <c r="F51" s="2252"/>
      <c r="G51" s="2253">
        <v>2.3999999999999998E-3</v>
      </c>
      <c r="H51" s="2254">
        <f t="shared" si="12"/>
        <v>2.3999999999999998E-3</v>
      </c>
      <c r="I51" s="2255">
        <v>0.05</v>
      </c>
      <c r="J51" s="2256">
        <f t="shared" si="13"/>
        <v>4.7999999999999996E-3</v>
      </c>
      <c r="K51" s="2256">
        <f t="shared" si="14"/>
        <v>2.3999999999999998E-3</v>
      </c>
      <c r="L51" s="2256">
        <v>0</v>
      </c>
      <c r="M51" s="2256">
        <f t="shared" si="15"/>
        <v>-2.3999999999999998E-3</v>
      </c>
      <c r="N51" s="2256">
        <f t="shared" si="15"/>
        <v>-4.7999999999999996E-3</v>
      </c>
      <c r="O51" s="1590"/>
      <c r="P51" s="1590"/>
      <c r="Q51" s="3014"/>
      <c r="R51" s="3014"/>
      <c r="S51" s="3014"/>
      <c r="T51" s="3014"/>
      <c r="U51" s="3014"/>
      <c r="V51" s="3014"/>
      <c r="W51" s="3014"/>
      <c r="X51" s="1590"/>
      <c r="Y51" s="1590"/>
      <c r="Z51" s="1590"/>
      <c r="AA51" s="1590"/>
      <c r="AB51" s="1590"/>
      <c r="AC51" s="1590"/>
      <c r="AD51" s="1590"/>
      <c r="AE51" s="1590"/>
      <c r="AF51" s="1590"/>
      <c r="AG51" s="1590"/>
    </row>
    <row r="52" spans="1:33" s="2232" customFormat="1" ht="25.5">
      <c r="A52" s="2245" t="s">
        <v>2599</v>
      </c>
      <c r="B52" s="2257" t="str">
        <f>估价对象房地状况!C24</f>
        <v>城市主干道——朝阳门外大街</v>
      </c>
      <c r="C52" s="2133" t="s">
        <v>32</v>
      </c>
      <c r="D52" s="2250">
        <f t="shared" si="11"/>
        <v>-3.8E-3</v>
      </c>
      <c r="E52" s="2258"/>
      <c r="F52" s="2252"/>
      <c r="G52" s="2253">
        <v>3.8E-3</v>
      </c>
      <c r="H52" s="2254">
        <f t="shared" si="12"/>
        <v>3.8E-3</v>
      </c>
      <c r="I52" s="2255">
        <v>0.08</v>
      </c>
      <c r="J52" s="2256">
        <f t="shared" si="13"/>
        <v>7.6E-3</v>
      </c>
      <c r="K52" s="2256">
        <f t="shared" si="14"/>
        <v>3.8E-3</v>
      </c>
      <c r="L52" s="2256">
        <v>0</v>
      </c>
      <c r="M52" s="2256">
        <f t="shared" si="15"/>
        <v>-3.8E-3</v>
      </c>
      <c r="N52" s="2256">
        <f t="shared" si="15"/>
        <v>-7.6E-3</v>
      </c>
      <c r="O52" s="1590"/>
      <c r="P52" s="1590"/>
      <c r="Q52" s="3014"/>
      <c r="R52" s="3014"/>
      <c r="S52" s="3014"/>
      <c r="T52" s="3014"/>
      <c r="U52" s="3014"/>
      <c r="V52" s="3014"/>
      <c r="W52" s="3014"/>
      <c r="X52" s="1590"/>
      <c r="Y52" s="1590"/>
      <c r="Z52" s="1590"/>
      <c r="AA52" s="1590"/>
      <c r="AB52" s="1590"/>
      <c r="AC52" s="1590"/>
      <c r="AD52" s="1590"/>
      <c r="AE52" s="1590"/>
      <c r="AF52" s="1590"/>
      <c r="AG52" s="1590"/>
    </row>
    <row r="53" spans="1:33" s="2232" customFormat="1" ht="24">
      <c r="A53" s="2245" t="s">
        <v>2600</v>
      </c>
      <c r="B53" s="2260" t="s">
        <v>2601</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0"/>
      <c r="P53" s="1590"/>
      <c r="Q53" s="3014"/>
      <c r="R53" s="3014"/>
      <c r="S53" s="3014"/>
      <c r="T53" s="3014"/>
      <c r="U53" s="3014"/>
      <c r="V53" s="3014"/>
      <c r="W53" s="3014"/>
      <c r="X53" s="1590"/>
      <c r="Y53" s="1590"/>
      <c r="Z53" s="1590"/>
      <c r="AA53" s="1590"/>
      <c r="AB53" s="1590"/>
      <c r="AC53" s="1590"/>
      <c r="AD53" s="1590"/>
      <c r="AE53" s="1590"/>
      <c r="AF53" s="1590"/>
      <c r="AG53" s="1590"/>
    </row>
    <row r="54" spans="1:33" s="2232" customFormat="1" ht="51">
      <c r="A54" s="2261" t="s">
        <v>2602</v>
      </c>
      <c r="B54" s="2262" t="str">
        <f>估价对象房地状况!C21</f>
        <v>估价对象所在区域银行、购物场所、学校等公共配套设施齐备，综合评价公共配套设施水平好。</v>
      </c>
      <c r="C54" s="2133" t="s">
        <v>31</v>
      </c>
      <c r="D54" s="2250">
        <f t="shared" si="11"/>
        <v>0</v>
      </c>
      <c r="E54" s="2258"/>
      <c r="F54" s="2252"/>
      <c r="G54" s="2253">
        <v>2.3999999999999998E-3</v>
      </c>
      <c r="H54" s="2254">
        <f t="shared" si="12"/>
        <v>2.3999999999999998E-3</v>
      </c>
      <c r="I54" s="2255">
        <v>0.05</v>
      </c>
      <c r="J54" s="2256">
        <f t="shared" si="13"/>
        <v>4.7999999999999996E-3</v>
      </c>
      <c r="K54" s="2256">
        <f t="shared" si="14"/>
        <v>2.3999999999999998E-3</v>
      </c>
      <c r="L54" s="2256">
        <v>0</v>
      </c>
      <c r="M54" s="2256">
        <f t="shared" si="15"/>
        <v>-2.3999999999999998E-3</v>
      </c>
      <c r="N54" s="2256">
        <f t="shared" si="15"/>
        <v>-4.7999999999999996E-3</v>
      </c>
      <c r="O54" s="1590"/>
      <c r="P54" s="1590"/>
      <c r="Q54" s="3014"/>
      <c r="R54" s="3014"/>
      <c r="S54" s="3014"/>
      <c r="T54" s="3014"/>
      <c r="U54" s="3014"/>
      <c r="V54" s="3014"/>
      <c r="W54" s="3014"/>
      <c r="X54" s="1590"/>
      <c r="Y54" s="1590"/>
      <c r="Z54" s="1590"/>
      <c r="AA54" s="1590"/>
      <c r="AB54" s="1590"/>
      <c r="AC54" s="1590"/>
      <c r="AD54" s="1590"/>
      <c r="AE54" s="1590"/>
      <c r="AF54" s="1590"/>
      <c r="AG54" s="1590"/>
    </row>
    <row r="55" spans="1:33" s="2232" customFormat="1" ht="25.5">
      <c r="A55" s="2261" t="s">
        <v>2603</v>
      </c>
      <c r="B55" s="2257" t="str">
        <f>估价对象房地状况!C22</f>
        <v>估价对象所在区域基础设施水平“七通一平</v>
      </c>
      <c r="C55" s="2133" t="s">
        <v>30</v>
      </c>
      <c r="D55" s="2250">
        <f t="shared" si="11"/>
        <v>4.7999999999999996E-3</v>
      </c>
      <c r="E55" s="2258"/>
      <c r="F55" s="2252"/>
      <c r="G55" s="2253">
        <v>4.7999999999999996E-3</v>
      </c>
      <c r="H55" s="2254">
        <f t="shared" si="12"/>
        <v>4.7999999999999996E-3</v>
      </c>
      <c r="I55" s="2255">
        <v>0.1</v>
      </c>
      <c r="J55" s="2256">
        <f t="shared" si="13"/>
        <v>9.5999999999999992E-3</v>
      </c>
      <c r="K55" s="2256">
        <f t="shared" si="14"/>
        <v>4.7999999999999996E-3</v>
      </c>
      <c r="L55" s="2256">
        <v>0</v>
      </c>
      <c r="M55" s="2256">
        <f t="shared" si="15"/>
        <v>-4.7999999999999996E-3</v>
      </c>
      <c r="N55" s="2256">
        <f t="shared" si="15"/>
        <v>-9.5999999999999992E-3</v>
      </c>
      <c r="O55" s="1590"/>
      <c r="P55" s="1590"/>
      <c r="Q55" s="3014"/>
      <c r="R55" s="3014"/>
      <c r="S55" s="3014"/>
      <c r="T55" s="3014"/>
      <c r="U55" s="3014"/>
      <c r="V55" s="3014"/>
      <c r="W55" s="3014"/>
      <c r="X55" s="1590"/>
      <c r="Y55" s="1590"/>
      <c r="Z55" s="1590"/>
      <c r="AA55" s="1590"/>
      <c r="AB55" s="1590"/>
      <c r="AC55" s="1590"/>
      <c r="AD55" s="1590"/>
      <c r="AE55" s="1590"/>
      <c r="AF55" s="1590"/>
      <c r="AG55" s="1590"/>
    </row>
    <row r="56" spans="1:33" s="2232" customFormat="1" ht="64.5" thickBot="1">
      <c r="A56" s="2263" t="s">
        <v>2604</v>
      </c>
      <c r="B56" s="2264" t="str">
        <f>估价对象房地状况!C20</f>
        <v>区域内有东城职业大学、日坛公园、富国海底世界等自然及人文环境，综合评价自然及人文环境状况较好。</v>
      </c>
      <c r="C56" s="2133" t="s">
        <v>31</v>
      </c>
      <c r="D56" s="2250">
        <f t="shared" si="11"/>
        <v>0</v>
      </c>
      <c r="E56" s="2265"/>
      <c r="F56" s="2252"/>
      <c r="G56" s="2253">
        <v>2.8999999999999998E-3</v>
      </c>
      <c r="H56" s="2254">
        <f t="shared" si="12"/>
        <v>2.8999999999999998E-3</v>
      </c>
      <c r="I56" s="2266">
        <v>0.06</v>
      </c>
      <c r="J56" s="2256">
        <f t="shared" si="13"/>
        <v>5.7999999999999996E-3</v>
      </c>
      <c r="K56" s="2256">
        <f t="shared" si="14"/>
        <v>2.8999999999999998E-3</v>
      </c>
      <c r="L56" s="2256">
        <v>0</v>
      </c>
      <c r="M56" s="2256">
        <f t="shared" si="15"/>
        <v>-2.8999999999999998E-3</v>
      </c>
      <c r="N56" s="2256">
        <f t="shared" si="15"/>
        <v>-5.7999999999999996E-3</v>
      </c>
      <c r="O56" s="1590"/>
      <c r="P56" s="1590"/>
      <c r="Q56" s="3014"/>
      <c r="R56" s="3014"/>
      <c r="S56" s="3014"/>
      <c r="T56" s="3014"/>
      <c r="U56" s="3014"/>
      <c r="V56" s="3014"/>
      <c r="W56" s="3014"/>
      <c r="X56" s="1590"/>
      <c r="Y56" s="1590"/>
      <c r="Z56" s="1590"/>
      <c r="AA56" s="1590"/>
      <c r="AB56" s="1590"/>
      <c r="AC56" s="1590"/>
      <c r="AD56" s="1590"/>
      <c r="AE56" s="1590"/>
      <c r="AF56" s="1590"/>
      <c r="AG56" s="1590"/>
    </row>
    <row r="57" spans="1:33" s="2232" customFormat="1" ht="15">
      <c r="A57" s="2238" t="s">
        <v>2605</v>
      </c>
      <c r="B57" s="2267">
        <f>1+E59</f>
        <v>1</v>
      </c>
      <c r="C57" s="2241"/>
      <c r="D57" s="2241"/>
      <c r="E57" s="2242"/>
      <c r="F57" s="2243"/>
      <c r="G57" s="608"/>
      <c r="H57" s="608"/>
      <c r="I57" s="608"/>
      <c r="J57" s="608"/>
      <c r="K57" s="608"/>
      <c r="L57" s="608"/>
      <c r="M57" s="608"/>
      <c r="N57" s="608"/>
      <c r="O57" s="1590"/>
      <c r="P57" s="1590"/>
      <c r="Q57" s="3014"/>
      <c r="R57" s="3014"/>
      <c r="S57" s="3014"/>
      <c r="T57" s="3014"/>
      <c r="U57" s="3014"/>
      <c r="V57" s="3014"/>
      <c r="W57" s="3014"/>
      <c r="X57" s="1590"/>
      <c r="Y57" s="1590"/>
      <c r="Z57" s="1590"/>
      <c r="AA57" s="1590"/>
      <c r="AB57" s="1590"/>
      <c r="AC57" s="1590"/>
      <c r="AD57" s="1590"/>
      <c r="AE57" s="1590"/>
      <c r="AF57" s="1590"/>
      <c r="AG57" s="1590"/>
    </row>
    <row r="58" spans="1:33" s="2232" customFormat="1" ht="24.75">
      <c r="A58" s="2245" t="s">
        <v>2580</v>
      </c>
      <c r="B58" s="2257"/>
      <c r="C58" s="2246" t="s">
        <v>2582</v>
      </c>
      <c r="D58" s="2246" t="s">
        <v>2583</v>
      </c>
      <c r="E58" s="2247" t="s">
        <v>2584</v>
      </c>
      <c r="F58" s="2197" t="s">
        <v>2585</v>
      </c>
      <c r="G58" s="2246" t="s">
        <v>2606</v>
      </c>
      <c r="H58" s="2248" t="s">
        <v>2607</v>
      </c>
      <c r="I58" s="2246" t="s">
        <v>2608</v>
      </c>
      <c r="J58" s="1873" t="s">
        <v>2249</v>
      </c>
      <c r="K58" s="1873" t="s">
        <v>2250</v>
      </c>
      <c r="L58" s="1873" t="s">
        <v>2251</v>
      </c>
      <c r="M58" s="1873" t="s">
        <v>2252</v>
      </c>
      <c r="N58" s="1873" t="s">
        <v>2253</v>
      </c>
      <c r="O58" s="1590"/>
      <c r="P58" s="1590"/>
      <c r="Q58" s="3014"/>
      <c r="R58" s="3014"/>
      <c r="S58" s="3014"/>
      <c r="T58" s="3014"/>
      <c r="U58" s="3014"/>
      <c r="V58" s="3014"/>
      <c r="W58" s="3014"/>
      <c r="X58" s="1590"/>
      <c r="Y58" s="1590"/>
      <c r="Z58" s="1590"/>
      <c r="AA58" s="1590"/>
      <c r="AB58" s="1590"/>
      <c r="AC58" s="1590"/>
      <c r="AD58" s="1590"/>
      <c r="AE58" s="1590"/>
      <c r="AF58" s="1590"/>
      <c r="AG58" s="1590"/>
    </row>
    <row r="59" spans="1:33" s="2232" customFormat="1" ht="63.75">
      <c r="A59" s="2245" t="s">
        <v>2609</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4"/>
      <c r="R59" s="3014"/>
      <c r="S59" s="3014"/>
      <c r="T59" s="3014"/>
      <c r="U59" s="3014"/>
      <c r="V59" s="3014"/>
      <c r="W59" s="3014"/>
      <c r="X59" s="1590"/>
      <c r="Y59" s="1590"/>
      <c r="Z59" s="1590"/>
      <c r="AA59" s="1590"/>
      <c r="AB59" s="1590"/>
      <c r="AC59" s="1590"/>
      <c r="AD59" s="1590"/>
      <c r="AE59" s="1590"/>
      <c r="AF59" s="1590"/>
      <c r="AG59" s="1590"/>
    </row>
    <row r="60" spans="1:33" s="2232" customFormat="1" ht="51">
      <c r="A60" s="2245" t="s">
        <v>2595</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4"/>
      <c r="R60" s="3014"/>
      <c r="S60" s="3014"/>
      <c r="T60" s="3014"/>
      <c r="U60" s="3014"/>
      <c r="V60" s="3014"/>
      <c r="W60" s="3014"/>
      <c r="X60" s="1590"/>
      <c r="Y60" s="1590"/>
      <c r="Z60" s="1590"/>
      <c r="AA60" s="1590"/>
      <c r="AB60" s="1590"/>
      <c r="AC60" s="1590"/>
      <c r="AD60" s="1590"/>
      <c r="AE60" s="1590"/>
      <c r="AF60" s="1590"/>
      <c r="AG60" s="1590"/>
    </row>
    <row r="61" spans="1:33" s="2232" customFormat="1" ht="24">
      <c r="A61" s="2245" t="s">
        <v>2596</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4"/>
      <c r="R61" s="3014"/>
      <c r="S61" s="3014"/>
      <c r="T61" s="3014"/>
      <c r="U61" s="3014"/>
      <c r="V61" s="3014"/>
      <c r="W61" s="3014"/>
      <c r="X61" s="1590"/>
      <c r="Y61" s="1590"/>
      <c r="Z61" s="1590"/>
      <c r="AA61" s="1590"/>
      <c r="AB61" s="1590"/>
      <c r="AC61" s="1590"/>
      <c r="AD61" s="1590"/>
      <c r="AE61" s="1590"/>
      <c r="AF61" s="1590"/>
      <c r="AG61" s="1590"/>
    </row>
    <row r="62" spans="1:33" s="2232" customFormat="1" ht="36.75">
      <c r="A62" s="2245" t="s">
        <v>2597</v>
      </c>
      <c r="B62" s="2259" t="s">
        <v>2598</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4"/>
      <c r="R62" s="3014"/>
      <c r="S62" s="3014"/>
      <c r="T62" s="3014"/>
      <c r="U62" s="3014"/>
      <c r="V62" s="3014"/>
      <c r="W62" s="3014"/>
      <c r="X62" s="1590"/>
      <c r="Y62" s="1590"/>
      <c r="Z62" s="1590"/>
      <c r="AA62" s="1590"/>
      <c r="AB62" s="1590"/>
      <c r="AC62" s="1590"/>
      <c r="AD62" s="1590"/>
      <c r="AE62" s="1590"/>
      <c r="AF62" s="1590"/>
      <c r="AG62" s="1590"/>
    </row>
    <row r="63" spans="1:33" s="2232" customFormat="1" ht="25.5">
      <c r="A63" s="2245" t="s">
        <v>2599</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4"/>
      <c r="R63" s="3014"/>
      <c r="S63" s="3014"/>
      <c r="T63" s="3014"/>
      <c r="U63" s="3014"/>
      <c r="V63" s="3014"/>
      <c r="W63" s="3014"/>
      <c r="X63" s="1590"/>
      <c r="Y63" s="1590"/>
      <c r="Z63" s="1590"/>
      <c r="AA63" s="1590"/>
      <c r="AB63" s="1590"/>
      <c r="AC63" s="1590"/>
      <c r="AD63" s="1590"/>
      <c r="AE63" s="1590"/>
      <c r="AF63" s="1590"/>
      <c r="AG63" s="1590"/>
    </row>
    <row r="64" spans="1:33" s="2232" customFormat="1" ht="24">
      <c r="A64" s="2245" t="s">
        <v>2600</v>
      </c>
      <c r="B64" s="2260" t="s">
        <v>2601</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4"/>
      <c r="R64" s="3014"/>
      <c r="S64" s="3014"/>
      <c r="T64" s="3014"/>
      <c r="U64" s="3014"/>
      <c r="V64" s="3014"/>
      <c r="W64" s="3014"/>
      <c r="X64" s="1590"/>
      <c r="Y64" s="1590"/>
      <c r="Z64" s="1590"/>
      <c r="AA64" s="1590"/>
      <c r="AB64" s="1590"/>
      <c r="AC64" s="1590"/>
      <c r="AD64" s="1590"/>
      <c r="AE64" s="1590"/>
      <c r="AF64" s="1590"/>
      <c r="AG64" s="1590"/>
    </row>
    <row r="65" spans="1:33" s="2232" customFormat="1" ht="51">
      <c r="A65" s="2245" t="s">
        <v>2602</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4"/>
      <c r="R65" s="3014"/>
      <c r="S65" s="3014"/>
      <c r="T65" s="3014"/>
      <c r="U65" s="3014"/>
      <c r="V65" s="3014"/>
      <c r="W65" s="3014"/>
      <c r="X65" s="1590"/>
      <c r="Y65" s="1590"/>
      <c r="Z65" s="1590"/>
      <c r="AA65" s="1590"/>
      <c r="AB65" s="1590"/>
      <c r="AC65" s="1590"/>
      <c r="AD65" s="1590"/>
      <c r="AE65" s="1590"/>
      <c r="AF65" s="1590"/>
      <c r="AG65" s="1590"/>
    </row>
    <row r="66" spans="1:33" s="2232" customFormat="1" ht="25.5">
      <c r="A66" s="2245" t="s">
        <v>2603</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4"/>
      <c r="R66" s="3014"/>
      <c r="S66" s="3014"/>
      <c r="T66" s="3014"/>
      <c r="U66" s="3014"/>
      <c r="V66" s="3014"/>
      <c r="W66" s="3014"/>
      <c r="X66" s="1590"/>
      <c r="Y66" s="1590"/>
      <c r="Z66" s="1590"/>
      <c r="AA66" s="1590"/>
      <c r="AB66" s="1590"/>
      <c r="AC66" s="1590"/>
      <c r="AD66" s="1590"/>
      <c r="AE66" s="1590"/>
      <c r="AF66" s="1590"/>
      <c r="AG66" s="1590"/>
    </row>
    <row r="67" spans="1:33" s="2232" customFormat="1" ht="64.5" thickBot="1">
      <c r="A67" s="2263" t="s">
        <v>2604</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4"/>
      <c r="R67" s="3014"/>
      <c r="S67" s="3014"/>
      <c r="T67" s="3014"/>
      <c r="U67" s="3014"/>
      <c r="V67" s="3014"/>
      <c r="W67" s="3014"/>
      <c r="X67" s="1590"/>
      <c r="Y67" s="1590"/>
      <c r="Z67" s="1590"/>
      <c r="AA67" s="1590"/>
      <c r="AB67" s="1590"/>
      <c r="AC67" s="1590"/>
      <c r="AD67" s="1590"/>
      <c r="AE67" s="1590"/>
      <c r="AF67" s="1590"/>
      <c r="AG67" s="1590"/>
    </row>
    <row r="68" spans="1:33" s="2232" customFormat="1" ht="15">
      <c r="A68" s="2238" t="s">
        <v>2610</v>
      </c>
      <c r="B68" s="2267">
        <f>1+E70</f>
        <v>1</v>
      </c>
      <c r="C68" s="2241"/>
      <c r="D68" s="2241"/>
      <c r="E68" s="2242"/>
      <c r="F68" s="2243"/>
      <c r="G68" s="608"/>
      <c r="H68" s="608"/>
      <c r="I68" s="608"/>
      <c r="J68" s="608"/>
      <c r="K68" s="608"/>
      <c r="L68" s="608"/>
      <c r="M68" s="608"/>
      <c r="N68" s="608"/>
      <c r="O68" s="1590"/>
      <c r="P68" s="1590"/>
      <c r="Q68" s="3014"/>
      <c r="R68" s="3014"/>
      <c r="S68" s="3014"/>
      <c r="T68" s="3014"/>
      <c r="U68" s="3014"/>
      <c r="V68" s="3014"/>
      <c r="W68" s="3014"/>
      <c r="X68" s="1590"/>
      <c r="Y68" s="1590"/>
      <c r="Z68" s="1590"/>
      <c r="AA68" s="1590"/>
      <c r="AB68" s="1590"/>
      <c r="AC68" s="1590"/>
      <c r="AD68" s="1590"/>
      <c r="AE68" s="1590"/>
      <c r="AF68" s="1590"/>
      <c r="AG68" s="1590"/>
    </row>
    <row r="69" spans="1:33" s="2232" customFormat="1" ht="24.75">
      <c r="A69" s="2245" t="s">
        <v>2580</v>
      </c>
      <c r="B69" s="2257"/>
      <c r="C69" s="2246" t="s">
        <v>2582</v>
      </c>
      <c r="D69" s="2246" t="s">
        <v>2583</v>
      </c>
      <c r="E69" s="2247" t="s">
        <v>2584</v>
      </c>
      <c r="F69" s="2197" t="s">
        <v>2585</v>
      </c>
      <c r="G69" s="2246" t="s">
        <v>2606</v>
      </c>
      <c r="H69" s="2248" t="s">
        <v>2607</v>
      </c>
      <c r="I69" s="2246" t="s">
        <v>2608</v>
      </c>
      <c r="J69" s="1873" t="s">
        <v>2249</v>
      </c>
      <c r="K69" s="1873" t="s">
        <v>2250</v>
      </c>
      <c r="L69" s="1873" t="s">
        <v>2251</v>
      </c>
      <c r="M69" s="1873" t="s">
        <v>2252</v>
      </c>
      <c r="N69" s="1873" t="s">
        <v>2253</v>
      </c>
      <c r="O69" s="1590"/>
      <c r="P69" s="1590"/>
      <c r="Q69" s="3014"/>
      <c r="R69" s="3014"/>
      <c r="S69" s="3014"/>
      <c r="T69" s="3014"/>
      <c r="U69" s="3014"/>
      <c r="V69" s="3014"/>
      <c r="W69" s="3014"/>
      <c r="X69" s="1590"/>
      <c r="Y69" s="1590"/>
      <c r="Z69" s="1590"/>
      <c r="AA69" s="1590"/>
      <c r="AB69" s="1590"/>
      <c r="AC69" s="1590"/>
      <c r="AD69" s="1590"/>
      <c r="AE69" s="1590"/>
      <c r="AF69" s="1590"/>
      <c r="AG69" s="1590"/>
    </row>
    <row r="70" spans="1:33" s="2232" customFormat="1" ht="24">
      <c r="A70" s="2245" t="s">
        <v>2611</v>
      </c>
      <c r="B70" s="2249">
        <f>估价对象房地状况!C15</f>
        <v>0</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4"/>
      <c r="R70" s="3014"/>
      <c r="S70" s="3014"/>
      <c r="T70" s="3014"/>
      <c r="U70" s="3014"/>
      <c r="V70" s="3014"/>
      <c r="W70" s="3014"/>
      <c r="X70" s="1590"/>
      <c r="Y70" s="1590"/>
      <c r="Z70" s="1590"/>
      <c r="AA70" s="1590"/>
      <c r="AB70" s="1590"/>
      <c r="AC70" s="1590"/>
      <c r="AD70" s="1590"/>
      <c r="AE70" s="1590"/>
      <c r="AF70" s="1590"/>
      <c r="AG70" s="1590"/>
    </row>
    <row r="71" spans="1:33" s="2232" customFormat="1" ht="51">
      <c r="A71" s="2245" t="s">
        <v>2595</v>
      </c>
      <c r="B71" s="2257" t="str">
        <f>估价对象房地状况!C18</f>
        <v>周边有75、110、420路及地铁2号、6号线，周边道路密集，停车便捷程度，综合评价交通便捷度好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0"/>
      <c r="P71" s="1590"/>
      <c r="Q71" s="3014"/>
      <c r="R71" s="3014"/>
      <c r="S71" s="3014"/>
      <c r="T71" s="3014"/>
      <c r="U71" s="3014"/>
      <c r="V71" s="3014"/>
      <c r="W71" s="3014"/>
      <c r="X71" s="1590"/>
      <c r="Y71" s="1590"/>
      <c r="Z71" s="1590"/>
      <c r="AA71" s="1590"/>
      <c r="AB71" s="1590"/>
      <c r="AC71" s="1590"/>
      <c r="AD71" s="1590"/>
      <c r="AE71" s="1590"/>
      <c r="AF71" s="1590"/>
      <c r="AG71" s="1590"/>
    </row>
    <row r="72" spans="1:33" s="2232" customFormat="1" ht="24">
      <c r="A72" s="2245" t="s">
        <v>2596</v>
      </c>
      <c r="B72" s="2257" t="str">
        <f>估价对象房地状况!C19</f>
        <v>较好</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0"/>
      <c r="P72" s="1590"/>
      <c r="Q72" s="3014"/>
      <c r="R72" s="3014"/>
      <c r="S72" s="3014"/>
      <c r="T72" s="3014"/>
      <c r="U72" s="3014"/>
      <c r="V72" s="3014"/>
      <c r="W72" s="3014"/>
      <c r="X72" s="1590"/>
      <c r="Y72" s="1590"/>
      <c r="Z72" s="1590"/>
      <c r="AA72" s="1590"/>
      <c r="AB72" s="1590"/>
      <c r="AC72" s="1590"/>
      <c r="AD72" s="1590"/>
      <c r="AE72" s="1590"/>
      <c r="AF72" s="1590"/>
      <c r="AG72" s="1590"/>
    </row>
    <row r="73" spans="1:33" s="2232" customFormat="1" ht="25.5">
      <c r="A73" s="2245" t="s">
        <v>2612</v>
      </c>
      <c r="B73" s="2257" t="str">
        <f>估价对象房地状况!C24</f>
        <v>城市主干道——朝阳门外大街</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0"/>
      <c r="P73" s="1590"/>
      <c r="Q73" s="3014"/>
      <c r="R73" s="3014"/>
      <c r="S73" s="3014"/>
      <c r="T73" s="3014"/>
      <c r="U73" s="3014"/>
      <c r="V73" s="3014"/>
      <c r="W73" s="3014"/>
      <c r="X73" s="1590"/>
      <c r="Y73" s="1590"/>
      <c r="Z73" s="1590"/>
      <c r="AA73" s="1590"/>
      <c r="AB73" s="1590"/>
      <c r="AC73" s="1590"/>
      <c r="AD73" s="1590"/>
      <c r="AE73" s="1590"/>
      <c r="AF73" s="1590"/>
      <c r="AG73" s="1590"/>
    </row>
    <row r="74" spans="1:33" s="2232" customFormat="1" ht="51">
      <c r="A74" s="2245" t="s">
        <v>2602</v>
      </c>
      <c r="B74" s="2262" t="str">
        <f>估价对象房地状况!C21</f>
        <v>估价对象所在区域银行、购物场所、学校等公共配套设施齐备，综合评价公共配套设施水平好。</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0"/>
      <c r="P74" s="1590"/>
      <c r="Q74" s="3014"/>
      <c r="R74" s="3014"/>
      <c r="S74" s="3014"/>
      <c r="T74" s="3014"/>
      <c r="U74" s="3014"/>
      <c r="V74" s="3014"/>
      <c r="W74" s="3014"/>
      <c r="X74" s="1590"/>
      <c r="Y74" s="1590"/>
      <c r="Z74" s="1590"/>
      <c r="AA74" s="1590"/>
      <c r="AB74" s="1590"/>
      <c r="AC74" s="1590"/>
      <c r="AD74" s="1590"/>
      <c r="AE74" s="1590"/>
      <c r="AF74" s="1590"/>
      <c r="AG74" s="1590"/>
    </row>
    <row r="75" spans="1:33" s="2232" customFormat="1" ht="25.5">
      <c r="A75" s="2245" t="s">
        <v>2603</v>
      </c>
      <c r="B75" s="2262" t="str">
        <f>估价对象房地状况!C22</f>
        <v>估价对象所在区域基础设施水平“七通一平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0"/>
      <c r="P75" s="1590"/>
      <c r="Q75" s="3014"/>
      <c r="R75" s="3014"/>
      <c r="S75" s="3014"/>
      <c r="T75" s="3014"/>
      <c r="U75" s="3014"/>
      <c r="V75" s="3014"/>
      <c r="W75" s="3014"/>
      <c r="X75" s="1590"/>
      <c r="Y75" s="1590"/>
      <c r="Z75" s="1590"/>
      <c r="AA75" s="1590"/>
      <c r="AB75" s="1590"/>
      <c r="AC75" s="1590"/>
      <c r="AD75" s="1590"/>
      <c r="AE75" s="1590"/>
      <c r="AF75" s="1590"/>
      <c r="AG75" s="1590"/>
    </row>
    <row r="76" spans="1:33" ht="24">
      <c r="A76" s="2245" t="s">
        <v>2600</v>
      </c>
      <c r="B76" s="2260" t="s">
        <v>2601</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2"/>
      <c r="R76" s="3022"/>
      <c r="S76" s="3022"/>
      <c r="T76" s="3022"/>
      <c r="U76" s="3022"/>
      <c r="V76" s="3022"/>
      <c r="W76" s="3022"/>
      <c r="AA76" s="1591"/>
      <c r="AG76" s="2232"/>
    </row>
    <row r="77" spans="1:33" ht="63.75">
      <c r="A77" s="2245" t="s">
        <v>2604</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2"/>
      <c r="R77" s="3022"/>
      <c r="S77" s="3022"/>
      <c r="T77" s="3022"/>
      <c r="U77" s="3022"/>
      <c r="V77" s="3022"/>
      <c r="W77" s="3022"/>
      <c r="AA77" s="1591"/>
      <c r="AG77" s="2232"/>
    </row>
    <row r="78" spans="1:33" ht="24.75" thickBot="1">
      <c r="A78" s="2263" t="s">
        <v>2613</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2"/>
      <c r="R78" s="3022"/>
      <c r="S78" s="3022"/>
      <c r="T78" s="3022"/>
      <c r="U78" s="3022"/>
      <c r="V78" s="3022"/>
      <c r="W78" s="3022"/>
      <c r="AA78" s="1591"/>
      <c r="AG78" s="2232"/>
    </row>
    <row r="79" spans="1:33" ht="15">
      <c r="A79" s="2238" t="s">
        <v>2614</v>
      </c>
      <c r="B79" s="2267">
        <f>1+E81</f>
        <v>1</v>
      </c>
      <c r="C79" s="2241"/>
      <c r="D79" s="2241"/>
      <c r="E79" s="2242"/>
      <c r="F79" s="2243"/>
      <c r="G79" s="608"/>
      <c r="H79" s="608"/>
      <c r="I79" s="608"/>
      <c r="J79" s="608"/>
      <c r="K79" s="608"/>
      <c r="L79" s="608"/>
      <c r="M79" s="608"/>
      <c r="N79" s="608"/>
      <c r="Q79" s="3022"/>
      <c r="R79" s="3022"/>
      <c r="S79" s="3022"/>
      <c r="T79" s="3022"/>
      <c r="U79" s="3022"/>
      <c r="V79" s="3022"/>
      <c r="W79" s="3022"/>
      <c r="AA79" s="1591"/>
      <c r="AG79" s="2232"/>
    </row>
    <row r="80" spans="1:33" ht="24.75">
      <c r="A80" s="2245" t="s">
        <v>2580</v>
      </c>
      <c r="B80" s="2257"/>
      <c r="C80" s="2246" t="s">
        <v>2582</v>
      </c>
      <c r="D80" s="2246" t="s">
        <v>2583</v>
      </c>
      <c r="E80" s="2247" t="s">
        <v>2584</v>
      </c>
      <c r="F80" s="2197" t="s">
        <v>2585</v>
      </c>
      <c r="G80" s="2246" t="s">
        <v>2606</v>
      </c>
      <c r="H80" s="2248" t="s">
        <v>2607</v>
      </c>
      <c r="I80" s="2246" t="s">
        <v>2608</v>
      </c>
      <c r="J80" s="1873" t="s">
        <v>2249</v>
      </c>
      <c r="K80" s="1873" t="s">
        <v>2250</v>
      </c>
      <c r="L80" s="1873" t="s">
        <v>2251</v>
      </c>
      <c r="M80" s="1873" t="s">
        <v>2252</v>
      </c>
      <c r="N80" s="1873" t="s">
        <v>2253</v>
      </c>
      <c r="Q80" s="3022"/>
      <c r="R80" s="3022"/>
      <c r="S80" s="3022"/>
      <c r="T80" s="3022"/>
      <c r="U80" s="3022"/>
      <c r="V80" s="3022"/>
      <c r="W80" s="3022"/>
      <c r="AA80" s="1591"/>
      <c r="AG80" s="2232"/>
    </row>
    <row r="81" spans="1:33" ht="38.25">
      <c r="A81" s="2245" t="s">
        <v>2615</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2"/>
      <c r="R81" s="3022"/>
      <c r="S81" s="3022"/>
      <c r="T81" s="3022"/>
      <c r="U81" s="3022"/>
      <c r="V81" s="3022"/>
      <c r="W81" s="3022"/>
      <c r="AA81" s="1591"/>
      <c r="AG81" s="2232"/>
    </row>
    <row r="82" spans="1:33" ht="51">
      <c r="A82" s="2245" t="s">
        <v>2595</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2"/>
      <c r="R82" s="3022"/>
      <c r="S82" s="3022"/>
      <c r="T82" s="3022"/>
      <c r="U82" s="3022"/>
      <c r="V82" s="3022"/>
      <c r="W82" s="3022"/>
      <c r="AA82" s="1591"/>
      <c r="AG82" s="2232"/>
    </row>
    <row r="83" spans="1:33" ht="24">
      <c r="A83" s="2245" t="s">
        <v>2596</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2"/>
      <c r="R83" s="3022"/>
      <c r="S83" s="3022"/>
      <c r="T83" s="3022"/>
      <c r="U83" s="3022"/>
      <c r="V83" s="3022"/>
      <c r="W83" s="3022"/>
      <c r="AA83" s="1591"/>
      <c r="AG83" s="2232"/>
    </row>
    <row r="84" spans="1:33" ht="14.25">
      <c r="A84" s="2245" t="s">
        <v>2612</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2"/>
      <c r="R84" s="3022"/>
      <c r="S84" s="3022"/>
      <c r="T84" s="3022"/>
      <c r="U84" s="3022"/>
      <c r="V84" s="3022"/>
      <c r="W84" s="3022"/>
      <c r="AA84" s="1591"/>
      <c r="AG84" s="2232"/>
    </row>
    <row r="85" spans="1:33" ht="25.5">
      <c r="A85" s="2245" t="s">
        <v>2602</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2"/>
      <c r="R85" s="3022"/>
      <c r="S85" s="3022"/>
      <c r="T85" s="3022"/>
      <c r="U85" s="3022"/>
      <c r="V85" s="3022"/>
      <c r="W85" s="3022"/>
      <c r="AA85" s="1591"/>
      <c r="AG85" s="2232"/>
    </row>
    <row r="86" spans="1:33" ht="25.5">
      <c r="A86" s="2245" t="s">
        <v>2603</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2"/>
      <c r="R86" s="3022"/>
      <c r="S86" s="3022"/>
      <c r="T86" s="3022"/>
      <c r="U86" s="3022"/>
      <c r="V86" s="3022"/>
      <c r="W86" s="3022"/>
      <c r="AA86" s="1591"/>
      <c r="AG86" s="2232"/>
    </row>
    <row r="87" spans="1:33" ht="24">
      <c r="A87" s="2245" t="s">
        <v>2600</v>
      </c>
      <c r="B87" s="2260" t="s">
        <v>2601</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2"/>
      <c r="R87" s="3022"/>
      <c r="S87" s="3022"/>
      <c r="T87" s="3022"/>
      <c r="U87" s="3022"/>
      <c r="V87" s="3022"/>
      <c r="W87" s="3022"/>
      <c r="AA87" s="1591"/>
      <c r="AG87" s="2232"/>
    </row>
    <row r="88" spans="1:33" ht="39" thickBot="1">
      <c r="A88" s="2263" t="s">
        <v>2616</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2"/>
      <c r="R88" s="3022"/>
      <c r="S88" s="3022"/>
      <c r="T88" s="3022"/>
      <c r="U88" s="3022"/>
      <c r="V88" s="3022"/>
      <c r="W88" s="3022"/>
      <c r="AA88" s="1591"/>
      <c r="AG88" s="2232"/>
    </row>
    <row r="89" spans="1:33">
      <c r="Q89" s="3022"/>
      <c r="R89" s="3022"/>
      <c r="S89" s="3022"/>
      <c r="T89" s="3022"/>
      <c r="U89" s="3022"/>
      <c r="V89" s="3022"/>
      <c r="W89" s="3022"/>
    </row>
    <row r="90" spans="1:33">
      <c r="A90" s="3603" t="s">
        <v>2617</v>
      </c>
      <c r="B90" s="3603"/>
      <c r="C90" s="3603"/>
      <c r="D90" s="3603"/>
      <c r="E90" s="3603"/>
      <c r="F90" s="3603"/>
      <c r="G90" s="3603"/>
      <c r="H90" s="3603"/>
      <c r="I90" s="3603"/>
      <c r="J90" s="3603"/>
      <c r="K90" s="2273"/>
      <c r="L90" s="2273"/>
      <c r="M90" s="2273"/>
      <c r="N90" s="2273"/>
      <c r="Q90" s="3022"/>
      <c r="R90" s="3022"/>
      <c r="S90" s="3022"/>
      <c r="T90" s="3022"/>
      <c r="U90" s="3022"/>
      <c r="V90" s="3022"/>
      <c r="W90" s="3022"/>
    </row>
    <row r="91" spans="1:33">
      <c r="A91" s="3605" t="s">
        <v>2618</v>
      </c>
      <c r="B91" s="3605" t="s">
        <v>2619</v>
      </c>
      <c r="C91" s="2212" t="s">
        <v>2620</v>
      </c>
      <c r="D91" s="2213"/>
      <c r="E91" s="2213"/>
      <c r="F91" s="2213"/>
      <c r="G91" s="2213"/>
      <c r="H91" s="2213"/>
      <c r="I91" s="2213"/>
      <c r="J91" s="2275"/>
      <c r="K91" s="2035"/>
      <c r="L91" s="2035"/>
      <c r="M91" s="2035"/>
      <c r="N91" s="2035"/>
      <c r="Q91" s="3022"/>
      <c r="R91" s="3022"/>
      <c r="S91" s="3022"/>
      <c r="T91" s="3022"/>
      <c r="U91" s="3022"/>
      <c r="V91" s="3022"/>
      <c r="W91" s="3022"/>
    </row>
    <row r="92" spans="1:33">
      <c r="A92" s="3605"/>
      <c r="B92" s="3605"/>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2"/>
      <c r="R92" s="3022"/>
      <c r="S92" s="3022"/>
      <c r="T92" s="3022"/>
      <c r="U92" s="3022"/>
      <c r="V92" s="3022"/>
      <c r="W92" s="3022"/>
    </row>
    <row r="93" spans="1:33">
      <c r="A93" s="3606" t="s">
        <v>2621</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2"/>
      <c r="R93" s="3022"/>
      <c r="S93" s="3022"/>
      <c r="T93" s="3022"/>
      <c r="U93" s="3022"/>
      <c r="V93" s="3022"/>
      <c r="W93" s="3022"/>
    </row>
    <row r="94" spans="1:33">
      <c r="A94" s="3607"/>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2"/>
      <c r="R94" s="3022"/>
      <c r="S94" s="3022"/>
      <c r="T94" s="3022"/>
      <c r="U94" s="3022"/>
      <c r="V94" s="3022"/>
      <c r="W94" s="3022"/>
    </row>
    <row r="95" spans="1:33">
      <c r="A95" s="3607"/>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2"/>
      <c r="R95" s="3022"/>
      <c r="S95" s="3022"/>
      <c r="T95" s="3022"/>
      <c r="U95" s="3022"/>
      <c r="V95" s="3022"/>
      <c r="W95" s="3022"/>
    </row>
    <row r="96" spans="1:33">
      <c r="A96" s="3607"/>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2"/>
      <c r="R96" s="3022"/>
      <c r="S96" s="3022"/>
      <c r="T96" s="3022"/>
      <c r="U96" s="3022"/>
      <c r="V96" s="3022"/>
      <c r="W96" s="3022"/>
    </row>
    <row r="97" spans="1:23">
      <c r="A97" s="3607"/>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2"/>
      <c r="R97" s="3022"/>
      <c r="S97" s="3022"/>
      <c r="T97" s="3022"/>
      <c r="U97" s="3022"/>
      <c r="V97" s="3022"/>
      <c r="W97" s="3022"/>
    </row>
    <row r="98" spans="1:23">
      <c r="A98" s="3607"/>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2"/>
      <c r="R98" s="3022"/>
      <c r="S98" s="3022"/>
      <c r="T98" s="3022"/>
      <c r="U98" s="3022"/>
      <c r="V98" s="3022"/>
      <c r="W98" s="3022"/>
    </row>
    <row r="99" spans="1:23">
      <c r="A99" s="3607"/>
      <c r="B99" s="2276" t="s">
        <v>2490</v>
      </c>
      <c r="C99" s="2278">
        <f>$I$3</f>
        <v>1</v>
      </c>
      <c r="D99" s="2278">
        <f t="shared" ref="D99:M99" si="31">$I$3</f>
        <v>1</v>
      </c>
      <c r="E99" s="2278">
        <f t="shared" si="31"/>
        <v>1</v>
      </c>
      <c r="F99" s="2278">
        <f t="shared" si="31"/>
        <v>1</v>
      </c>
      <c r="G99" s="2278">
        <f t="shared" si="31"/>
        <v>1</v>
      </c>
      <c r="H99" s="2278">
        <f t="shared" si="31"/>
        <v>1</v>
      </c>
      <c r="I99" s="2278">
        <f t="shared" si="31"/>
        <v>1</v>
      </c>
      <c r="J99" s="2278">
        <f t="shared" si="31"/>
        <v>1</v>
      </c>
      <c r="K99" s="2278">
        <f t="shared" si="31"/>
        <v>1</v>
      </c>
      <c r="L99" s="2278">
        <f t="shared" si="31"/>
        <v>1</v>
      </c>
      <c r="M99" s="2278">
        <f t="shared" si="31"/>
        <v>1</v>
      </c>
      <c r="N99" s="2278">
        <f>$I$3</f>
        <v>1</v>
      </c>
      <c r="Q99" s="3022"/>
      <c r="R99" s="3022"/>
      <c r="S99" s="3022"/>
      <c r="T99" s="3022"/>
      <c r="U99" s="3022"/>
      <c r="V99" s="3022"/>
      <c r="W99" s="3022"/>
    </row>
    <row r="100" spans="1:23">
      <c r="A100" s="3608"/>
      <c r="B100" s="2276">
        <v>7</v>
      </c>
      <c r="C100" s="2279">
        <f>(-0.163*(C99^2)-0.59*C99+7617)*(10^(-4))</f>
        <v>0.76162470000000004</v>
      </c>
      <c r="D100" s="2279">
        <f>(-0.163*(D99^2)-0.59*D99+7617)*(10^(-4))</f>
        <v>0.76162470000000004</v>
      </c>
      <c r="E100" s="2279">
        <f>(-0.161*(E99^2)-7.509*E99+6533)*(10^(-4))</f>
        <v>0.65253300000000003</v>
      </c>
      <c r="F100" s="2279">
        <f>(-0.161*(F99^2)-7.509*F99+6533)*(10^(-4))</f>
        <v>0.65253300000000003</v>
      </c>
      <c r="G100" s="2279">
        <f>(-0.161*(G99^2)-7.509*G99+6533)*(10^(-4))</f>
        <v>0.65253300000000003</v>
      </c>
      <c r="H100" s="2279">
        <f>(-0.161*(H99^2)-7.509*H99+6533)*(10^(-4))</f>
        <v>0.65253300000000003</v>
      </c>
      <c r="I100" s="2279">
        <f>(-0.161*(I99^2)-7.509*I99+6533)*(10^(-4))</f>
        <v>0.65253300000000003</v>
      </c>
      <c r="J100" s="2279">
        <f>(-0.214*(J99^2)-21.991*J99+4665)*(10^(-4))</f>
        <v>0.46427950000000001</v>
      </c>
      <c r="K100" s="2279">
        <f>(-0.214*(K99^2)-21.991*K99+4665)*(10^(-4))</f>
        <v>0.46427950000000001</v>
      </c>
      <c r="L100" s="2279">
        <f>(-0.214*(L99^2)-21.991*L99+4665)*(10^(-4))</f>
        <v>0.46427950000000001</v>
      </c>
      <c r="M100" s="2279">
        <f>(-0.214*(M99^2)-21.991*M99+4665)*(10^(-4))</f>
        <v>0.46427950000000001</v>
      </c>
      <c r="N100" s="2279">
        <f>(-0.214*(N99^2)-21.991*N99+4665)*(10^(-4))</f>
        <v>0.46427950000000001</v>
      </c>
      <c r="Q100" s="3022"/>
      <c r="R100" s="3022"/>
      <c r="S100" s="3022"/>
      <c r="T100" s="3022"/>
      <c r="U100" s="3022"/>
      <c r="V100" s="3022"/>
      <c r="W100" s="3022"/>
    </row>
    <row r="101" spans="1:23">
      <c r="A101" s="3606" t="s">
        <v>2622</v>
      </c>
      <c r="B101" s="2280" t="s">
        <v>2623</v>
      </c>
      <c r="C101" s="2281">
        <f>$G$3</f>
        <v>2</v>
      </c>
      <c r="D101" s="2281">
        <f t="shared" ref="D101:N101" si="32">$G$3</f>
        <v>2</v>
      </c>
      <c r="E101" s="2281">
        <f t="shared" si="32"/>
        <v>2</v>
      </c>
      <c r="F101" s="2281">
        <f t="shared" si="32"/>
        <v>2</v>
      </c>
      <c r="G101" s="2281">
        <f t="shared" si="32"/>
        <v>2</v>
      </c>
      <c r="H101" s="2281">
        <f t="shared" si="32"/>
        <v>2</v>
      </c>
      <c r="I101" s="2281">
        <f t="shared" si="32"/>
        <v>2</v>
      </c>
      <c r="J101" s="2281">
        <f t="shared" si="32"/>
        <v>2</v>
      </c>
      <c r="K101" s="2281">
        <f t="shared" si="32"/>
        <v>2</v>
      </c>
      <c r="L101" s="2281">
        <f t="shared" si="32"/>
        <v>2</v>
      </c>
      <c r="M101" s="2281">
        <f t="shared" si="32"/>
        <v>2</v>
      </c>
      <c r="N101" s="2281">
        <f t="shared" si="32"/>
        <v>2</v>
      </c>
      <c r="Q101" s="3022"/>
      <c r="R101" s="3022"/>
      <c r="S101" s="3022"/>
      <c r="T101" s="3022"/>
      <c r="U101" s="3022"/>
      <c r="V101" s="3022"/>
      <c r="W101" s="3022"/>
    </row>
    <row r="102" spans="1:23">
      <c r="A102" s="3607"/>
      <c r="B102" s="2276">
        <v>1</v>
      </c>
      <c r="C102" s="2277">
        <f>1.9362/C101</f>
        <v>0.96809999999999996</v>
      </c>
      <c r="D102" s="2277">
        <f>1.9362/D101</f>
        <v>0.96809999999999996</v>
      </c>
      <c r="E102" s="2277">
        <f>1.8629/E101</f>
        <v>0.93145</v>
      </c>
      <c r="F102" s="2277">
        <f>1.8629/F101</f>
        <v>0.93145</v>
      </c>
      <c r="G102" s="2277">
        <f>1.8629/G101</f>
        <v>0.93145</v>
      </c>
      <c r="H102" s="2277">
        <f>1.8629/H101</f>
        <v>0.93145</v>
      </c>
      <c r="I102" s="2277">
        <f>1.8629/I101</f>
        <v>0.93145</v>
      </c>
      <c r="J102" s="2277">
        <f>1.942/J101</f>
        <v>0.97099999999999997</v>
      </c>
      <c r="K102" s="2277">
        <f>1.942/K101</f>
        <v>0.97099999999999997</v>
      </c>
      <c r="L102" s="2277">
        <f>1.942/L101</f>
        <v>0.97099999999999997</v>
      </c>
      <c r="M102" s="2277">
        <f>1.942/M101</f>
        <v>0.97099999999999997</v>
      </c>
      <c r="N102" s="2277">
        <f>1.942/N101</f>
        <v>0.97099999999999997</v>
      </c>
      <c r="Q102" s="3022"/>
      <c r="R102" s="3022"/>
      <c r="S102" s="3022"/>
      <c r="T102" s="3022"/>
      <c r="U102" s="3022"/>
      <c r="V102" s="3022"/>
      <c r="W102" s="3022"/>
    </row>
    <row r="103" spans="1:23">
      <c r="A103" s="3607"/>
      <c r="B103" s="2276">
        <v>2</v>
      </c>
      <c r="C103" s="2277">
        <f>1.4198/C101</f>
        <v>0.70989999999999998</v>
      </c>
      <c r="D103" s="2277">
        <f>1.4198/D101</f>
        <v>0.70989999999999998</v>
      </c>
      <c r="E103" s="2277">
        <f>1.3372/E101</f>
        <v>0.66859999999999997</v>
      </c>
      <c r="F103" s="2277">
        <f>1.3372/F101</f>
        <v>0.66859999999999997</v>
      </c>
      <c r="G103" s="2277">
        <f>1.3372/G101</f>
        <v>0.66859999999999997</v>
      </c>
      <c r="H103" s="2277">
        <f>1.3372/H101</f>
        <v>0.66859999999999997</v>
      </c>
      <c r="I103" s="2277">
        <f>1.3372/I101</f>
        <v>0.66859999999999997</v>
      </c>
      <c r="J103" s="2277">
        <f>1.2799/J101</f>
        <v>0.63995000000000002</v>
      </c>
      <c r="K103" s="2277">
        <f>1.2799/K101</f>
        <v>0.63995000000000002</v>
      </c>
      <c r="L103" s="2277">
        <f>1.2799/L101</f>
        <v>0.63995000000000002</v>
      </c>
      <c r="M103" s="2277">
        <f>1.2799/M101</f>
        <v>0.63995000000000002</v>
      </c>
      <c r="N103" s="2277">
        <f>1.2799/N101</f>
        <v>0.63995000000000002</v>
      </c>
      <c r="Q103" s="3022"/>
      <c r="R103" s="3022"/>
      <c r="S103" s="3022"/>
      <c r="T103" s="3022"/>
      <c r="U103" s="3022"/>
      <c r="V103" s="3022"/>
      <c r="W103" s="3022"/>
    </row>
    <row r="104" spans="1:23">
      <c r="A104" s="3607"/>
      <c r="B104" s="2276">
        <v>3</v>
      </c>
      <c r="C104" s="2277">
        <f>1.1594/C101</f>
        <v>0.57969999999999999</v>
      </c>
      <c r="D104" s="2277">
        <f>1.1594/D101</f>
        <v>0.57969999999999999</v>
      </c>
      <c r="E104" s="2277">
        <f>1.0788/E101</f>
        <v>0.53939999999999999</v>
      </c>
      <c r="F104" s="2277">
        <f>1.0788/F101</f>
        <v>0.53939999999999999</v>
      </c>
      <c r="G104" s="2277">
        <f>1.0788/G101</f>
        <v>0.53939999999999999</v>
      </c>
      <c r="H104" s="2277">
        <f>1.0788/H101</f>
        <v>0.53939999999999999</v>
      </c>
      <c r="I104" s="2277">
        <f>1.0788/I101</f>
        <v>0.53939999999999999</v>
      </c>
      <c r="J104" s="2277">
        <f>1.0072/J101</f>
        <v>0.50360000000000005</v>
      </c>
      <c r="K104" s="2277">
        <f>1.0072/K101</f>
        <v>0.50360000000000005</v>
      </c>
      <c r="L104" s="2277">
        <f>1.0072/L101</f>
        <v>0.50360000000000005</v>
      </c>
      <c r="M104" s="2277">
        <f>1.0072/M101</f>
        <v>0.50360000000000005</v>
      </c>
      <c r="N104" s="2277">
        <f>1.0072/N101</f>
        <v>0.50360000000000005</v>
      </c>
      <c r="Q104" s="3022"/>
      <c r="R104" s="3022"/>
      <c r="S104" s="3022"/>
      <c r="T104" s="3022"/>
      <c r="U104" s="3022"/>
      <c r="V104" s="3022"/>
      <c r="W104" s="3022"/>
    </row>
    <row r="105" spans="1:23">
      <c r="A105" s="3607"/>
      <c r="B105" s="2276">
        <v>4</v>
      </c>
      <c r="C105" s="2277">
        <f>0.9622/C101</f>
        <v>0.48110000000000003</v>
      </c>
      <c r="D105" s="2277">
        <f>0.9622/D101</f>
        <v>0.48110000000000003</v>
      </c>
      <c r="E105" s="2277">
        <f>0.8656/E101</f>
        <v>0.43280000000000002</v>
      </c>
      <c r="F105" s="2277">
        <f>0.8656/F101</f>
        <v>0.43280000000000002</v>
      </c>
      <c r="G105" s="2277">
        <f>0.8656/G101</f>
        <v>0.43280000000000002</v>
      </c>
      <c r="H105" s="2277">
        <f>0.8656/H101</f>
        <v>0.43280000000000002</v>
      </c>
      <c r="I105" s="2277">
        <f>0.8656/I101</f>
        <v>0.43280000000000002</v>
      </c>
      <c r="J105" s="2277">
        <f>0.7525/J101</f>
        <v>0.37624999999999997</v>
      </c>
      <c r="K105" s="2277">
        <f>0.7525/K101</f>
        <v>0.37624999999999997</v>
      </c>
      <c r="L105" s="2277">
        <f>0.7525/L101</f>
        <v>0.37624999999999997</v>
      </c>
      <c r="M105" s="2277">
        <f>0.7525/M101</f>
        <v>0.37624999999999997</v>
      </c>
      <c r="N105" s="2277">
        <f>0.7525/N101</f>
        <v>0.37624999999999997</v>
      </c>
      <c r="Q105" s="3022"/>
      <c r="R105" s="3022"/>
      <c r="S105" s="3022"/>
      <c r="T105" s="3022"/>
      <c r="U105" s="3022"/>
      <c r="V105" s="3022"/>
      <c r="W105" s="3022"/>
    </row>
    <row r="106" spans="1:23">
      <c r="A106" s="3607"/>
      <c r="B106" s="2276">
        <v>5</v>
      </c>
      <c r="C106" s="2277">
        <f>0.8417/C101</f>
        <v>0.42085</v>
      </c>
      <c r="D106" s="2277">
        <f>0.8417/D101</f>
        <v>0.42085</v>
      </c>
      <c r="E106" s="2277">
        <f>0.7371/E101</f>
        <v>0.36854999999999999</v>
      </c>
      <c r="F106" s="2277">
        <f>0.7371/F101</f>
        <v>0.36854999999999999</v>
      </c>
      <c r="G106" s="2277">
        <f>0.7371/G101</f>
        <v>0.36854999999999999</v>
      </c>
      <c r="H106" s="2277">
        <f>0.7371/H101</f>
        <v>0.36854999999999999</v>
      </c>
      <c r="I106" s="2277">
        <f>0.7371/I101</f>
        <v>0.36854999999999999</v>
      </c>
      <c r="J106" s="2277">
        <f>0.5659/J101</f>
        <v>0.28294999999999998</v>
      </c>
      <c r="K106" s="2277">
        <f>0.5659/K101</f>
        <v>0.28294999999999998</v>
      </c>
      <c r="L106" s="2277">
        <f>0.5659/L101</f>
        <v>0.28294999999999998</v>
      </c>
      <c r="M106" s="2277">
        <f>0.5659/M101</f>
        <v>0.28294999999999998</v>
      </c>
      <c r="N106" s="2277">
        <f>0.5659/N101</f>
        <v>0.28294999999999998</v>
      </c>
      <c r="Q106" s="3022"/>
      <c r="R106" s="3022"/>
      <c r="S106" s="3022"/>
      <c r="T106" s="3022"/>
      <c r="U106" s="3022"/>
      <c r="V106" s="3022"/>
      <c r="W106" s="3022"/>
    </row>
    <row r="107" spans="1:23">
      <c r="A107" s="3607"/>
      <c r="B107" s="2276">
        <v>6</v>
      </c>
      <c r="C107" s="2277">
        <f>0.7608/C101</f>
        <v>0.38040000000000002</v>
      </c>
      <c r="D107" s="2277">
        <f>0.7608/D101</f>
        <v>0.38040000000000002</v>
      </c>
      <c r="E107" s="2277">
        <f>0.6482/E101</f>
        <v>0.3241</v>
      </c>
      <c r="F107" s="2277">
        <f>0.6482/F101</f>
        <v>0.3241</v>
      </c>
      <c r="G107" s="2277">
        <f>0.6482/G101</f>
        <v>0.3241</v>
      </c>
      <c r="H107" s="2277">
        <f>0.6482/H101</f>
        <v>0.3241</v>
      </c>
      <c r="I107" s="2277">
        <f>0.6482/I101</f>
        <v>0.3241</v>
      </c>
      <c r="J107" s="2277">
        <f>0.4525/J101</f>
        <v>0.22625000000000001</v>
      </c>
      <c r="K107" s="2277">
        <f>0.4525/K101</f>
        <v>0.22625000000000001</v>
      </c>
      <c r="L107" s="2277">
        <f>0.4525/L101</f>
        <v>0.22625000000000001</v>
      </c>
      <c r="M107" s="2277">
        <f>0.4525/M101</f>
        <v>0.22625000000000001</v>
      </c>
      <c r="N107" s="2277">
        <f>0.4525/N101</f>
        <v>0.22625000000000001</v>
      </c>
      <c r="Q107" s="3022"/>
      <c r="R107" s="3022"/>
      <c r="S107" s="3022"/>
      <c r="T107" s="3022"/>
      <c r="U107" s="3022"/>
      <c r="V107" s="3022"/>
      <c r="W107" s="3022"/>
    </row>
    <row r="108" spans="1:23">
      <c r="A108" s="3607"/>
      <c r="B108" s="3609" t="s">
        <v>2624</v>
      </c>
      <c r="C108" s="2278">
        <f>C99</f>
        <v>1</v>
      </c>
      <c r="D108" s="2278">
        <f t="shared" ref="D108:N108" si="33">D99</f>
        <v>1</v>
      </c>
      <c r="E108" s="2278">
        <f t="shared" si="33"/>
        <v>1</v>
      </c>
      <c r="F108" s="2278">
        <f t="shared" si="33"/>
        <v>1</v>
      </c>
      <c r="G108" s="2278">
        <f t="shared" si="33"/>
        <v>1</v>
      </c>
      <c r="H108" s="2278">
        <f t="shared" si="33"/>
        <v>1</v>
      </c>
      <c r="I108" s="2278">
        <f t="shared" si="33"/>
        <v>1</v>
      </c>
      <c r="J108" s="2278">
        <f t="shared" si="33"/>
        <v>1</v>
      </c>
      <c r="K108" s="2278">
        <f t="shared" si="33"/>
        <v>1</v>
      </c>
      <c r="L108" s="2278">
        <f t="shared" si="33"/>
        <v>1</v>
      </c>
      <c r="M108" s="2278">
        <f t="shared" si="33"/>
        <v>1</v>
      </c>
      <c r="N108" s="2278">
        <f t="shared" si="33"/>
        <v>1</v>
      </c>
      <c r="Q108" s="3022"/>
      <c r="R108" s="3022"/>
      <c r="S108" s="3022"/>
      <c r="T108" s="3022"/>
      <c r="U108" s="3022"/>
      <c r="V108" s="3022"/>
      <c r="W108" s="3022"/>
    </row>
    <row r="109" spans="1:23">
      <c r="A109" s="3608"/>
      <c r="B109" s="3610"/>
      <c r="C109" s="2279">
        <f>(-0.163*(C108^2)-0.59*C108+7617)*(10^(-4))/C101</f>
        <v>0.38081235000000002</v>
      </c>
      <c r="D109" s="2279">
        <f>(-0.163*(D108^2)-0.59*D108+7617)*(10^(-4))/D101</f>
        <v>0.38081235000000002</v>
      </c>
      <c r="E109" s="2279">
        <f>(-0.161*(E108^2)-7.509*E108+6533)*(10^(-4))/E101</f>
        <v>0.32626650000000001</v>
      </c>
      <c r="F109" s="2279">
        <f>(-0.161*(F108^2)-7.509*F108+6533)*(10^(-4))/F101</f>
        <v>0.32626650000000001</v>
      </c>
      <c r="G109" s="2279">
        <f>(-0.161*(G108^2)-7.509*G108+6533)*(10^(-4))/G101</f>
        <v>0.32626650000000001</v>
      </c>
      <c r="H109" s="2279">
        <f>(-0.161*(H108^2)-7.509*H108+6533)*(10^(-4))/H101</f>
        <v>0.32626650000000001</v>
      </c>
      <c r="I109" s="2279">
        <f>(-0.161*(I108^2)-7.509*I108+6533)*(10^(-4))/I101</f>
        <v>0.32626650000000001</v>
      </c>
      <c r="J109" s="2279">
        <f>(-0.214*(J108^2)-21.991*J108+4665)*(10^(-4))/J101</f>
        <v>0.23213975000000001</v>
      </c>
      <c r="K109" s="2279">
        <f>(-0.214*(K108^2)-21.991*K108+4665)*(10^(-4))/K101</f>
        <v>0.23213975000000001</v>
      </c>
      <c r="L109" s="2279">
        <f>(-0.214*(L108^2)-21.991*L108+4665)*(10^(-4))/L101</f>
        <v>0.23213975000000001</v>
      </c>
      <c r="M109" s="2279">
        <f>(-0.214*(M108^2)-21.991*M108+4665)*(10^(-4))/M101</f>
        <v>0.23213975000000001</v>
      </c>
      <c r="N109" s="2279">
        <f>(-0.214*(N108^2)-21.991*N108+4665)*(10^(-4))/N101</f>
        <v>0.23213975000000001</v>
      </c>
      <c r="Q109" s="3022"/>
      <c r="R109" s="3022"/>
      <c r="S109" s="3022"/>
      <c r="T109" s="3022"/>
      <c r="U109" s="3022"/>
      <c r="V109" s="3022"/>
      <c r="W109" s="3022"/>
    </row>
    <row r="110" spans="1:23">
      <c r="A110" s="3604" t="s">
        <v>2625</v>
      </c>
      <c r="B110" s="3604"/>
      <c r="C110" s="3604"/>
      <c r="D110" s="3604"/>
      <c r="E110" s="3604"/>
      <c r="F110" s="3604"/>
      <c r="G110" s="3604"/>
      <c r="H110" s="3604"/>
      <c r="I110" s="3604"/>
      <c r="J110" s="3604"/>
      <c r="K110" s="2047"/>
      <c r="L110" s="2047"/>
      <c r="M110" s="2047"/>
      <c r="N110" s="2047"/>
      <c r="Q110" s="3022"/>
      <c r="R110" s="3022"/>
      <c r="S110" s="3022"/>
      <c r="T110" s="3022"/>
      <c r="U110" s="3022"/>
      <c r="V110" s="3022"/>
      <c r="W110" s="3022"/>
    </row>
    <row r="112" spans="1:23" ht="13.5" thickBot="1"/>
    <row r="113" spans="1:13" ht="25.5" thickBot="1">
      <c r="A113" s="2282" t="s">
        <v>2626</v>
      </c>
      <c r="B113" s="2283">
        <f>G3</f>
        <v>2</v>
      </c>
      <c r="C113" s="2284" t="s">
        <v>2627</v>
      </c>
      <c r="D113" s="2285">
        <f>SUMPRODUCT((A115:A118=F113)*(B114:M114=H113)*B115:M118)</f>
        <v>0.81130000000000002</v>
      </c>
      <c r="E113" s="1569" t="s">
        <v>2514</v>
      </c>
      <c r="F113" s="2286" t="str">
        <f>E2</f>
        <v>商业</v>
      </c>
      <c r="G113" s="1569" t="s">
        <v>2448</v>
      </c>
      <c r="H113" s="2286" t="str">
        <f>G2</f>
        <v>四级</v>
      </c>
      <c r="I113" s="1569"/>
      <c r="J113" s="2287"/>
      <c r="K113" s="2287"/>
      <c r="L113" s="2287"/>
      <c r="M113" s="2287"/>
    </row>
    <row r="114" spans="1:13">
      <c r="A114" s="2288"/>
      <c r="B114" s="2289" t="s">
        <v>2628</v>
      </c>
      <c r="C114" s="2289" t="s">
        <v>2629</v>
      </c>
      <c r="D114" s="2289" t="s">
        <v>2630</v>
      </c>
      <c r="E114" s="2290" t="s">
        <v>2631</v>
      </c>
      <c r="F114" s="2290" t="s">
        <v>2632</v>
      </c>
      <c r="G114" s="2290" t="s">
        <v>2633</v>
      </c>
      <c r="H114" s="2291" t="s">
        <v>2634</v>
      </c>
      <c r="I114" s="2291" t="s">
        <v>2635</v>
      </c>
      <c r="J114" s="2292" t="s">
        <v>2636</v>
      </c>
      <c r="K114" s="2292" t="s">
        <v>2637</v>
      </c>
      <c r="L114" s="2292" t="s">
        <v>2638</v>
      </c>
      <c r="M114" s="2293" t="s">
        <v>2639</v>
      </c>
    </row>
    <row r="115" spans="1:13">
      <c r="A115" s="2294" t="s">
        <v>2515</v>
      </c>
      <c r="B115" s="2295">
        <f>ROUND(0.9335-0.0094*B113,4)</f>
        <v>0.91469999999999996</v>
      </c>
      <c r="C115" s="2295">
        <f>B115</f>
        <v>0.91469999999999996</v>
      </c>
      <c r="D115" s="2295">
        <f>ROUND(0.8331-0.0109*B113,4)</f>
        <v>0.81130000000000002</v>
      </c>
      <c r="E115" s="2295">
        <f>D115</f>
        <v>0.81130000000000002</v>
      </c>
      <c r="F115" s="2295">
        <f>E115</f>
        <v>0.81130000000000002</v>
      </c>
      <c r="G115" s="2295">
        <f>F115</f>
        <v>0.81130000000000002</v>
      </c>
      <c r="H115" s="2295">
        <f>G115</f>
        <v>0.81130000000000002</v>
      </c>
      <c r="I115" s="2295">
        <f>ROUND(0.689-0.0155*B113,4)</f>
        <v>0.65800000000000003</v>
      </c>
      <c r="J115" s="2295">
        <f t="shared" ref="J115:M118" si="34">I115</f>
        <v>0.65800000000000003</v>
      </c>
      <c r="K115" s="2295">
        <f t="shared" si="34"/>
        <v>0.65800000000000003</v>
      </c>
      <c r="L115" s="2295">
        <f t="shared" si="34"/>
        <v>0.65800000000000003</v>
      </c>
      <c r="M115" s="2296">
        <f t="shared" si="34"/>
        <v>0.65800000000000003</v>
      </c>
    </row>
    <row r="116" spans="1:13">
      <c r="A116" s="2294" t="s">
        <v>2516</v>
      </c>
      <c r="B116" s="2295">
        <f>ROUND(0.949-0.012*B113,4)</f>
        <v>0.92500000000000004</v>
      </c>
      <c r="C116" s="2295">
        <f>B116</f>
        <v>0.92500000000000004</v>
      </c>
      <c r="D116" s="2295">
        <f>ROUND(0.8567-0.013*B113,4)</f>
        <v>0.83069999999999999</v>
      </c>
      <c r="E116" s="2295">
        <f t="shared" ref="E116:H117" si="35">D116</f>
        <v>0.83069999999999999</v>
      </c>
      <c r="F116" s="2295">
        <f t="shared" si="35"/>
        <v>0.83069999999999999</v>
      </c>
      <c r="G116" s="2295">
        <f t="shared" si="35"/>
        <v>0.83069999999999999</v>
      </c>
      <c r="H116" s="2295">
        <f t="shared" si="35"/>
        <v>0.83069999999999999</v>
      </c>
      <c r="I116" s="2295">
        <f>ROUND(0.7694-0.014*B113,4)</f>
        <v>0.74139999999999995</v>
      </c>
      <c r="J116" s="2295">
        <f t="shared" si="34"/>
        <v>0.74139999999999995</v>
      </c>
      <c r="K116" s="2295">
        <f t="shared" si="34"/>
        <v>0.74139999999999995</v>
      </c>
      <c r="L116" s="2295">
        <f t="shared" si="34"/>
        <v>0.74139999999999995</v>
      </c>
      <c r="M116" s="2296">
        <f t="shared" si="34"/>
        <v>0.74139999999999995</v>
      </c>
    </row>
    <row r="117" spans="1:13">
      <c r="A117" s="2294" t="s">
        <v>2517</v>
      </c>
      <c r="B117" s="2295">
        <f>ROUND(0.8808-0.006*B113,4)</f>
        <v>0.86880000000000002</v>
      </c>
      <c r="C117" s="2295">
        <f>B117</f>
        <v>0.86880000000000002</v>
      </c>
      <c r="D117" s="2295">
        <f>ROUND(0.8748-0.008*B113,4)</f>
        <v>0.85880000000000001</v>
      </c>
      <c r="E117" s="2295">
        <f t="shared" si="35"/>
        <v>0.85880000000000001</v>
      </c>
      <c r="F117" s="2295">
        <f t="shared" si="35"/>
        <v>0.85880000000000001</v>
      </c>
      <c r="G117" s="2295">
        <f t="shared" si="35"/>
        <v>0.85880000000000001</v>
      </c>
      <c r="H117" s="2295">
        <f t="shared" si="35"/>
        <v>0.85880000000000001</v>
      </c>
      <c r="I117" s="2295">
        <f>ROUND(0.7412-0.0095*B113,4)</f>
        <v>0.72219999999999995</v>
      </c>
      <c r="J117" s="2295">
        <f t="shared" si="34"/>
        <v>0.72219999999999995</v>
      </c>
      <c r="K117" s="2295">
        <f t="shared" si="34"/>
        <v>0.72219999999999995</v>
      </c>
      <c r="L117" s="2295">
        <f t="shared" si="34"/>
        <v>0.72219999999999995</v>
      </c>
      <c r="M117" s="2296">
        <f t="shared" si="34"/>
        <v>0.72219999999999995</v>
      </c>
    </row>
    <row r="118" spans="1:13" ht="13.5" thickBot="1">
      <c r="A118" s="2297" t="s">
        <v>2518</v>
      </c>
      <c r="B118" s="2298">
        <f>ROUND(0.7275-0.01*B113,4)</f>
        <v>0.70750000000000002</v>
      </c>
      <c r="C118" s="2298">
        <f>B118</f>
        <v>0.70750000000000002</v>
      </c>
      <c r="D118" s="2298">
        <f>ROUND(0.7043-0.012*B113,4)</f>
        <v>0.68030000000000002</v>
      </c>
      <c r="E118" s="2298">
        <f>D118</f>
        <v>0.68030000000000002</v>
      </c>
      <c r="F118" s="2298">
        <f>E118</f>
        <v>0.68030000000000002</v>
      </c>
      <c r="G118" s="2298">
        <f>ROUND(0.6299-0.0122*B113,4)</f>
        <v>0.60550000000000004</v>
      </c>
      <c r="H118" s="2298">
        <f>G118</f>
        <v>0.60550000000000004</v>
      </c>
      <c r="I118" s="2298">
        <f>ROUND(0.5667-0.0136*B113,4)</f>
        <v>0.53949999999999998</v>
      </c>
      <c r="J118" s="2298">
        <f t="shared" si="34"/>
        <v>0.53949999999999998</v>
      </c>
      <c r="K118" s="2298">
        <f t="shared" si="34"/>
        <v>0.53949999999999998</v>
      </c>
      <c r="L118" s="2298">
        <f t="shared" si="34"/>
        <v>0.53949999999999998</v>
      </c>
      <c r="M118" s="2299">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80</v>
      </c>
      <c r="C2" s="79" t="str">
        <f>'数据-取费表'!B3</f>
        <v>万元</v>
      </c>
      <c r="D2" s="1483" t="s">
        <v>1183</v>
      </c>
      <c r="E2" s="1151" t="e">
        <f ca="1">SUMIF(INDIRECT("'"&amp;G2&amp;"'"&amp;"!A:A"),"承租人权益价值",INDIRECT("'"&amp;G2&amp;"'"&amp;"!c:c"))</f>
        <v>#REF!</v>
      </c>
      <c r="F2" s="1484"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4230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1860</v>
      </c>
      <c r="B5" s="89" t="s">
        <v>1861</v>
      </c>
      <c r="C5" s="111">
        <f>C6+C7+C8</f>
        <v>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5"/>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37904</v>
      </c>
      <c r="D10" s="1143">
        <f>IF('数据-取费表'!B10&lt;&gt;"住宅",IF(B1="仅计算典型户型",'数据-取费表'!E5,'数据-取费表'!B5),0)</f>
        <v>189.52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37904</v>
      </c>
      <c r="D19" s="1146">
        <f>IF(B1="仅计算典型户型",'数据-取费表'!E5,'数据-取费表'!B5)</f>
        <v>189.52</v>
      </c>
      <c r="E19" s="111">
        <f>'数据-取费表'!E15</f>
        <v>200</v>
      </c>
      <c r="F19" s="112"/>
      <c r="G19" s="1485"/>
    </row>
    <row r="20" spans="1:123" s="91" customFormat="1" ht="13.5" customHeight="1">
      <c r="A20" s="120" t="s">
        <v>1884</v>
      </c>
      <c r="B20" s="89" t="s">
        <v>1885</v>
      </c>
      <c r="C20" s="99">
        <f>ROUND((C5+C19)*F20,0)</f>
        <v>758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1608</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1592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5799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5799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49896</v>
      </c>
      <c r="D31" s="1146"/>
      <c r="E31" s="111"/>
      <c r="F31" s="1147"/>
      <c r="G31" s="100" t="s">
        <v>1911</v>
      </c>
    </row>
    <row r="32" spans="1:123" s="88" customFormat="1" ht="15.75">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1913</v>
      </c>
      <c r="B33" s="89" t="s">
        <v>1914</v>
      </c>
      <c r="C33" s="121">
        <f>SUM(C34:C38)</f>
        <v>830097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758080</v>
      </c>
      <c r="D34" s="1138"/>
      <c r="E34" s="115"/>
      <c r="F34" s="1149" t="str">
        <f>IF('数据-取费表'!B26=0,"",'数据-取费表'!E20)</f>
        <v/>
      </c>
      <c r="G34" s="95"/>
    </row>
    <row r="35" spans="1:123" ht="13.5" customHeight="1">
      <c r="A35" s="92" t="s">
        <v>1867</v>
      </c>
      <c r="B35" s="93" t="s">
        <v>1916</v>
      </c>
      <c r="C35" s="115">
        <f>ROUND(C34*F35,0)</f>
        <v>22742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37904</v>
      </c>
      <c r="D37" s="1138">
        <f>IF(B1="仅计算典型户型",'数据-取费表'!E5,'数据-取费表'!B5)</f>
        <v>189.52</v>
      </c>
      <c r="E37" s="115">
        <f>'数据-取费表'!E23</f>
        <v>200</v>
      </c>
      <c r="F37" s="1150"/>
      <c r="G37" s="124" t="s">
        <v>1921</v>
      </c>
    </row>
    <row r="38" spans="1:123" ht="13.5" customHeight="1">
      <c r="A38" s="92" t="s">
        <v>1922</v>
      </c>
      <c r="B38" s="93" t="s">
        <v>1923</v>
      </c>
      <c r="C38" s="115">
        <f>ROUND(C34*F38,0)</f>
        <v>11371</v>
      </c>
      <c r="D38" s="115"/>
      <c r="E38" s="115"/>
      <c r="F38" s="1150">
        <f>'数据-取费表'!E24</f>
        <v>1.4999999999999999E-2</v>
      </c>
      <c r="G38" s="95" t="s">
        <v>1917</v>
      </c>
    </row>
    <row r="39" spans="1:123" s="91" customFormat="1" ht="13.5" customHeight="1">
      <c r="A39" s="120" t="s">
        <v>1882</v>
      </c>
      <c r="B39" s="89" t="s">
        <v>1885</v>
      </c>
      <c r="C39" s="99">
        <f>ROUND(C33*F20,0)</f>
        <v>16602</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17781</v>
      </c>
      <c r="D41" s="101">
        <f ca="1">C44</f>
        <v>4.0000000000000002E-4</v>
      </c>
      <c r="E41" s="102" t="s">
        <v>1925</v>
      </c>
      <c r="F41" s="2852">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17432</v>
      </c>
      <c r="D42" s="104"/>
      <c r="E42" s="104"/>
      <c r="F42" s="105"/>
      <c r="G42" s="3616" t="s">
        <v>1927</v>
      </c>
    </row>
    <row r="43" spans="1:123" ht="13.5" customHeight="1">
      <c r="A43" s="92" t="s">
        <v>1867</v>
      </c>
      <c r="B43" s="93" t="s">
        <v>1896</v>
      </c>
      <c r="C43" s="104">
        <f ca="1">ROUND(IF('数据-取费表'!B24&lt;=1,C39*F22*'数据-取费表'!B23/2,C39*(POWER((1+F22),'数据-取费表'!B23/2)-1)),0)</f>
        <v>349</v>
      </c>
      <c r="D43" s="104"/>
      <c r="E43" s="104"/>
      <c r="F43" s="105"/>
      <c r="G43" s="3617"/>
    </row>
    <row r="44" spans="1:123" ht="13.5" customHeight="1">
      <c r="A44" s="92" t="s">
        <v>1869</v>
      </c>
      <c r="B44" s="93" t="s">
        <v>1898</v>
      </c>
      <c r="C44" s="104">
        <f ca="1">ROUND(IF('数据-取费表'!B24&lt;=1,C40*F22*'数据-取费表'!B23/2,C40*(POWER((1+F22),'数据-取费表'!B23/2)-1)),4)</f>
        <v>4.0000000000000002E-4</v>
      </c>
      <c r="D44" s="104"/>
      <c r="E44" s="104"/>
      <c r="F44" s="105"/>
      <c r="G44" s="3618"/>
    </row>
    <row r="45" spans="1:123" s="91" customFormat="1" ht="13.5" customHeight="1">
      <c r="A45" s="120" t="s">
        <v>1891</v>
      </c>
      <c r="B45" s="110" t="s">
        <v>1903</v>
      </c>
      <c r="C45" s="111">
        <f>C46</f>
        <v>127005</v>
      </c>
      <c r="D45" s="101">
        <f>C47</f>
        <v>3.0000000000000001E-3</v>
      </c>
      <c r="E45" s="102" t="s">
        <v>1925</v>
      </c>
      <c r="F45" s="2853">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127005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1073849</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751694</v>
      </c>
      <c r="D51" s="99"/>
      <c r="E51" s="99"/>
      <c r="F51" s="126"/>
      <c r="G51" s="100" t="s">
        <v>1941</v>
      </c>
    </row>
    <row r="52" spans="1:123" s="88" customFormat="1" ht="16.5" thickBot="1">
      <c r="A52" s="127" t="s">
        <v>1942</v>
      </c>
      <c r="B52" s="128"/>
      <c r="C52" s="129">
        <f ca="1">C31+C51</f>
        <v>801590</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1943</v>
      </c>
      <c r="C55" s="133"/>
    </row>
    <row r="56" spans="1:123">
      <c r="B56" s="135" t="s">
        <v>1944</v>
      </c>
      <c r="C56" s="136">
        <f ca="1">ROUND(C51/C52,3)</f>
        <v>0.93799999999999994</v>
      </c>
    </row>
    <row r="57" spans="1:123">
      <c r="B57" s="135" t="s">
        <v>1945</v>
      </c>
      <c r="C57" s="137">
        <f ca="1">1-C56</f>
        <v>6.2000000000000055E-2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I12" sqref="I12"/>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2684</v>
      </c>
      <c r="D1" s="2437"/>
      <c r="E1" s="1608" t="s">
        <v>2682</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570</v>
      </c>
      <c r="C2" s="1618" t="str">
        <f>'数据-取费表'!B3</f>
        <v>万元</v>
      </c>
      <c r="D2" s="1619" t="s">
        <v>1183</v>
      </c>
      <c r="E2" s="2438" t="e">
        <f ca="1">SUMIF(INDIRECT("'"&amp;G2&amp;"'"&amp;"!A:A"),"承租人权益价值",INDIRECT("'"&amp;G2&amp;"'"&amp;"!c:c"))</f>
        <v>#REF!</v>
      </c>
      <c r="F2" s="1621" t="str">
        <f>C2</f>
        <v>万元</v>
      </c>
      <c r="G2" s="1622"/>
      <c r="H2" s="2976"/>
      <c r="I2" s="2976"/>
      <c r="J2" s="2976"/>
      <c r="K2" s="2976"/>
      <c r="L2" s="2978"/>
      <c r="M2" s="2976"/>
      <c r="N2" s="2976"/>
      <c r="O2" s="2976"/>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30083</v>
      </c>
      <c r="C3" s="1627" t="s">
        <v>2185</v>
      </c>
      <c r="D3" s="1627">
        <f>IF(C1="仅计算典型户型",'数据-取费表'!E5,'数据-取费表'!B5)</f>
        <v>189.52</v>
      </c>
      <c r="F3" s="2975"/>
      <c r="G3" s="2976"/>
      <c r="H3" s="2976"/>
      <c r="I3" s="2976"/>
      <c r="J3" s="2976"/>
      <c r="K3" s="2977"/>
      <c r="L3" s="2978"/>
      <c r="M3" s="2976"/>
      <c r="N3" s="2976"/>
      <c r="O3" s="2976"/>
      <c r="P3" s="2439"/>
      <c r="Q3" s="1924"/>
      <c r="R3" s="1924"/>
      <c r="S3" s="1924"/>
      <c r="T3" s="1924"/>
      <c r="U3" s="1924"/>
      <c r="V3" s="1924"/>
      <c r="W3" s="1924"/>
      <c r="X3" s="1924"/>
      <c r="Y3" s="1924"/>
      <c r="Z3" s="1924"/>
      <c r="AA3" s="1924"/>
      <c r="AB3" s="1924"/>
      <c r="AC3" s="1932"/>
    </row>
    <row r="4" spans="1:29" ht="15">
      <c r="A4" s="1630" t="s">
        <v>2186</v>
      </c>
      <c r="B4" s="1631"/>
      <c r="C4" s="3645" t="s">
        <v>2187</v>
      </c>
      <c r="D4" s="3646"/>
      <c r="E4" s="3647" t="s">
        <v>2188</v>
      </c>
      <c r="F4" s="3648"/>
      <c r="G4" s="3645" t="s">
        <v>2189</v>
      </c>
      <c r="H4" s="3646"/>
      <c r="I4" s="3645" t="s">
        <v>2190</v>
      </c>
      <c r="J4" s="3646"/>
      <c r="K4" s="1933" t="s">
        <v>2191</v>
      </c>
      <c r="L4" s="2961"/>
      <c r="M4" s="2962"/>
      <c r="N4" s="2962"/>
      <c r="O4" s="2962"/>
      <c r="P4" s="3649" t="s">
        <v>2192</v>
      </c>
      <c r="Q4" s="3650"/>
      <c r="R4" s="3631" t="s">
        <v>2188</v>
      </c>
      <c r="S4" s="3632"/>
      <c r="T4" s="3631" t="s">
        <v>2189</v>
      </c>
      <c r="U4" s="3632"/>
      <c r="V4" s="3655" t="s">
        <v>2190</v>
      </c>
      <c r="W4" s="3655"/>
      <c r="X4" s="2042"/>
      <c r="Y4" s="3631" t="s">
        <v>2192</v>
      </c>
      <c r="Z4" s="3632"/>
      <c r="AA4" s="3642" t="s">
        <v>2188</v>
      </c>
      <c r="AB4" s="3655" t="s">
        <v>2189</v>
      </c>
      <c r="AC4" s="3642" t="s">
        <v>2190</v>
      </c>
    </row>
    <row r="5" spans="1:29" ht="15">
      <c r="A5" s="1635"/>
      <c r="B5" s="1636"/>
      <c r="C5" s="3658" t="s">
        <v>2193</v>
      </c>
      <c r="D5" s="3659"/>
      <c r="E5" s="3656" t="s">
        <v>2194</v>
      </c>
      <c r="F5" s="3657"/>
      <c r="G5" s="3658" t="s">
        <v>2195</v>
      </c>
      <c r="H5" s="3659"/>
      <c r="I5" s="3658" t="s">
        <v>2196</v>
      </c>
      <c r="J5" s="3659"/>
      <c r="K5" s="1933"/>
      <c r="L5" s="2961"/>
      <c r="M5" s="2962"/>
      <c r="N5" s="2962"/>
      <c r="O5" s="2962"/>
      <c r="P5" s="3651"/>
      <c r="Q5" s="3652"/>
      <c r="R5" s="3633"/>
      <c r="S5" s="3634"/>
      <c r="T5" s="3633"/>
      <c r="U5" s="3634"/>
      <c r="V5" s="3655"/>
      <c r="W5" s="3655"/>
      <c r="X5" s="2042"/>
      <c r="Y5" s="3633"/>
      <c r="Z5" s="3634"/>
      <c r="AA5" s="3643"/>
      <c r="AB5" s="3655"/>
      <c r="AC5" s="3643"/>
    </row>
    <row r="6" spans="1:29" ht="15.75" thickBot="1">
      <c r="A6" s="1638"/>
      <c r="B6" s="1639"/>
      <c r="C6" s="3660" t="s">
        <v>2197</v>
      </c>
      <c r="D6" s="3661"/>
      <c r="E6" s="3662" t="s">
        <v>2197</v>
      </c>
      <c r="F6" s="3663"/>
      <c r="G6" s="3660" t="s">
        <v>2197</v>
      </c>
      <c r="H6" s="3661"/>
      <c r="I6" s="3660" t="s">
        <v>2197</v>
      </c>
      <c r="J6" s="3661"/>
      <c r="K6" s="1933" t="s">
        <v>2198</v>
      </c>
      <c r="L6" s="2961"/>
      <c r="M6" s="2962"/>
      <c r="N6" s="2962"/>
      <c r="O6" s="2962"/>
      <c r="P6" s="3653"/>
      <c r="Q6" s="3654"/>
      <c r="R6" s="3633"/>
      <c r="S6" s="3634"/>
      <c r="T6" s="3635"/>
      <c r="U6" s="3636"/>
      <c r="V6" s="3655"/>
      <c r="W6" s="3655"/>
      <c r="X6" s="2042"/>
      <c r="Y6" s="3635"/>
      <c r="Z6" s="3636"/>
      <c r="AA6" s="3644"/>
      <c r="AB6" s="3655"/>
      <c r="AC6" s="3644"/>
    </row>
    <row r="7" spans="1:29" s="1652" customFormat="1" ht="15.75" thickBot="1">
      <c r="A7" s="1640" t="s">
        <v>2199</v>
      </c>
      <c r="B7" s="1641"/>
      <c r="C7" s="1642">
        <f>'数据-取费表'!B2</f>
        <v>44727</v>
      </c>
      <c r="D7" s="1643">
        <v>100</v>
      </c>
      <c r="E7" s="1644">
        <v>44713</v>
      </c>
      <c r="F7" s="1645">
        <f>SUMIF(58:58,YEAR(E7)&amp;"-"&amp;MONTH(E7),59:59)</f>
        <v>100</v>
      </c>
      <c r="G7" s="1644">
        <v>44713</v>
      </c>
      <c r="H7" s="1643">
        <f>SUMIF(58:58,YEAR(G7)&amp;"-"&amp;MONTH(G7),59:59)</f>
        <v>100</v>
      </c>
      <c r="I7" s="1644">
        <v>44713</v>
      </c>
      <c r="J7" s="1643">
        <f>SUMIF(58:58,YEAR(I7)&amp;"-"&amp;MONTH(I7),59:59)</f>
        <v>100</v>
      </c>
      <c r="K7" s="1935"/>
      <c r="L7" s="2961"/>
      <c r="M7" s="2934"/>
      <c r="N7" s="2934"/>
      <c r="O7" s="2934"/>
      <c r="P7" s="3629" t="s">
        <v>2200</v>
      </c>
      <c r="Q7" s="3637"/>
      <c r="R7" s="1648" t="s">
        <v>25</v>
      </c>
      <c r="S7" s="1649">
        <f t="shared" ref="S7:S15" si="0">F7</f>
        <v>100</v>
      </c>
      <c r="T7" s="1648" t="s">
        <v>25</v>
      </c>
      <c r="U7" s="1649">
        <f t="shared" ref="U7:U15" si="1">H7</f>
        <v>100</v>
      </c>
      <c r="V7" s="1648" t="s">
        <v>25</v>
      </c>
      <c r="W7" s="1649">
        <f t="shared" ref="W7:W15" si="2">J7</f>
        <v>100</v>
      </c>
      <c r="X7" s="1650"/>
      <c r="Y7" s="3629" t="s">
        <v>2200</v>
      </c>
      <c r="Z7" s="3630"/>
      <c r="AA7" s="1651">
        <f>D7/F7</f>
        <v>1</v>
      </c>
      <c r="AB7" s="1651">
        <f>D7/H7</f>
        <v>1</v>
      </c>
      <c r="AC7" s="1651">
        <f>D7/J7</f>
        <v>1</v>
      </c>
    </row>
    <row r="8" spans="1:29" s="1652" customFormat="1" ht="15.75" thickBot="1">
      <c r="A8" s="1640" t="s">
        <v>2201</v>
      </c>
      <c r="B8" s="1641"/>
      <c r="C8" s="1653" t="s">
        <v>2202</v>
      </c>
      <c r="D8" s="1643">
        <v>100</v>
      </c>
      <c r="E8" s="1653" t="s">
        <v>2816</v>
      </c>
      <c r="F8" s="1645">
        <f>SUMIF(61:61,E8,62:62)-SUMIF(61:61,C8,62:62)+100</f>
        <v>100</v>
      </c>
      <c r="G8" s="1653" t="s">
        <v>2816</v>
      </c>
      <c r="H8" s="1643">
        <f>SUMIF(61:61,G8,62:62)-SUMIF(61:61,C8,62:62)+100</f>
        <v>100</v>
      </c>
      <c r="I8" s="1653" t="s">
        <v>2816</v>
      </c>
      <c r="J8" s="1643">
        <f>SUMIF(61:61,I8,62:62)-SUMIF(61:61,C8,62:62)+100</f>
        <v>100</v>
      </c>
      <c r="K8" s="1935"/>
      <c r="L8" s="2961"/>
      <c r="M8" s="2934"/>
      <c r="N8" s="2934"/>
      <c r="O8" s="2934"/>
      <c r="P8" s="3629" t="s">
        <v>2203</v>
      </c>
      <c r="Q8" s="3630"/>
      <c r="R8" s="1648" t="s">
        <v>25</v>
      </c>
      <c r="S8" s="1649">
        <f t="shared" si="0"/>
        <v>100</v>
      </c>
      <c r="T8" s="1648" t="s">
        <v>25</v>
      </c>
      <c r="U8" s="1649">
        <f t="shared" si="1"/>
        <v>100</v>
      </c>
      <c r="V8" s="1648" t="s">
        <v>25</v>
      </c>
      <c r="W8" s="1649">
        <f t="shared" si="2"/>
        <v>100</v>
      </c>
      <c r="X8" s="1650"/>
      <c r="Y8" s="3629" t="s">
        <v>2203</v>
      </c>
      <c r="Z8" s="3630"/>
      <c r="AA8" s="1651">
        <f t="shared" ref="AA8:AA46" si="3">D8/F8</f>
        <v>1</v>
      </c>
      <c r="AB8" s="1651">
        <f t="shared" ref="AB8:AB46" si="4">D8/H8</f>
        <v>1</v>
      </c>
      <c r="AC8" s="1651">
        <f t="shared" ref="AC8:AC46" si="5">D8/J8</f>
        <v>1</v>
      </c>
    </row>
    <row r="9" spans="1:29" s="1652" customFormat="1">
      <c r="A9" s="2034" t="s">
        <v>2204</v>
      </c>
      <c r="B9" s="1655" t="s">
        <v>2205</v>
      </c>
      <c r="C9" s="1656"/>
      <c r="D9" s="1657">
        <v>100</v>
      </c>
      <c r="E9" s="1658"/>
      <c r="F9" s="1659">
        <f>SUMIF(63:63,E9,64:64)-SUMIF(63:63,C9,64:64)+100</f>
        <v>100</v>
      </c>
      <c r="G9" s="1658"/>
      <c r="H9" s="1657">
        <f>SUMIF(63:63,G9,64:64)-SUMIF(63:63,C9,64:64)+100</f>
        <v>100</v>
      </c>
      <c r="I9" s="1658"/>
      <c r="J9" s="1657">
        <f>SUMIF(63:63,I9,64:64)-SUMIF(63:63,C9,64:64)+100</f>
        <v>100</v>
      </c>
      <c r="K9" s="1935"/>
      <c r="L9" s="2961"/>
      <c r="M9" s="2934"/>
      <c r="N9" s="2934"/>
      <c r="O9" s="2934"/>
      <c r="P9" s="3664" t="s">
        <v>2206</v>
      </c>
      <c r="Q9" s="2033" t="str">
        <f t="shared" ref="Q9:Q15" si="6">B9</f>
        <v>用途</v>
      </c>
      <c r="R9" s="1648" t="s">
        <v>25</v>
      </c>
      <c r="S9" s="1649">
        <f t="shared" si="0"/>
        <v>100</v>
      </c>
      <c r="T9" s="1648" t="s">
        <v>25</v>
      </c>
      <c r="U9" s="1649">
        <f t="shared" si="1"/>
        <v>100</v>
      </c>
      <c r="V9" s="1648" t="s">
        <v>25</v>
      </c>
      <c r="W9" s="1649">
        <f t="shared" si="2"/>
        <v>100</v>
      </c>
      <c r="X9" s="1650"/>
      <c r="Y9" s="3475"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960"/>
      <c r="L10" s="2963"/>
      <c r="M10" s="2964"/>
      <c r="N10" s="2964"/>
      <c r="O10" s="2964"/>
      <c r="P10" s="3664"/>
      <c r="Q10" s="2033"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2209</v>
      </c>
      <c r="C11" s="1671">
        <v>1</v>
      </c>
      <c r="D11" s="1665">
        <v>100</v>
      </c>
      <c r="E11" s="1672">
        <v>1</v>
      </c>
      <c r="F11" s="1667">
        <f>LOOKUP(E11,68:68,69:69)-LOOKUP(C11,68:68,69:69)+100</f>
        <v>100</v>
      </c>
      <c r="G11" s="1671">
        <v>1</v>
      </c>
      <c r="H11" s="1665">
        <f>LOOKUP(G11,68:68,69:69)-LOOKUP(C11,68:68,69:69)+100</f>
        <v>100</v>
      </c>
      <c r="I11" s="1671">
        <v>1</v>
      </c>
      <c r="J11" s="1665">
        <f>LOOKUP(I11,68:68,69:69)-LOOKUP(C11,68:68,69:69)+100</f>
        <v>100</v>
      </c>
      <c r="K11" s="1960"/>
      <c r="L11" s="2965"/>
      <c r="M11" s="2962"/>
      <c r="N11" s="2962"/>
      <c r="O11" s="2962"/>
      <c r="P11" s="3664"/>
      <c r="Q11" s="2033" t="str">
        <f t="shared" si="6"/>
        <v>容积率</v>
      </c>
      <c r="R11" s="1648" t="s">
        <v>25</v>
      </c>
      <c r="S11" s="1649">
        <f t="shared" si="0"/>
        <v>100</v>
      </c>
      <c r="T11" s="1648" t="s">
        <v>25</v>
      </c>
      <c r="U11" s="1649">
        <f t="shared" si="1"/>
        <v>100</v>
      </c>
      <c r="V11" s="1648" t="s">
        <v>25</v>
      </c>
      <c r="W11" s="1649">
        <f t="shared" si="2"/>
        <v>100</v>
      </c>
      <c r="X11" s="1650"/>
      <c r="Y11" s="3475"/>
      <c r="Z11" s="1661" t="str">
        <f t="shared" si="7"/>
        <v>容积率</v>
      </c>
      <c r="AA11" s="1651">
        <f t="shared" si="3"/>
        <v>1</v>
      </c>
      <c r="AB11" s="1651">
        <f t="shared" si="4"/>
        <v>1</v>
      </c>
      <c r="AC11" s="1651">
        <f t="shared" si="5"/>
        <v>1</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1"/>
      <c r="M12" s="2934"/>
      <c r="N12" s="2934"/>
      <c r="O12" s="2934"/>
      <c r="P12" s="3664"/>
      <c r="Q12" s="2033">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6"/>
      <c r="M13" s="2962"/>
      <c r="N13" s="2962"/>
      <c r="O13" s="2962"/>
      <c r="P13" s="3664"/>
      <c r="Q13" s="2033">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6"/>
      <c r="M14" s="2962"/>
      <c r="N14" s="2962"/>
      <c r="O14" s="2962"/>
      <c r="P14" s="3664"/>
      <c r="Q14" s="2033">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15">
      <c r="A15" s="1685" t="s">
        <v>2210</v>
      </c>
      <c r="B15" s="1686" t="s">
        <v>2296</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6"/>
      <c r="M15" s="2962"/>
      <c r="N15" s="2962"/>
      <c r="O15" s="2962"/>
      <c r="P15" s="3638" t="s">
        <v>2211</v>
      </c>
      <c r="Q15" s="2039" t="str">
        <f t="shared" si="6"/>
        <v>商业繁华度</v>
      </c>
      <c r="R15" s="1693" t="s">
        <v>25</v>
      </c>
      <c r="S15" s="1694">
        <f t="shared" si="0"/>
        <v>100</v>
      </c>
      <c r="T15" s="1693" t="s">
        <v>25</v>
      </c>
      <c r="U15" s="1694">
        <f t="shared" si="1"/>
        <v>100</v>
      </c>
      <c r="V15" s="1693" t="s">
        <v>25</v>
      </c>
      <c r="W15" s="1694">
        <f t="shared" si="2"/>
        <v>100</v>
      </c>
      <c r="X15" s="2042"/>
      <c r="Y15" s="3640" t="s">
        <v>2211</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6"/>
      <c r="M16" s="2962"/>
      <c r="N16" s="2962"/>
      <c r="O16" s="2962"/>
      <c r="P16" s="3639"/>
      <c r="Q16" s="2039"/>
      <c r="R16" s="1693"/>
      <c r="S16" s="1694"/>
      <c r="T16" s="1693"/>
      <c r="U16" s="1694"/>
      <c r="V16" s="1693"/>
      <c r="W16" s="1694"/>
      <c r="X16" s="2042"/>
      <c r="Y16" s="3641"/>
      <c r="Z16" s="2046"/>
      <c r="AA16" s="2037">
        <v>1</v>
      </c>
      <c r="AB16" s="2037">
        <v>1</v>
      </c>
      <c r="AC16" s="2037">
        <v>1</v>
      </c>
    </row>
    <row r="17" spans="1:29" ht="99.7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6"/>
      <c r="M17" s="2962"/>
      <c r="N17" s="2962"/>
      <c r="O17" s="2962"/>
      <c r="P17" s="3639"/>
      <c r="Q17" s="2039" t="str">
        <f>B17</f>
        <v>交通便捷度</v>
      </c>
      <c r="R17" s="1693" t="s">
        <v>25</v>
      </c>
      <c r="S17" s="1694">
        <f>F17</f>
        <v>100</v>
      </c>
      <c r="T17" s="1693" t="s">
        <v>25</v>
      </c>
      <c r="U17" s="1694">
        <f>H17</f>
        <v>100</v>
      </c>
      <c r="V17" s="1693" t="s">
        <v>25</v>
      </c>
      <c r="W17" s="1694">
        <f>J17</f>
        <v>100</v>
      </c>
      <c r="X17" s="2042"/>
      <c r="Y17" s="3641"/>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6"/>
      <c r="M18" s="2962"/>
      <c r="N18" s="2962"/>
      <c r="O18" s="2962"/>
      <c r="P18" s="3639"/>
      <c r="Q18" s="2039"/>
      <c r="R18" s="1693"/>
      <c r="S18" s="1694"/>
      <c r="T18" s="1693"/>
      <c r="U18" s="1694"/>
      <c r="V18" s="1693"/>
      <c r="W18" s="1694"/>
      <c r="X18" s="2042"/>
      <c r="Y18" s="3641"/>
      <c r="Z18" s="2046"/>
      <c r="AA18" s="2037">
        <v>1</v>
      </c>
      <c r="AB18" s="2037">
        <v>1</v>
      </c>
      <c r="AC18" s="2037">
        <v>1</v>
      </c>
    </row>
    <row r="19" spans="1:29" ht="85.5">
      <c r="A19" s="1670"/>
      <c r="B19" s="1705" t="s">
        <v>2297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6"/>
      <c r="M19" s="2962"/>
      <c r="N19" s="2962"/>
      <c r="O19" s="2962"/>
      <c r="P19" s="3639"/>
      <c r="Q19" s="2039" t="str">
        <f>B19</f>
        <v>公共配套设施</v>
      </c>
      <c r="R19" s="1693" t="s">
        <v>25</v>
      </c>
      <c r="S19" s="1694">
        <f>F19</f>
        <v>100</v>
      </c>
      <c r="T19" s="1693" t="s">
        <v>25</v>
      </c>
      <c r="U19" s="1694">
        <f>H19</f>
        <v>100</v>
      </c>
      <c r="V19" s="1693" t="s">
        <v>25</v>
      </c>
      <c r="W19" s="1694">
        <f>J19</f>
        <v>100</v>
      </c>
      <c r="X19" s="2042"/>
      <c r="Y19" s="3641"/>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6"/>
      <c r="M20" s="2962"/>
      <c r="N20" s="2962"/>
      <c r="O20" s="2962"/>
      <c r="P20" s="3639"/>
      <c r="Q20" s="2039"/>
      <c r="R20" s="1693"/>
      <c r="S20" s="1694"/>
      <c r="T20" s="1693"/>
      <c r="U20" s="1694"/>
      <c r="V20" s="1693"/>
      <c r="W20" s="1694"/>
      <c r="X20" s="2042"/>
      <c r="Y20" s="3641"/>
      <c r="Z20" s="2046"/>
      <c r="AA20" s="2037">
        <v>1</v>
      </c>
      <c r="AB20" s="2037">
        <v>1</v>
      </c>
      <c r="AC20" s="2037">
        <v>1</v>
      </c>
    </row>
    <row r="21" spans="1:29" ht="42.75">
      <c r="A21" s="1670"/>
      <c r="B21" s="1718" t="s">
        <v>2298</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6"/>
      <c r="M21" s="2962"/>
      <c r="N21" s="2962"/>
      <c r="O21" s="2962"/>
      <c r="P21" s="3639"/>
      <c r="Q21" s="2039" t="str">
        <f>B21</f>
        <v>基础设施水平</v>
      </c>
      <c r="R21" s="1693" t="s">
        <v>25</v>
      </c>
      <c r="S21" s="1694">
        <f>F21</f>
        <v>100</v>
      </c>
      <c r="T21" s="1693" t="s">
        <v>25</v>
      </c>
      <c r="U21" s="1694">
        <f>H21</f>
        <v>100</v>
      </c>
      <c r="V21" s="1693" t="s">
        <v>25</v>
      </c>
      <c r="W21" s="1694">
        <f>J21</f>
        <v>100</v>
      </c>
      <c r="X21" s="2042"/>
      <c r="Y21" s="3641"/>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6"/>
      <c r="M22" s="2962"/>
      <c r="N22" s="2962"/>
      <c r="O22" s="2962"/>
      <c r="P22" s="3639"/>
      <c r="Q22" s="2039"/>
      <c r="R22" s="1693"/>
      <c r="S22" s="1694"/>
      <c r="T22" s="1693"/>
      <c r="U22" s="1694"/>
      <c r="V22" s="1693"/>
      <c r="W22" s="1694"/>
      <c r="X22" s="2042"/>
      <c r="Y22" s="3641"/>
      <c r="Z22" s="2046"/>
      <c r="AA22" s="2037">
        <v>1</v>
      </c>
      <c r="AB22" s="2037">
        <v>1</v>
      </c>
      <c r="AC22" s="2037">
        <v>1</v>
      </c>
    </row>
    <row r="23" spans="1:29" ht="99.75">
      <c r="A23" s="1670"/>
      <c r="B23" s="1705" t="s">
        <v>1650</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6"/>
      <c r="M23" s="2962"/>
      <c r="N23" s="2962"/>
      <c r="O23" s="2962"/>
      <c r="P23" s="3639"/>
      <c r="Q23" s="2039" t="str">
        <f>B23</f>
        <v>自然及人文环境</v>
      </c>
      <c r="R23" s="1693" t="s">
        <v>25</v>
      </c>
      <c r="S23" s="1694">
        <f>F23</f>
        <v>100</v>
      </c>
      <c r="T23" s="1693" t="s">
        <v>25</v>
      </c>
      <c r="U23" s="1694">
        <f>H23</f>
        <v>100</v>
      </c>
      <c r="V23" s="1693" t="s">
        <v>25</v>
      </c>
      <c r="W23" s="1694">
        <f>J23</f>
        <v>100</v>
      </c>
      <c r="X23" s="2042"/>
      <c r="Y23" s="3641"/>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6"/>
      <c r="M24" s="2962"/>
      <c r="N24" s="2962"/>
      <c r="O24" s="2962"/>
      <c r="P24" s="3639"/>
      <c r="Q24" s="2039"/>
      <c r="R24" s="1693"/>
      <c r="S24" s="1694"/>
      <c r="T24" s="1693"/>
      <c r="U24" s="1694"/>
      <c r="V24" s="1693"/>
      <c r="W24" s="1694"/>
      <c r="X24" s="2042"/>
      <c r="Y24" s="3641"/>
      <c r="Z24" s="2046"/>
      <c r="AA24" s="2037">
        <v>1</v>
      </c>
      <c r="AB24" s="2037">
        <v>1</v>
      </c>
      <c r="AC24" s="2037">
        <v>1</v>
      </c>
    </row>
    <row r="25" spans="1:29" ht="15">
      <c r="A25" s="1670"/>
      <c r="B25" s="1663" t="s">
        <v>2299</v>
      </c>
      <c r="C25" s="1959"/>
      <c r="D25" s="1679">
        <v>100</v>
      </c>
      <c r="E25" s="1959"/>
      <c r="F25" s="1722">
        <f>SUMIF(86:86,E25,87:87)-SUMIF(86:86,C25,87:87)+100</f>
        <v>100</v>
      </c>
      <c r="G25" s="1959"/>
      <c r="H25" s="1679">
        <f>SUMIF(86:86,G25,87:87)-SUMIF(86:86,C25,87:87)+100</f>
        <v>100</v>
      </c>
      <c r="I25" s="1959"/>
      <c r="J25" s="1679">
        <f>SUMIF(86:86,I25,87:87)-SUMIF(86:86,C25,87:87)+100</f>
        <v>100</v>
      </c>
      <c r="K25" s="1960"/>
      <c r="L25" s="2966"/>
      <c r="M25" s="2962"/>
      <c r="N25" s="2962"/>
      <c r="O25" s="2962"/>
      <c r="P25" s="3639"/>
      <c r="Q25" s="2039" t="str">
        <f t="shared" ref="Q25:Q46" si="11">B25</f>
        <v>临街状况</v>
      </c>
      <c r="R25" s="1693" t="s">
        <v>25</v>
      </c>
      <c r="S25" s="1694">
        <f>F25</f>
        <v>100</v>
      </c>
      <c r="T25" s="1693" t="s">
        <v>25</v>
      </c>
      <c r="U25" s="1694">
        <f>H25</f>
        <v>100</v>
      </c>
      <c r="V25" s="1693" t="s">
        <v>25</v>
      </c>
      <c r="W25" s="1694">
        <f>J25</f>
        <v>100</v>
      </c>
      <c r="X25" s="2042"/>
      <c r="Y25" s="3641"/>
      <c r="Z25" s="2046" t="str">
        <f>Q25</f>
        <v>临街状况</v>
      </c>
      <c r="AA25" s="2037">
        <f t="shared" si="3"/>
        <v>1</v>
      </c>
      <c r="AB25" s="2037">
        <f t="shared" si="4"/>
        <v>1</v>
      </c>
      <c r="AC25" s="2037">
        <f t="shared" si="5"/>
        <v>1</v>
      </c>
    </row>
    <row r="26" spans="1:29" ht="15">
      <c r="A26" s="1670"/>
      <c r="B26" s="1728" t="s">
        <v>2300</v>
      </c>
      <c r="C26" s="1678"/>
      <c r="D26" s="1679">
        <v>100</v>
      </c>
      <c r="E26" s="1678"/>
      <c r="F26" s="1722">
        <f>SUMIF(88:88,E26,89:89)-SUMIF(88:88,C26,89:89)+100</f>
        <v>100</v>
      </c>
      <c r="G26" s="1678"/>
      <c r="H26" s="1679">
        <f>SUMIF(88:88,G26,89:89)-SUMIF(88:88,C26,89:89)+100</f>
        <v>100</v>
      </c>
      <c r="I26" s="1678"/>
      <c r="J26" s="1679">
        <f>SUMIF(88:88,I26,89:89)-SUMIF(88:88,C26,89:89)+100</f>
        <v>100</v>
      </c>
      <c r="K26" s="1957"/>
      <c r="L26" s="2966"/>
      <c r="M26" s="2962"/>
      <c r="N26" s="2962"/>
      <c r="O26" s="2962"/>
      <c r="P26" s="3639"/>
      <c r="Q26" s="2039" t="str">
        <f t="shared" si="11"/>
        <v>平面位置/可视性</v>
      </c>
      <c r="R26" s="1693" t="s">
        <v>25</v>
      </c>
      <c r="S26" s="1694">
        <f>F26</f>
        <v>100</v>
      </c>
      <c r="T26" s="1693" t="s">
        <v>25</v>
      </c>
      <c r="U26" s="1694">
        <f>H26</f>
        <v>100</v>
      </c>
      <c r="V26" s="1693" t="s">
        <v>25</v>
      </c>
      <c r="W26" s="1694">
        <f>J26</f>
        <v>100</v>
      </c>
      <c r="X26" s="2042"/>
      <c r="Y26" s="3641"/>
      <c r="Z26" s="2046" t="str">
        <f>Q26</f>
        <v>平面位置/可视性</v>
      </c>
      <c r="AA26" s="2037">
        <f t="shared" si="3"/>
        <v>1</v>
      </c>
      <c r="AB26" s="2037">
        <f t="shared" si="4"/>
        <v>1</v>
      </c>
      <c r="AC26" s="2037">
        <f t="shared" si="5"/>
        <v>1</v>
      </c>
    </row>
    <row r="27" spans="1:29" s="1652" customFormat="1" ht="15">
      <c r="A27" s="1673"/>
      <c r="B27" s="1705" t="s">
        <v>2301</v>
      </c>
      <c r="C27" s="2444"/>
      <c r="D27" s="1724">
        <v>100</v>
      </c>
      <c r="E27" s="2444"/>
      <c r="F27" s="1726">
        <f>SUMIF(90:90,E27,91:91)-SUMIF(90:90,C27,91:91)+100</f>
        <v>100</v>
      </c>
      <c r="G27" s="2444"/>
      <c r="H27" s="1724">
        <f>SUMIF(90:90,G27,91:91)-SUMIF(90:90,C27,91:91)+100</f>
        <v>100</v>
      </c>
      <c r="I27" s="2444"/>
      <c r="J27" s="1724">
        <f>SUMIF(90:90,I27,91:91)-SUMIF(90:90,C27,91:91)+100</f>
        <v>100</v>
      </c>
      <c r="K27" s="1960"/>
      <c r="L27" s="2961"/>
      <c r="M27" s="2934"/>
      <c r="N27" s="2934"/>
      <c r="O27" s="2934"/>
      <c r="P27" s="3639"/>
      <c r="Q27" s="2033" t="str">
        <f t="shared" si="11"/>
        <v>人流量</v>
      </c>
      <c r="R27" s="1648" t="s">
        <v>25</v>
      </c>
      <c r="S27" s="1649">
        <f>F27</f>
        <v>100</v>
      </c>
      <c r="T27" s="1648" t="s">
        <v>25</v>
      </c>
      <c r="U27" s="1649">
        <f>H27</f>
        <v>100</v>
      </c>
      <c r="V27" s="1648" t="s">
        <v>25</v>
      </c>
      <c r="W27" s="1649">
        <f>J27</f>
        <v>100</v>
      </c>
      <c r="X27" s="1650"/>
      <c r="Y27" s="3641"/>
      <c r="Z27" s="1661" t="str">
        <f>Q27</f>
        <v>人流量</v>
      </c>
      <c r="AA27" s="2037">
        <f>D27/F27</f>
        <v>1</v>
      </c>
      <c r="AB27" s="2037">
        <f>D27/H27</f>
        <v>1</v>
      </c>
      <c r="AC27" s="2037">
        <f>D27/J27</f>
        <v>1</v>
      </c>
    </row>
    <row r="28" spans="1:29" ht="15">
      <c r="A28" s="1670"/>
      <c r="B28" s="1663" t="s">
        <v>2302</v>
      </c>
      <c r="C28" s="1959"/>
      <c r="D28" s="1679">
        <v>100</v>
      </c>
      <c r="E28" s="1959"/>
      <c r="F28" s="1722">
        <f>SUMIF(92:92,E28,93:93)-SUMIF(92:92,C28,93:93)+100</f>
        <v>100</v>
      </c>
      <c r="G28" s="1959"/>
      <c r="H28" s="1679">
        <f>SUMIF(92:92,G28,93:93)-SUMIF(92:92,C28,93:93)+100</f>
        <v>100</v>
      </c>
      <c r="I28" s="1959"/>
      <c r="J28" s="1679">
        <f>SUMIF(92:92,I28,93:93)-SUMIF(92:92,C28,93:93)+100</f>
        <v>100</v>
      </c>
      <c r="K28" s="1957"/>
      <c r="L28" s="2966"/>
      <c r="M28" s="2962"/>
      <c r="N28" s="2962"/>
      <c r="O28" s="2962"/>
      <c r="P28" s="3639"/>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41"/>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6"/>
      <c r="M29" s="2962"/>
      <c r="N29" s="2962"/>
      <c r="O29" s="2962"/>
      <c r="P29" s="3639"/>
      <c r="Q29" s="2039">
        <f t="shared" si="11"/>
        <v>111</v>
      </c>
      <c r="R29" s="1693" t="s">
        <v>25</v>
      </c>
      <c r="S29" s="1694">
        <f t="shared" si="12"/>
        <v>100</v>
      </c>
      <c r="T29" s="1693" t="s">
        <v>25</v>
      </c>
      <c r="U29" s="1694">
        <f t="shared" si="13"/>
        <v>100</v>
      </c>
      <c r="V29" s="1693" t="s">
        <v>25</v>
      </c>
      <c r="W29" s="1694">
        <f t="shared" si="14"/>
        <v>100</v>
      </c>
      <c r="X29" s="2042"/>
      <c r="Y29" s="3641"/>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6"/>
      <c r="M30" s="2962"/>
      <c r="N30" s="2962"/>
      <c r="O30" s="2962"/>
      <c r="P30" s="3639"/>
      <c r="Q30" s="2039">
        <f t="shared" si="11"/>
        <v>111</v>
      </c>
      <c r="R30" s="1693" t="s">
        <v>25</v>
      </c>
      <c r="S30" s="1694">
        <f t="shared" si="12"/>
        <v>100</v>
      </c>
      <c r="T30" s="1693" t="s">
        <v>25</v>
      </c>
      <c r="U30" s="1694">
        <f t="shared" si="13"/>
        <v>100</v>
      </c>
      <c r="V30" s="1693" t="s">
        <v>25</v>
      </c>
      <c r="W30" s="1694">
        <f t="shared" si="14"/>
        <v>100</v>
      </c>
      <c r="X30" s="2042"/>
      <c r="Y30" s="3641"/>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6"/>
      <c r="M31" s="2962"/>
      <c r="N31" s="2962"/>
      <c r="O31" s="2962"/>
      <c r="P31" s="3639"/>
      <c r="Q31" s="2039">
        <f t="shared" si="11"/>
        <v>111</v>
      </c>
      <c r="R31" s="1693" t="s">
        <v>25</v>
      </c>
      <c r="S31" s="1694">
        <f t="shared" si="12"/>
        <v>100</v>
      </c>
      <c r="T31" s="1693" t="s">
        <v>25</v>
      </c>
      <c r="U31" s="1694">
        <f t="shared" si="13"/>
        <v>100</v>
      </c>
      <c r="V31" s="1693" t="s">
        <v>25</v>
      </c>
      <c r="W31" s="1694">
        <f t="shared" si="14"/>
        <v>100</v>
      </c>
      <c r="X31" s="2042"/>
      <c r="Y31" s="3641"/>
      <c r="Z31" s="2046">
        <f t="shared" si="15"/>
        <v>111</v>
      </c>
      <c r="AA31" s="2037">
        <f t="shared" si="3"/>
        <v>1</v>
      </c>
      <c r="AB31" s="2037">
        <f t="shared" si="4"/>
        <v>1</v>
      </c>
      <c r="AC31" s="2037">
        <f t="shared" si="5"/>
        <v>1</v>
      </c>
    </row>
    <row r="32" spans="1:29" ht="15">
      <c r="A32" s="1685" t="s">
        <v>2215</v>
      </c>
      <c r="B32" s="1655" t="s">
        <v>2303</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6"/>
      <c r="M32" s="2962"/>
      <c r="N32" s="2962"/>
      <c r="O32" s="2962"/>
      <c r="P32" s="3624" t="s">
        <v>2217</v>
      </c>
      <c r="Q32" s="2039" t="str">
        <f t="shared" si="11"/>
        <v>商业类型</v>
      </c>
      <c r="R32" s="1693" t="s">
        <v>25</v>
      </c>
      <c r="S32" s="1694">
        <f t="shared" si="12"/>
        <v>100</v>
      </c>
      <c r="T32" s="1693" t="s">
        <v>25</v>
      </c>
      <c r="U32" s="1694">
        <f t="shared" si="13"/>
        <v>100</v>
      </c>
      <c r="V32" s="1693" t="s">
        <v>25</v>
      </c>
      <c r="W32" s="1694">
        <f t="shared" si="14"/>
        <v>100</v>
      </c>
      <c r="X32" s="2042"/>
      <c r="Y32" s="3627" t="s">
        <v>2217</v>
      </c>
      <c r="Z32" s="2046" t="str">
        <f t="shared" si="15"/>
        <v>商业类型</v>
      </c>
      <c r="AA32" s="2037">
        <f t="shared" si="3"/>
        <v>1</v>
      </c>
      <c r="AB32" s="2037">
        <f t="shared" si="4"/>
        <v>1</v>
      </c>
      <c r="AC32" s="2037">
        <f t="shared" si="5"/>
        <v>1</v>
      </c>
    </row>
    <row r="33" spans="1:29" s="1739" customFormat="1" ht="15">
      <c r="A33" s="1732"/>
      <c r="B33" s="1663" t="s">
        <v>2218</v>
      </c>
      <c r="C33" s="1733"/>
      <c r="D33" s="1665">
        <v>100</v>
      </c>
      <c r="E33" s="1672"/>
      <c r="F33" s="1667">
        <f>LOOKUP(E33,103:103,104:104)-LOOKUP(C33,103:103,104:104)+100</f>
        <v>100</v>
      </c>
      <c r="G33" s="1671"/>
      <c r="H33" s="1665">
        <f>LOOKUP(G33,103:103,104:104)-LOOKUP(C33,103:103,104:104)+100</f>
        <v>100</v>
      </c>
      <c r="I33" s="1671"/>
      <c r="J33" s="1665">
        <f>LOOKUP(I33,103:103,104:104)-LOOKUP(C33,103:103,104:104)+100</f>
        <v>100</v>
      </c>
      <c r="K33" s="1957"/>
      <c r="L33" s="2965"/>
      <c r="M33" s="2027"/>
      <c r="N33" s="2027"/>
      <c r="O33" s="2027"/>
      <c r="P33" s="3625"/>
      <c r="Q33" s="1734" t="str">
        <f t="shared" si="11"/>
        <v>项目建筑规模</v>
      </c>
      <c r="R33" s="1735" t="s">
        <v>25</v>
      </c>
      <c r="S33" s="1736">
        <f t="shared" si="12"/>
        <v>100</v>
      </c>
      <c r="T33" s="1735" t="s">
        <v>25</v>
      </c>
      <c r="U33" s="1736">
        <f t="shared" si="13"/>
        <v>100</v>
      </c>
      <c r="V33" s="1735" t="s">
        <v>25</v>
      </c>
      <c r="W33" s="1736">
        <f t="shared" si="14"/>
        <v>100</v>
      </c>
      <c r="X33" s="1737"/>
      <c r="Y33" s="3627"/>
      <c r="Z33" s="1738" t="str">
        <f t="shared" si="15"/>
        <v>项目建筑规模</v>
      </c>
      <c r="AA33" s="2037">
        <f t="shared" si="3"/>
        <v>1</v>
      </c>
      <c r="AB33" s="2037">
        <f t="shared" si="4"/>
        <v>1</v>
      </c>
      <c r="AC33" s="2037">
        <f t="shared" si="5"/>
        <v>1</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6"/>
      <c r="M34" s="2962"/>
      <c r="N34" s="2962"/>
      <c r="O34" s="2962"/>
      <c r="P34" s="3625"/>
      <c r="Q34" s="2039" t="str">
        <f t="shared" si="11"/>
        <v>建筑结构</v>
      </c>
      <c r="R34" s="1693" t="s">
        <v>25</v>
      </c>
      <c r="S34" s="1694">
        <f t="shared" si="12"/>
        <v>100</v>
      </c>
      <c r="T34" s="1693" t="s">
        <v>25</v>
      </c>
      <c r="U34" s="1694">
        <f t="shared" si="13"/>
        <v>100</v>
      </c>
      <c r="V34" s="1693" t="s">
        <v>25</v>
      </c>
      <c r="W34" s="1694">
        <f t="shared" si="14"/>
        <v>100</v>
      </c>
      <c r="X34" s="2042"/>
      <c r="Y34" s="3627"/>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6"/>
      <c r="M35" s="2962"/>
      <c r="N35" s="2962"/>
      <c r="O35" s="2962"/>
      <c r="P35" s="3625"/>
      <c r="Q35" s="2039" t="str">
        <f t="shared" si="11"/>
        <v>公共部分装修</v>
      </c>
      <c r="R35" s="1693" t="s">
        <v>25</v>
      </c>
      <c r="S35" s="1694">
        <f t="shared" si="12"/>
        <v>100</v>
      </c>
      <c r="T35" s="1693" t="s">
        <v>25</v>
      </c>
      <c r="U35" s="1694">
        <f t="shared" si="13"/>
        <v>100</v>
      </c>
      <c r="V35" s="1693" t="s">
        <v>25</v>
      </c>
      <c r="W35" s="1694">
        <f t="shared" si="14"/>
        <v>100</v>
      </c>
      <c r="X35" s="2042"/>
      <c r="Y35" s="3627"/>
      <c r="Z35" s="2046" t="str">
        <f t="shared" si="15"/>
        <v>公共部分装修</v>
      </c>
      <c r="AA35" s="2037">
        <f t="shared" si="3"/>
        <v>1</v>
      </c>
      <c r="AB35" s="2037">
        <f t="shared" si="4"/>
        <v>1</v>
      </c>
      <c r="AC35" s="2037">
        <f t="shared" si="5"/>
        <v>1</v>
      </c>
    </row>
    <row r="36" spans="1:29" ht="15">
      <c r="A36" s="1740"/>
      <c r="B36" s="1663" t="s">
        <v>2305</v>
      </c>
      <c r="C36" s="1744">
        <v>1</v>
      </c>
      <c r="D36" s="1679">
        <v>100</v>
      </c>
      <c r="E36" s="1744">
        <v>1</v>
      </c>
      <c r="F36" s="1722">
        <f>LOOKUP(E36,110:110,111:111)-LOOKUP(C36,110:110,111:111)+100</f>
        <v>100</v>
      </c>
      <c r="G36" s="1744">
        <v>1</v>
      </c>
      <c r="H36" s="1722">
        <f>LOOKUP(G36,110:110,111:111)-LOOKUP(C36,110:110,111:111)+100</f>
        <v>100</v>
      </c>
      <c r="I36" s="1744">
        <v>1</v>
      </c>
      <c r="J36" s="1679">
        <f>LOOKUP(I36,110:110,111:111)-LOOKUP(C36,110:110,111:111)+100</f>
        <v>100</v>
      </c>
      <c r="K36" s="1960"/>
      <c r="L36" s="2966"/>
      <c r="M36" s="2962"/>
      <c r="N36" s="2962"/>
      <c r="O36" s="2962"/>
      <c r="P36" s="3625"/>
      <c r="Q36" s="2039" t="str">
        <f t="shared" si="11"/>
        <v>成新度</v>
      </c>
      <c r="R36" s="1693" t="s">
        <v>25</v>
      </c>
      <c r="S36" s="1694">
        <f t="shared" si="12"/>
        <v>100</v>
      </c>
      <c r="T36" s="1693" t="s">
        <v>25</v>
      </c>
      <c r="U36" s="1694">
        <f t="shared" si="13"/>
        <v>100</v>
      </c>
      <c r="V36" s="1693" t="s">
        <v>25</v>
      </c>
      <c r="W36" s="1694">
        <f t="shared" si="14"/>
        <v>100</v>
      </c>
      <c r="X36" s="2042"/>
      <c r="Y36" s="3627"/>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1"/>
      <c r="M37" s="2934"/>
      <c r="N37" s="2934"/>
      <c r="O37" s="2934"/>
      <c r="P37" s="3625"/>
      <c r="Q37" s="2033" t="str">
        <f t="shared" si="11"/>
        <v>市政基础设施</v>
      </c>
      <c r="R37" s="1648" t="s">
        <v>25</v>
      </c>
      <c r="S37" s="1649">
        <f t="shared" si="12"/>
        <v>100</v>
      </c>
      <c r="T37" s="1648" t="s">
        <v>25</v>
      </c>
      <c r="U37" s="1649">
        <f t="shared" si="13"/>
        <v>100</v>
      </c>
      <c r="V37" s="1648" t="s">
        <v>25</v>
      </c>
      <c r="W37" s="1649">
        <f t="shared" si="14"/>
        <v>100</v>
      </c>
      <c r="X37" s="1650"/>
      <c r="Y37" s="3627"/>
      <c r="Z37" s="1661" t="str">
        <f t="shared" si="15"/>
        <v>市政基础设施</v>
      </c>
      <c r="AA37" s="1651">
        <f t="shared" si="3"/>
        <v>1</v>
      </c>
      <c r="AB37" s="1651">
        <f t="shared" si="4"/>
        <v>1</v>
      </c>
      <c r="AC37" s="1651">
        <f t="shared" si="5"/>
        <v>1</v>
      </c>
    </row>
    <row r="38" spans="1:29" ht="15">
      <c r="A38" s="1740"/>
      <c r="B38" s="1663" t="s">
        <v>2307</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6"/>
      <c r="M38" s="2962"/>
      <c r="N38" s="2962"/>
      <c r="O38" s="2962"/>
      <c r="P38" s="3625" t="s">
        <v>2217</v>
      </c>
      <c r="Q38" s="2039" t="str">
        <f t="shared" si="11"/>
        <v>业态</v>
      </c>
      <c r="R38" s="1693" t="s">
        <v>25</v>
      </c>
      <c r="S38" s="1694">
        <f t="shared" si="12"/>
        <v>100</v>
      </c>
      <c r="T38" s="1693" t="s">
        <v>25</v>
      </c>
      <c r="U38" s="1694">
        <f t="shared" si="13"/>
        <v>100</v>
      </c>
      <c r="V38" s="1693" t="s">
        <v>25</v>
      </c>
      <c r="W38" s="1694">
        <f t="shared" si="14"/>
        <v>100</v>
      </c>
      <c r="X38" s="2042"/>
      <c r="Y38" s="3627" t="s">
        <v>2217</v>
      </c>
      <c r="Z38" s="2046" t="str">
        <f t="shared" si="15"/>
        <v>业态</v>
      </c>
      <c r="AA38" s="2037">
        <f t="shared" si="3"/>
        <v>1</v>
      </c>
      <c r="AB38" s="2037">
        <f t="shared" si="4"/>
        <v>1</v>
      </c>
      <c r="AC38" s="2037">
        <f t="shared" si="5"/>
        <v>1</v>
      </c>
    </row>
    <row r="39" spans="1:29" ht="15">
      <c r="A39" s="1740"/>
      <c r="B39" s="1663" t="s">
        <v>2308</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6"/>
      <c r="M39" s="2962"/>
      <c r="N39" s="2962"/>
      <c r="O39" s="2962"/>
      <c r="P39" s="3625"/>
      <c r="Q39" s="2039" t="str">
        <f t="shared" si="11"/>
        <v>层高</v>
      </c>
      <c r="R39" s="1693" t="s">
        <v>25</v>
      </c>
      <c r="S39" s="1694">
        <f t="shared" si="12"/>
        <v>100</v>
      </c>
      <c r="T39" s="1693" t="s">
        <v>25</v>
      </c>
      <c r="U39" s="1694">
        <f t="shared" si="13"/>
        <v>100</v>
      </c>
      <c r="V39" s="1693" t="s">
        <v>25</v>
      </c>
      <c r="W39" s="1694">
        <f t="shared" si="14"/>
        <v>100</v>
      </c>
      <c r="X39" s="2042"/>
      <c r="Y39" s="3627"/>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6"/>
      <c r="M40" s="2962"/>
      <c r="N40" s="2962"/>
      <c r="O40" s="2962"/>
      <c r="P40" s="3625"/>
      <c r="Q40" s="2039" t="str">
        <f t="shared" si="11"/>
        <v>单套建筑面积</v>
      </c>
      <c r="R40" s="1693" t="s">
        <v>25</v>
      </c>
      <c r="S40" s="1694">
        <f t="shared" si="12"/>
        <v>100</v>
      </c>
      <c r="T40" s="1693" t="s">
        <v>25</v>
      </c>
      <c r="U40" s="1694">
        <f t="shared" si="13"/>
        <v>100</v>
      </c>
      <c r="V40" s="1693" t="s">
        <v>25</v>
      </c>
      <c r="W40" s="1694">
        <f t="shared" si="14"/>
        <v>100</v>
      </c>
      <c r="X40" s="2042"/>
      <c r="Y40" s="3627"/>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5"/>
      <c r="M41" s="2027"/>
      <c r="N41" s="2027"/>
      <c r="O41" s="2027"/>
      <c r="P41" s="3625"/>
      <c r="Q41" s="1734" t="str">
        <f t="shared" si="11"/>
        <v>进深比</v>
      </c>
      <c r="R41" s="1735" t="s">
        <v>25</v>
      </c>
      <c r="S41" s="1736">
        <f t="shared" si="12"/>
        <v>100</v>
      </c>
      <c r="T41" s="1735" t="s">
        <v>25</v>
      </c>
      <c r="U41" s="1736">
        <f t="shared" si="13"/>
        <v>100</v>
      </c>
      <c r="V41" s="1735" t="s">
        <v>25</v>
      </c>
      <c r="W41" s="1736">
        <f t="shared" si="14"/>
        <v>100</v>
      </c>
      <c r="X41" s="1737"/>
      <c r="Y41" s="3627"/>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6"/>
      <c r="M42" s="2962"/>
      <c r="N42" s="2962"/>
      <c r="O42" s="2962"/>
      <c r="P42" s="3625"/>
      <c r="Q42" s="2039" t="str">
        <f t="shared" si="11"/>
        <v>内部装修</v>
      </c>
      <c r="R42" s="1693" t="s">
        <v>25</v>
      </c>
      <c r="S42" s="1694">
        <f t="shared" si="12"/>
        <v>100</v>
      </c>
      <c r="T42" s="1693" t="s">
        <v>25</v>
      </c>
      <c r="U42" s="1694">
        <f t="shared" si="13"/>
        <v>100</v>
      </c>
      <c r="V42" s="1693" t="s">
        <v>25</v>
      </c>
      <c r="W42" s="1694">
        <f t="shared" si="14"/>
        <v>100</v>
      </c>
      <c r="X42" s="2042"/>
      <c r="Y42" s="3627"/>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6"/>
      <c r="M43" s="2962"/>
      <c r="N43" s="2962"/>
      <c r="O43" s="2962"/>
      <c r="P43" s="3625"/>
      <c r="Q43" s="2039" t="str">
        <f t="shared" si="11"/>
        <v>内部装修维护情况</v>
      </c>
      <c r="R43" s="1693" t="s">
        <v>25</v>
      </c>
      <c r="S43" s="1694">
        <f t="shared" si="12"/>
        <v>100</v>
      </c>
      <c r="T43" s="1693" t="s">
        <v>25</v>
      </c>
      <c r="U43" s="1694">
        <f t="shared" si="13"/>
        <v>100</v>
      </c>
      <c r="V43" s="1693" t="s">
        <v>25</v>
      </c>
      <c r="W43" s="1694">
        <f t="shared" si="14"/>
        <v>100</v>
      </c>
      <c r="X43" s="2042"/>
      <c r="Y43" s="3627"/>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1"/>
      <c r="M44" s="2934"/>
      <c r="N44" s="2934"/>
      <c r="O44" s="2934"/>
      <c r="P44" s="3625"/>
      <c r="Q44" s="2033">
        <f t="shared" si="11"/>
        <v>111</v>
      </c>
      <c r="R44" s="1648" t="s">
        <v>25</v>
      </c>
      <c r="S44" s="1649">
        <f t="shared" si="12"/>
        <v>100</v>
      </c>
      <c r="T44" s="1648" t="s">
        <v>25</v>
      </c>
      <c r="U44" s="1649">
        <f t="shared" si="13"/>
        <v>100</v>
      </c>
      <c r="V44" s="1648" t="s">
        <v>25</v>
      </c>
      <c r="W44" s="1649">
        <f t="shared" si="14"/>
        <v>100</v>
      </c>
      <c r="X44" s="1650"/>
      <c r="Y44" s="362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6"/>
      <c r="M45" s="2962"/>
      <c r="N45" s="2962"/>
      <c r="O45" s="2962"/>
      <c r="P45" s="3625"/>
      <c r="Q45" s="2039">
        <f t="shared" si="11"/>
        <v>111</v>
      </c>
      <c r="R45" s="1693" t="s">
        <v>25</v>
      </c>
      <c r="S45" s="1694">
        <f t="shared" si="12"/>
        <v>100</v>
      </c>
      <c r="T45" s="1693" t="s">
        <v>25</v>
      </c>
      <c r="U45" s="1694">
        <f t="shared" si="13"/>
        <v>100</v>
      </c>
      <c r="V45" s="1693" t="s">
        <v>25</v>
      </c>
      <c r="W45" s="1694">
        <f t="shared" si="14"/>
        <v>100</v>
      </c>
      <c r="X45" s="2042"/>
      <c r="Y45" s="3627"/>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6"/>
      <c r="M46" s="2962"/>
      <c r="N46" s="2962"/>
      <c r="O46" s="2962"/>
      <c r="P46" s="3626"/>
      <c r="Q46" s="2039">
        <f t="shared" si="11"/>
        <v>111</v>
      </c>
      <c r="R46" s="1693" t="s">
        <v>25</v>
      </c>
      <c r="S46" s="1694">
        <f t="shared" si="12"/>
        <v>100</v>
      </c>
      <c r="T46" s="1693" t="s">
        <v>25</v>
      </c>
      <c r="U46" s="1694">
        <f t="shared" si="13"/>
        <v>100</v>
      </c>
      <c r="V46" s="1693" t="s">
        <v>25</v>
      </c>
      <c r="W46" s="1694">
        <f t="shared" si="14"/>
        <v>100</v>
      </c>
      <c r="X46" s="2042"/>
      <c r="Y46" s="3628"/>
      <c r="Z46" s="2046">
        <f t="shared" si="15"/>
        <v>111</v>
      </c>
      <c r="AA46" s="2037">
        <f t="shared" si="3"/>
        <v>1</v>
      </c>
      <c r="AB46" s="2037">
        <f t="shared" si="4"/>
        <v>1</v>
      </c>
      <c r="AC46" s="2037">
        <f t="shared" si="5"/>
        <v>1</v>
      </c>
    </row>
    <row r="47" spans="1:29" ht="15">
      <c r="A47" s="1749" t="s">
        <v>2229</v>
      </c>
      <c r="B47" s="1750"/>
      <c r="C47" s="1751" t="s">
        <v>1</v>
      </c>
      <c r="D47" s="1752"/>
      <c r="E47" s="1753">
        <v>30000</v>
      </c>
      <c r="F47" s="1754"/>
      <c r="G47" s="1755">
        <v>30050</v>
      </c>
      <c r="H47" s="1756"/>
      <c r="I47" s="1753">
        <v>30200</v>
      </c>
      <c r="J47" s="1756"/>
      <c r="K47" s="1981"/>
      <c r="L47" s="2967"/>
      <c r="N47" s="2962"/>
      <c r="P47" s="3619" t="str">
        <f>A47</f>
        <v>成交单价（元/平方米）</v>
      </c>
      <c r="Q47" s="3619"/>
      <c r="R47" s="3620">
        <f>E47</f>
        <v>30000</v>
      </c>
      <c r="S47" s="3620"/>
      <c r="T47" s="3620">
        <f>G47</f>
        <v>30050</v>
      </c>
      <c r="U47" s="3620"/>
      <c r="V47" s="3620">
        <f>I47</f>
        <v>30200</v>
      </c>
      <c r="W47" s="3620"/>
      <c r="X47" s="1759"/>
      <c r="Y47" s="2041"/>
      <c r="Z47" s="1759"/>
      <c r="AA47" s="1759"/>
      <c r="AB47" s="1759"/>
      <c r="AC47" s="1759"/>
    </row>
    <row r="48" spans="1:29" ht="15.75" thickBot="1">
      <c r="A48" s="1761" t="s">
        <v>2312</v>
      </c>
      <c r="B48" s="1762"/>
      <c r="C48" s="1763">
        <f>R49</f>
        <v>30083</v>
      </c>
      <c r="D48" s="1764" t="s">
        <v>2681</v>
      </c>
      <c r="E48" s="1765">
        <f>R48</f>
        <v>30000</v>
      </c>
      <c r="F48" s="1766"/>
      <c r="G48" s="1763">
        <f>T48</f>
        <v>30050</v>
      </c>
      <c r="H48" s="1766"/>
      <c r="I48" s="1765">
        <f>V48</f>
        <v>30200</v>
      </c>
      <c r="J48" s="1766"/>
      <c r="K48" s="2477">
        <f>F48+H48+J48</f>
        <v>0</v>
      </c>
      <c r="L48" s="2967"/>
      <c r="N48" s="2962"/>
      <c r="P48" s="3619" t="str">
        <f>A48</f>
        <v>比较价值（元/平方米）</v>
      </c>
      <c r="Q48" s="3619"/>
      <c r="R48" s="3620">
        <f>IF(E1="售价",ROUND(PRODUCT(R47,AA7:AA46),0),ROUND(PRODUCT(R47,AA7:AA46),1))</f>
        <v>30000</v>
      </c>
      <c r="S48" s="3620"/>
      <c r="T48" s="3620">
        <f>IF(E1="售价",ROUND(PRODUCT(T47,AB7:AB46),0),ROUND(PRODUCT(T47,AB7:AB46),1))</f>
        <v>30050</v>
      </c>
      <c r="U48" s="3620"/>
      <c r="V48" s="3620">
        <f>IF(E1="售价",ROUND(PRODUCT(V47,AC7:AC46),0),ROUND(PRODUCT(V47,AC7:AC46),1))</f>
        <v>30200</v>
      </c>
      <c r="W48" s="3620"/>
      <c r="X48" s="1759"/>
      <c r="Y48" s="1759"/>
      <c r="Z48" s="1759"/>
      <c r="AA48" s="1759"/>
      <c r="AB48" s="1759"/>
      <c r="AC48" s="1759"/>
    </row>
    <row r="49" spans="1:29" ht="15.75" thickBot="1">
      <c r="A49" s="1767" t="s">
        <v>2313</v>
      </c>
      <c r="B49" s="1768"/>
      <c r="C49" s="1770">
        <f>R49</f>
        <v>30083</v>
      </c>
      <c r="D49" s="1770"/>
      <c r="E49" s="1770"/>
      <c r="F49" s="1770"/>
      <c r="G49" s="1770"/>
      <c r="H49" s="1770"/>
      <c r="I49" s="1770"/>
      <c r="J49" s="1770"/>
      <c r="K49" s="1986"/>
      <c r="L49" s="2967"/>
      <c r="N49" s="2962"/>
      <c r="P49" s="3621" t="str">
        <f>A49</f>
        <v>估价对象XX用房的比较价值（楼面单价，元/平方米）</v>
      </c>
      <c r="Q49" s="3622"/>
      <c r="R49" s="3623">
        <f>IF(E1="售价",ROUND(IF(D48="简单平均",AVERAGE(R48:V48),R48*F48+T48*H48+V48*J48),0),ROUND(IF(D48="简单平均",AVERAGE(R48:V48),R48*F48+T48*H48+V48*J48),1))</f>
        <v>30083</v>
      </c>
      <c r="S49" s="3623"/>
      <c r="T49" s="3623"/>
      <c r="U49" s="3623"/>
      <c r="V49" s="3623"/>
      <c r="W49" s="3623"/>
      <c r="X49" s="1759"/>
      <c r="Y49" s="1759"/>
      <c r="Z49" s="1759"/>
      <c r="AA49" s="1759"/>
      <c r="AB49" s="1759"/>
      <c r="AC49" s="1759"/>
    </row>
    <row r="50" spans="1:29">
      <c r="G50" s="2971"/>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v>
      </c>
      <c r="F52" s="1777" t="str">
        <f>IF(OR(E52&gt;=0.3,E52&lt;=-0.3),"超过30%","")</f>
        <v/>
      </c>
      <c r="G52" s="1776">
        <f>IF(G47&lt;G48,G48/G47-1,G47/G48-1)</f>
        <v>0</v>
      </c>
      <c r="H52" s="1777" t="str">
        <f>IF(OR(G52&gt;=0.3,G52&lt;=-0.3),"超过30%","")</f>
        <v/>
      </c>
      <c r="I52" s="1776">
        <f>IF(I47&lt;I48,I48/I47-1,I47/I48-1)</f>
        <v>0</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1.6666666666667052E-3</v>
      </c>
      <c r="F53" s="1777" t="str">
        <f>IF(OR(E53&gt;=0.2,E53&lt;=-0.2),"超过20%","")</f>
        <v/>
      </c>
      <c r="G53" s="1776">
        <f>IF(G48&lt;I48,I48/G48-1,G48/I48-1)</f>
        <v>4.991680532445919E-3</v>
      </c>
      <c r="H53" s="1777" t="str">
        <f>IF(OR(G53&gt;=0.2,G53&lt;=-0.2),"超过20%","")</f>
        <v/>
      </c>
      <c r="I53" s="1776">
        <f>IF(I48&lt;E48,E48/I48-1,I48/E48-1)</f>
        <v>6.6666666666665986E-3</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1.6666666666667052E-3</v>
      </c>
      <c r="F54" s="1777" t="str">
        <f>IF(OR(E54&gt;=0.3,E54&lt;=-0.3),"超过30%","")</f>
        <v/>
      </c>
      <c r="G54" s="1776">
        <f>IF(G47&lt;I47,I47/G47-1,G47/I47-1)</f>
        <v>4.991680532445919E-3</v>
      </c>
      <c r="H54" s="1777" t="str">
        <f>IF(OR(G54&gt;=0.3,G54&lt;=-0.3),"超过30%","")</f>
        <v/>
      </c>
      <c r="I54" s="1776">
        <f>IF(I47&lt;E47,E47/I47-1,I47/E47-1)</f>
        <v>6.6666666666665986E-3</v>
      </c>
      <c r="J54" s="1777" t="str">
        <f>IF(OR(I54&gt;=0.3,I54&lt;=-0.3),"超过30%","")</f>
        <v/>
      </c>
      <c r="K54" s="2974"/>
      <c r="L54" s="2968"/>
      <c r="P54" s="2448"/>
      <c r="Q54" s="1779"/>
      <c r="R54" s="1779"/>
      <c r="S54" s="1779"/>
      <c r="T54" s="1779"/>
      <c r="U54" s="1779"/>
      <c r="V54" s="1779"/>
      <c r="W54" s="1779"/>
      <c r="X54" s="1779"/>
      <c r="Y54" s="1779"/>
      <c r="Z54" s="1779"/>
      <c r="AA54" s="1779"/>
      <c r="AB54" s="1779"/>
      <c r="AC54" s="1779"/>
    </row>
    <row r="55" spans="1:29" s="1781" customFormat="1">
      <c r="B55" s="2972"/>
      <c r="C55" s="2973"/>
      <c r="K55" s="2974"/>
      <c r="L55" s="2968"/>
      <c r="P55" s="2448"/>
      <c r="Q55" s="1779"/>
      <c r="R55" s="1779"/>
      <c r="S55" s="1779"/>
      <c r="T55" s="1779"/>
      <c r="U55" s="1779"/>
      <c r="V55" s="1779"/>
      <c r="W55" s="1779"/>
      <c r="X55" s="1779"/>
      <c r="Y55" s="1779"/>
      <c r="Z55" s="1779"/>
      <c r="AA55" s="1779"/>
      <c r="AB55" s="1779"/>
      <c r="AC55" s="1779"/>
    </row>
    <row r="56" spans="1:29">
      <c r="B56" s="2972"/>
      <c r="C56" s="2973"/>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0"/>
      <c r="O57" s="2970"/>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79"/>
      <c r="O61" s="2979"/>
      <c r="P61" s="1811"/>
      <c r="Q61" s="1789"/>
    </row>
    <row r="62" spans="1:29" s="1652" customFormat="1" ht="15.75" thickBot="1">
      <c r="A62" s="1807"/>
      <c r="B62" s="1797"/>
      <c r="C62" s="1812">
        <v>100</v>
      </c>
      <c r="D62" s="1799"/>
      <c r="E62" s="1799"/>
      <c r="F62" s="1799"/>
      <c r="G62" s="1799"/>
      <c r="H62" s="1799"/>
      <c r="I62" s="1799"/>
      <c r="J62" s="1799"/>
      <c r="K62" s="1799"/>
      <c r="L62" s="1799"/>
      <c r="M62" s="1813"/>
      <c r="N62" s="2979"/>
      <c r="O62" s="2979"/>
      <c r="P62" s="1801"/>
      <c r="Q62" s="1789"/>
    </row>
    <row r="63" spans="1:29">
      <c r="A63" s="1814" t="s">
        <v>2240</v>
      </c>
      <c r="B63" s="1815" t="s">
        <v>2205</v>
      </c>
      <c r="C63" s="1816">
        <f>C9</f>
        <v>0</v>
      </c>
      <c r="D63" s="1817"/>
      <c r="E63" s="1817"/>
      <c r="F63" s="1817"/>
      <c r="G63" s="1817"/>
      <c r="H63" s="1817"/>
      <c r="I63" s="1817"/>
      <c r="J63" s="1817"/>
      <c r="K63" s="417"/>
      <c r="L63" s="417"/>
      <c r="M63" s="1818"/>
      <c r="N63" s="2980"/>
      <c r="O63" s="2980"/>
      <c r="P63" s="1820"/>
      <c r="Q63" s="1789"/>
    </row>
    <row r="64" spans="1:29" ht="15.75" thickBot="1">
      <c r="A64" s="1821"/>
      <c r="B64" s="1822"/>
      <c r="C64" s="1823">
        <v>100</v>
      </c>
      <c r="D64" s="1823"/>
      <c r="E64" s="1823"/>
      <c r="F64" s="1823"/>
      <c r="G64" s="1823"/>
      <c r="H64" s="1823"/>
      <c r="I64" s="1823"/>
      <c r="J64" s="1823"/>
      <c r="K64" s="1823"/>
      <c r="L64" s="1823"/>
      <c r="M64" s="1824"/>
      <c r="N64" s="2981"/>
      <c r="O64" s="2981"/>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0"/>
      <c r="O65" s="2980"/>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1"/>
      <c r="O66" s="2981"/>
      <c r="P66" s="1820"/>
      <c r="Q66" s="1789"/>
    </row>
    <row r="67" spans="1:17" ht="15.75" thickTop="1">
      <c r="A67" s="1821"/>
      <c r="B67" s="1832" t="s">
        <v>2209</v>
      </c>
      <c r="C67" s="1833" t="str">
        <f>C68&amp;"（含）"&amp;"-"&amp;D68</f>
        <v>1（含）-2</v>
      </c>
      <c r="D67" s="1833" t="str">
        <f t="shared" ref="D67:L67" si="17">D68&amp;"（含）"&amp;"-"&amp;E68</f>
        <v>2（含）-3</v>
      </c>
      <c r="E67" s="1833" t="str">
        <f t="shared" si="17"/>
        <v>3（含）-4</v>
      </c>
      <c r="F67" s="1833" t="str">
        <f t="shared" si="17"/>
        <v>4（含）-5</v>
      </c>
      <c r="G67" s="1833" t="str">
        <f t="shared" si="17"/>
        <v>5（含）-</v>
      </c>
      <c r="H67" s="1833" t="str">
        <f t="shared" si="17"/>
        <v>（含）-</v>
      </c>
      <c r="I67" s="1833" t="str">
        <f t="shared" si="17"/>
        <v>（含）-</v>
      </c>
      <c r="J67" s="1833" t="str">
        <f t="shared" si="17"/>
        <v>（含）-</v>
      </c>
      <c r="K67" s="1833" t="str">
        <f t="shared" si="17"/>
        <v>（含）-</v>
      </c>
      <c r="L67" s="1833" t="str">
        <f t="shared" si="17"/>
        <v>（含）-</v>
      </c>
      <c r="M67" s="1699" t="str">
        <f>M68&amp;"（含）"&amp;"-"&amp;P68</f>
        <v>（含）-</v>
      </c>
      <c r="N67" s="2981"/>
      <c r="O67" s="2981"/>
      <c r="P67" s="1820"/>
      <c r="Q67" s="1789"/>
    </row>
    <row r="68" spans="1:17" ht="15">
      <c r="A68" s="1821"/>
      <c r="B68" s="1834"/>
      <c r="C68" s="1835">
        <v>1</v>
      </c>
      <c r="D68" s="1835">
        <v>2</v>
      </c>
      <c r="E68" s="1835">
        <v>3</v>
      </c>
      <c r="F68" s="1835">
        <v>4</v>
      </c>
      <c r="G68" s="1835">
        <v>5</v>
      </c>
      <c r="H68" s="1835"/>
      <c r="I68" s="1835"/>
      <c r="J68" s="1835"/>
      <c r="K68" s="438"/>
      <c r="L68" s="438"/>
      <c r="M68" s="1836"/>
      <c r="N68" s="2980"/>
      <c r="O68" s="2980"/>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1"/>
      <c r="O69" s="2981"/>
      <c r="P69" s="1820"/>
      <c r="Q69" s="1789"/>
    </row>
    <row r="70" spans="1:17" s="1739" customFormat="1" ht="15.75" thickTop="1">
      <c r="A70" s="1837"/>
      <c r="B70" s="1826">
        <f>B12</f>
        <v>111</v>
      </c>
      <c r="C70" s="468"/>
      <c r="D70" s="468"/>
      <c r="E70" s="468"/>
      <c r="F70" s="468"/>
      <c r="G70" s="468"/>
      <c r="H70" s="443"/>
      <c r="I70" s="443"/>
      <c r="J70" s="443"/>
      <c r="K70" s="443"/>
      <c r="L70" s="443"/>
      <c r="M70" s="1838"/>
      <c r="N70" s="2982"/>
      <c r="O70" s="2982"/>
      <c r="P70" s="1840"/>
      <c r="Q70" s="1841"/>
    </row>
    <row r="71" spans="1:17" s="1739" customFormat="1" ht="15.75" thickBot="1">
      <c r="A71" s="1837"/>
      <c r="B71" s="1829"/>
      <c r="C71" s="1842"/>
      <c r="D71" s="1823"/>
      <c r="E71" s="1823"/>
      <c r="F71" s="1823"/>
      <c r="G71" s="1823"/>
      <c r="H71" s="1823"/>
      <c r="I71" s="1823"/>
      <c r="J71" s="1823"/>
      <c r="K71" s="1823"/>
      <c r="L71" s="1823"/>
      <c r="M71" s="1824"/>
      <c r="N71" s="2981"/>
      <c r="O71" s="2981"/>
      <c r="P71" s="1840"/>
      <c r="Q71" s="1841"/>
    </row>
    <row r="72" spans="1:17" s="1739" customFormat="1" ht="15.75" thickTop="1">
      <c r="A72" s="1837"/>
      <c r="B72" s="1826">
        <f>B13</f>
        <v>111</v>
      </c>
      <c r="C72" s="468"/>
      <c r="D72" s="468"/>
      <c r="E72" s="468"/>
      <c r="F72" s="468"/>
      <c r="G72" s="468"/>
      <c r="H72" s="443"/>
      <c r="I72" s="443"/>
      <c r="J72" s="443"/>
      <c r="K72" s="443"/>
      <c r="L72" s="443"/>
      <c r="M72" s="1838"/>
      <c r="N72" s="2982"/>
      <c r="O72" s="2982"/>
      <c r="P72" s="1843"/>
      <c r="Q72" s="1844"/>
    </row>
    <row r="73" spans="1:17" s="1739" customFormat="1" ht="15.75" thickBot="1">
      <c r="A73" s="1837"/>
      <c r="B73" s="1829"/>
      <c r="C73" s="1842"/>
      <c r="D73" s="1823"/>
      <c r="E73" s="1823"/>
      <c r="F73" s="1823"/>
      <c r="G73" s="1842"/>
      <c r="H73" s="1845"/>
      <c r="I73" s="1845"/>
      <c r="J73" s="1845"/>
      <c r="K73" s="1845"/>
      <c r="L73" s="1845"/>
      <c r="M73" s="1846"/>
      <c r="N73" s="2982"/>
      <c r="O73" s="2982"/>
      <c r="P73" s="1840"/>
      <c r="Q73" s="1841"/>
    </row>
    <row r="74" spans="1:17" s="1739" customFormat="1" ht="15.75" thickTop="1">
      <c r="A74" s="1837"/>
      <c r="B74" s="1832">
        <f>B14</f>
        <v>111</v>
      </c>
      <c r="C74" s="468"/>
      <c r="D74" s="468"/>
      <c r="E74" s="468"/>
      <c r="F74" s="468"/>
      <c r="G74" s="409"/>
      <c r="H74" s="453"/>
      <c r="I74" s="453"/>
      <c r="J74" s="453"/>
      <c r="K74" s="453"/>
      <c r="L74" s="453"/>
      <c r="M74" s="1847"/>
      <c r="N74" s="2982"/>
      <c r="O74" s="2982"/>
      <c r="P74" s="1840"/>
      <c r="Q74" s="1841"/>
    </row>
    <row r="75" spans="1:17" s="1739" customFormat="1" ht="15.75" thickBot="1">
      <c r="A75" s="1848"/>
      <c r="B75" s="1849"/>
      <c r="C75" s="1850"/>
      <c r="D75" s="1850"/>
      <c r="E75" s="1850"/>
      <c r="F75" s="1850"/>
      <c r="G75" s="1850"/>
      <c r="H75" s="1851"/>
      <c r="I75" s="1851"/>
      <c r="J75" s="1851"/>
      <c r="K75" s="1851"/>
      <c r="L75" s="1851"/>
      <c r="M75" s="1852"/>
      <c r="N75" s="2982"/>
      <c r="O75" s="2982"/>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0"/>
      <c r="O76" s="2980"/>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1"/>
      <c r="O77" s="2981"/>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0"/>
      <c r="O78" s="2980"/>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1"/>
      <c r="O79" s="2981"/>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0"/>
      <c r="O80" s="2980"/>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1"/>
      <c r="O81" s="2981"/>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1"/>
      <c r="O82" s="2981"/>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1"/>
      <c r="O83" s="2981"/>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0"/>
      <c r="O84" s="2980"/>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1"/>
      <c r="O85" s="2981"/>
      <c r="P85" s="1820"/>
      <c r="Q85" s="1789"/>
    </row>
    <row r="86" spans="1:17" s="1652" customFormat="1" ht="15.75" thickTop="1">
      <c r="A86" s="1857"/>
      <c r="B86" s="1826" t="s">
        <v>2318</v>
      </c>
      <c r="C86" s="468"/>
      <c r="D86" s="468"/>
      <c r="E86" s="468"/>
      <c r="F86" s="468"/>
      <c r="G86" s="468"/>
      <c r="H86" s="468"/>
      <c r="I86" s="468"/>
      <c r="J86" s="468"/>
      <c r="K86" s="468"/>
      <c r="L86" s="468"/>
      <c r="M86" s="1858"/>
      <c r="N86" s="2979"/>
      <c r="O86" s="2979"/>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1"/>
      <c r="O87" s="2981"/>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79"/>
      <c r="O88" s="2979"/>
      <c r="P88" s="1820"/>
      <c r="Q88" s="1789"/>
    </row>
    <row r="89" spans="1:17" s="1652" customFormat="1" ht="15.75" thickBot="1">
      <c r="A89" s="1857"/>
      <c r="B89" s="1829"/>
      <c r="C89" s="1842"/>
      <c r="D89" s="1823"/>
      <c r="E89" s="1823"/>
      <c r="F89" s="1823"/>
      <c r="G89" s="1823"/>
      <c r="H89" s="1823"/>
      <c r="I89" s="1823"/>
      <c r="J89" s="1823"/>
      <c r="K89" s="1823"/>
      <c r="L89" s="1823"/>
      <c r="M89" s="1823"/>
      <c r="N89" s="2981"/>
      <c r="O89" s="2981"/>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2"/>
      <c r="O90" s="2982"/>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2"/>
      <c r="O91" s="2982"/>
      <c r="P91" s="1840"/>
      <c r="Q91" s="1841"/>
    </row>
    <row r="92" spans="1:17" ht="15.75" thickTop="1">
      <c r="A92" s="1821"/>
      <c r="B92" s="1826" t="str">
        <f>B28</f>
        <v>楼层</v>
      </c>
      <c r="C92" s="468"/>
      <c r="D92" s="468"/>
      <c r="E92" s="468"/>
      <c r="F92" s="468"/>
      <c r="G92" s="468"/>
      <c r="H92" s="468"/>
      <c r="I92" s="468"/>
      <c r="J92" s="468"/>
      <c r="K92" s="468"/>
      <c r="L92" s="468"/>
      <c r="M92" s="1858"/>
      <c r="N92" s="2980"/>
      <c r="O92" s="2980"/>
      <c r="P92" s="1820"/>
      <c r="Q92" s="1789"/>
    </row>
    <row r="93" spans="1:17" ht="15.75" thickBot="1">
      <c r="A93" s="1821"/>
      <c r="B93" s="1829"/>
      <c r="C93" s="1823"/>
      <c r="D93" s="1823"/>
      <c r="E93" s="1823"/>
      <c r="F93" s="1823"/>
      <c r="G93" s="1823"/>
      <c r="H93" s="1823"/>
      <c r="I93" s="1823"/>
      <c r="J93" s="1823"/>
      <c r="K93" s="1823"/>
      <c r="L93" s="1823"/>
      <c r="M93" s="1824"/>
      <c r="N93" s="2981"/>
      <c r="O93" s="2981"/>
      <c r="P93" s="1820"/>
      <c r="Q93" s="1789"/>
    </row>
    <row r="94" spans="1:17" ht="15.75" thickTop="1">
      <c r="A94" s="1821"/>
      <c r="B94" s="1826">
        <f>B29</f>
        <v>111</v>
      </c>
      <c r="C94" s="468"/>
      <c r="D94" s="468"/>
      <c r="E94" s="468"/>
      <c r="F94" s="468"/>
      <c r="G94" s="1545"/>
      <c r="H94" s="1545"/>
      <c r="I94" s="1545"/>
      <c r="J94" s="1545"/>
      <c r="K94" s="473"/>
      <c r="L94" s="473"/>
      <c r="M94" s="1861"/>
      <c r="N94" s="2980"/>
      <c r="O94" s="2980"/>
      <c r="P94" s="1820"/>
      <c r="Q94" s="1789"/>
    </row>
    <row r="95" spans="1:17" ht="15.75" thickBot="1">
      <c r="A95" s="1821"/>
      <c r="B95" s="1829"/>
      <c r="C95" s="1842"/>
      <c r="D95" s="1823"/>
      <c r="E95" s="1823"/>
      <c r="F95" s="1823"/>
      <c r="G95" s="1823"/>
      <c r="H95" s="1823"/>
      <c r="I95" s="1823"/>
      <c r="J95" s="1823"/>
      <c r="K95" s="1823"/>
      <c r="L95" s="1823"/>
      <c r="M95" s="1824"/>
      <c r="N95" s="2981"/>
      <c r="O95" s="2981"/>
      <c r="P95" s="1820"/>
      <c r="Q95" s="1789"/>
    </row>
    <row r="96" spans="1:17" ht="15.75" thickTop="1">
      <c r="A96" s="1821"/>
      <c r="B96" s="1826">
        <f>B30</f>
        <v>111</v>
      </c>
      <c r="C96" s="468"/>
      <c r="D96" s="468"/>
      <c r="E96" s="468"/>
      <c r="F96" s="468"/>
      <c r="G96" s="1545"/>
      <c r="H96" s="1545"/>
      <c r="I96" s="1545"/>
      <c r="J96" s="1545"/>
      <c r="K96" s="473"/>
      <c r="L96" s="473"/>
      <c r="M96" s="1861"/>
      <c r="N96" s="2980"/>
      <c r="O96" s="2980"/>
      <c r="P96" s="1820"/>
      <c r="Q96" s="1789"/>
    </row>
    <row r="97" spans="1:17" ht="15.75" thickBot="1">
      <c r="A97" s="1821"/>
      <c r="B97" s="1829"/>
      <c r="C97" s="1842"/>
      <c r="D97" s="1823"/>
      <c r="E97" s="1823"/>
      <c r="F97" s="1823"/>
      <c r="G97" s="1823"/>
      <c r="H97" s="1823"/>
      <c r="I97" s="1823"/>
      <c r="J97" s="1823"/>
      <c r="K97" s="1823"/>
      <c r="L97" s="1823"/>
      <c r="M97" s="1824"/>
      <c r="N97" s="2981"/>
      <c r="O97" s="2981"/>
      <c r="P97" s="1820"/>
      <c r="Q97" s="1789"/>
    </row>
    <row r="98" spans="1:17" ht="15.75" thickTop="1">
      <c r="A98" s="1821"/>
      <c r="B98" s="1832">
        <f>B31</f>
        <v>111</v>
      </c>
      <c r="C98" s="468"/>
      <c r="D98" s="468"/>
      <c r="E98" s="468"/>
      <c r="F98" s="468"/>
      <c r="G98" s="1862"/>
      <c r="H98" s="1862"/>
      <c r="I98" s="1862"/>
      <c r="J98" s="1862"/>
      <c r="K98" s="477"/>
      <c r="L98" s="477"/>
      <c r="M98" s="1863"/>
      <c r="N98" s="2980"/>
      <c r="O98" s="2980"/>
      <c r="P98" s="1820"/>
      <c r="Q98" s="1789"/>
    </row>
    <row r="99" spans="1:17" ht="15.75" thickBot="1">
      <c r="A99" s="1864"/>
      <c r="B99" s="1849"/>
      <c r="C99" s="1850"/>
      <c r="D99" s="1850"/>
      <c r="E99" s="1850"/>
      <c r="F99" s="1850"/>
      <c r="G99" s="1865"/>
      <c r="H99" s="1865"/>
      <c r="I99" s="1865"/>
      <c r="J99" s="1865"/>
      <c r="K99" s="1865"/>
      <c r="L99" s="1865"/>
      <c r="M99" s="1866"/>
      <c r="N99" s="2981"/>
      <c r="O99" s="2981"/>
      <c r="P99" s="1820"/>
      <c r="Q99" s="1789"/>
    </row>
    <row r="100" spans="1:17">
      <c r="A100" s="1814" t="s">
        <v>2215</v>
      </c>
      <c r="B100" s="1815" t="s">
        <v>2319</v>
      </c>
      <c r="C100" s="1817"/>
      <c r="D100" s="1817"/>
      <c r="E100" s="1817"/>
      <c r="F100" s="1817"/>
      <c r="G100" s="1817"/>
      <c r="H100" s="1817"/>
      <c r="I100" s="1817"/>
      <c r="J100" s="1817"/>
      <c r="K100" s="417"/>
      <c r="L100" s="417"/>
      <c r="M100" s="1818"/>
      <c r="N100" s="2980"/>
      <c r="O100" s="2980"/>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1"/>
      <c r="O101" s="2981"/>
      <c r="P101" s="1820"/>
      <c r="Q101" s="1789"/>
    </row>
    <row r="102" spans="1:17" ht="15.75" thickTop="1">
      <c r="A102" s="1821"/>
      <c r="B102" s="1826" t="s">
        <v>2265</v>
      </c>
      <c r="C102" s="579" t="str">
        <f>C103&amp;"(含)"&amp;"-"&amp;D103</f>
        <v>0(含)-100</v>
      </c>
      <c r="D102" s="579" t="str">
        <f t="shared" ref="D102:L102" si="22">D103&amp;"(含)"&amp;"-"&amp;E103</f>
        <v>100(含)-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79"/>
      <c r="O102" s="2979"/>
      <c r="P102" s="1820"/>
      <c r="Q102" s="1789"/>
    </row>
    <row r="103" spans="1:17" s="1739" customFormat="1">
      <c r="A103" s="1867"/>
      <c r="B103" s="1868"/>
      <c r="C103" s="1869">
        <v>0</v>
      </c>
      <c r="D103" s="1869">
        <v>100</v>
      </c>
      <c r="E103" s="1869"/>
      <c r="F103" s="1869"/>
      <c r="G103" s="1869"/>
      <c r="H103" s="1869"/>
      <c r="I103" s="1869"/>
      <c r="J103" s="485"/>
      <c r="K103" s="485"/>
      <c r="L103" s="485"/>
      <c r="M103" s="1870"/>
      <c r="N103" s="2982"/>
      <c r="O103" s="2982"/>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1"/>
      <c r="O104" s="2981"/>
      <c r="P104" s="1840"/>
      <c r="Q104" s="1841"/>
    </row>
    <row r="105" spans="1:17" ht="15" thickTop="1">
      <c r="A105" s="1871"/>
      <c r="B105" s="1826" t="s">
        <v>2266</v>
      </c>
      <c r="C105" s="468"/>
      <c r="D105" s="468"/>
      <c r="E105" s="1545"/>
      <c r="F105" s="1545"/>
      <c r="G105" s="1545"/>
      <c r="H105" s="1545"/>
      <c r="I105" s="1545"/>
      <c r="J105" s="1545"/>
      <c r="K105" s="473"/>
      <c r="L105" s="473"/>
      <c r="M105" s="1861"/>
      <c r="N105" s="2980"/>
      <c r="O105" s="2980"/>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1"/>
      <c r="O106" s="2981"/>
      <c r="P106" s="1820"/>
      <c r="Q106" s="1789"/>
    </row>
    <row r="107" spans="1:17" ht="15" thickTop="1">
      <c r="A107" s="1871"/>
      <c r="B107" s="1826" t="s">
        <v>2268</v>
      </c>
      <c r="C107" s="468"/>
      <c r="D107" s="468"/>
      <c r="E107" s="468"/>
      <c r="F107" s="1545"/>
      <c r="G107" s="1545"/>
      <c r="H107" s="1545"/>
      <c r="I107" s="1545"/>
      <c r="J107" s="1545"/>
      <c r="K107" s="473"/>
      <c r="L107" s="473"/>
      <c r="M107" s="1861"/>
      <c r="N107" s="2980"/>
      <c r="O107" s="2980"/>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1"/>
      <c r="O108" s="2981"/>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0"/>
      <c r="O109" s="2980"/>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0"/>
      <c r="O110" s="2980"/>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1"/>
      <c r="O111" s="2981"/>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2"/>
      <c r="O112" s="2982"/>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2"/>
      <c r="O113" s="2982"/>
      <c r="P113" s="1840"/>
      <c r="Q113" s="1841"/>
    </row>
    <row r="114" spans="1:17" ht="15" thickTop="1">
      <c r="A114" s="1871"/>
      <c r="B114" s="1826" t="s">
        <v>2320</v>
      </c>
      <c r="C114" s="468"/>
      <c r="D114" s="468"/>
      <c r="E114" s="1545"/>
      <c r="F114" s="1545"/>
      <c r="G114" s="1545"/>
      <c r="H114" s="1545"/>
      <c r="I114" s="1545"/>
      <c r="J114" s="1545"/>
      <c r="K114" s="473"/>
      <c r="L114" s="473"/>
      <c r="M114" s="1861"/>
      <c r="N114" s="2980"/>
      <c r="O114" s="2980"/>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1"/>
      <c r="O115" s="2981"/>
      <c r="P115" s="1820"/>
      <c r="Q115" s="1789"/>
    </row>
    <row r="116" spans="1:17" ht="15" thickTop="1">
      <c r="A116" s="1871"/>
      <c r="B116" s="1826" t="s">
        <v>2321</v>
      </c>
      <c r="C116" s="468"/>
      <c r="D116" s="468"/>
      <c r="E116" s="468"/>
      <c r="F116" s="468"/>
      <c r="G116" s="468"/>
      <c r="H116" s="1545"/>
      <c r="I116" s="1545"/>
      <c r="J116" s="1545"/>
      <c r="K116" s="473"/>
      <c r="L116" s="473"/>
      <c r="M116" s="1861"/>
      <c r="N116" s="2980"/>
      <c r="O116" s="2980"/>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1"/>
      <c r="O117" s="2981"/>
      <c r="P117" s="1820"/>
      <c r="Q117" s="1789"/>
    </row>
    <row r="118" spans="1:17" ht="15" thickTop="1">
      <c r="A118" s="1871"/>
      <c r="B118" s="1826" t="s">
        <v>2322</v>
      </c>
      <c r="C118" s="2453"/>
      <c r="D118" s="2453"/>
      <c r="E118" s="2453"/>
      <c r="F118" s="2453"/>
      <c r="G118" s="2453"/>
      <c r="H118" s="443"/>
      <c r="I118" s="443"/>
      <c r="J118" s="443"/>
      <c r="K118" s="443"/>
      <c r="L118" s="443"/>
      <c r="M118" s="1838"/>
      <c r="N118" s="2980"/>
      <c r="O118" s="2980"/>
      <c r="P118" s="1820"/>
      <c r="Q118" s="1789"/>
    </row>
    <row r="119" spans="1:17" ht="15.75" thickBot="1">
      <c r="A119" s="1821"/>
      <c r="B119" s="1829"/>
      <c r="C119" s="1842"/>
      <c r="D119" s="1823"/>
      <c r="E119" s="1823"/>
      <c r="F119" s="1823"/>
      <c r="G119" s="1823"/>
      <c r="H119" s="1823"/>
      <c r="I119" s="1823"/>
      <c r="J119" s="1823"/>
      <c r="K119" s="1823"/>
      <c r="L119" s="1823"/>
      <c r="M119" s="1824"/>
      <c r="N119" s="2981"/>
      <c r="O119" s="2981"/>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2"/>
      <c r="O120" s="2982"/>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2"/>
      <c r="O121" s="2982"/>
      <c r="P121" s="1840"/>
      <c r="Q121" s="1841"/>
    </row>
    <row r="122" spans="1:17" ht="15" thickTop="1">
      <c r="A122" s="1871"/>
      <c r="B122" s="1826" t="s">
        <v>2273</v>
      </c>
      <c r="C122" s="468"/>
      <c r="D122" s="468"/>
      <c r="E122" s="468"/>
      <c r="F122" s="1545"/>
      <c r="G122" s="1545"/>
      <c r="H122" s="1545"/>
      <c r="I122" s="1545"/>
      <c r="J122" s="1545"/>
      <c r="K122" s="473"/>
      <c r="L122" s="473"/>
      <c r="M122" s="1861"/>
      <c r="N122" s="2980"/>
      <c r="O122" s="2980"/>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1"/>
      <c r="O123" s="2981"/>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0"/>
      <c r="O124" s="2980"/>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1"/>
      <c r="O125" s="2981"/>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2"/>
      <c r="O126" s="2982"/>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2"/>
      <c r="O127" s="2982"/>
      <c r="P127" s="1840"/>
      <c r="Q127" s="1841"/>
    </row>
    <row r="128" spans="1:17" ht="15" thickTop="1">
      <c r="A128" s="1871"/>
      <c r="B128" s="1826">
        <f>B45</f>
        <v>111</v>
      </c>
      <c r="C128" s="468"/>
      <c r="D128" s="468"/>
      <c r="E128" s="468"/>
      <c r="F128" s="468"/>
      <c r="G128" s="1545"/>
      <c r="H128" s="1545"/>
      <c r="I128" s="1545"/>
      <c r="J128" s="1545"/>
      <c r="K128" s="473"/>
      <c r="L128" s="473"/>
      <c r="M128" s="1861"/>
      <c r="N128" s="2980"/>
      <c r="O128" s="2980"/>
      <c r="P128" s="1820"/>
      <c r="Q128" s="1789"/>
    </row>
    <row r="129" spans="1:17" ht="15.75" thickBot="1">
      <c r="A129" s="1821"/>
      <c r="B129" s="1829"/>
      <c r="C129" s="1842"/>
      <c r="D129" s="1823"/>
      <c r="E129" s="1823"/>
      <c r="F129" s="1823"/>
      <c r="G129" s="1823"/>
      <c r="H129" s="1823"/>
      <c r="I129" s="1823"/>
      <c r="J129" s="1823"/>
      <c r="K129" s="1823"/>
      <c r="L129" s="1823"/>
      <c r="M129" s="1824"/>
      <c r="N129" s="2981"/>
      <c r="O129" s="2981"/>
      <c r="P129" s="1820"/>
      <c r="Q129" s="1789"/>
    </row>
    <row r="130" spans="1:17" ht="15" thickTop="1">
      <c r="A130" s="1871"/>
      <c r="B130" s="1832">
        <f>B46</f>
        <v>111</v>
      </c>
      <c r="C130" s="468"/>
      <c r="D130" s="468"/>
      <c r="E130" s="468"/>
      <c r="F130" s="468"/>
      <c r="G130" s="1862"/>
      <c r="H130" s="1862"/>
      <c r="I130" s="1862"/>
      <c r="J130" s="1862"/>
      <c r="K130" s="409"/>
      <c r="L130" s="409"/>
      <c r="M130" s="1863"/>
      <c r="N130" s="2980"/>
      <c r="O130" s="2980"/>
      <c r="P130" s="1820"/>
      <c r="Q130" s="1789"/>
    </row>
    <row r="131" spans="1:17" ht="15.75" thickBot="1">
      <c r="A131" s="1864"/>
      <c r="B131" s="1849"/>
      <c r="C131" s="1850"/>
      <c r="D131" s="1850"/>
      <c r="E131" s="1850"/>
      <c r="F131" s="1850"/>
      <c r="G131" s="1865"/>
      <c r="H131" s="1865"/>
      <c r="I131" s="1865"/>
      <c r="J131" s="1865"/>
      <c r="K131" s="1865"/>
      <c r="L131" s="1865"/>
      <c r="M131" s="1866"/>
      <c r="N131" s="2981"/>
      <c r="O131" s="2981"/>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2" t="s">
        <v>2684</v>
      </c>
      <c r="E1" s="1593" t="s">
        <v>1183</v>
      </c>
      <c r="F1" s="1594"/>
      <c r="G1" s="1595"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216</v>
      </c>
      <c r="C2" s="1486"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11379</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176616</v>
      </c>
      <c r="D5" s="1600" t="s">
        <v>2663</v>
      </c>
      <c r="E5" s="927"/>
      <c r="F5" s="1056"/>
      <c r="G5" s="951"/>
      <c r="H5" s="232">
        <v>1</v>
      </c>
      <c r="I5" s="233" t="s">
        <v>1954</v>
      </c>
      <c r="J5" s="234">
        <f ca="1">J6+J10+J12</f>
        <v>0</v>
      </c>
      <c r="K5" s="1487" t="s">
        <v>1955</v>
      </c>
      <c r="L5" s="927"/>
      <c r="M5" s="1056"/>
    </row>
    <row r="6" spans="1:37" ht="18" customHeight="1">
      <c r="A6" s="1057" t="s">
        <v>1956</v>
      </c>
      <c r="B6" s="1409" t="s">
        <v>1957</v>
      </c>
      <c r="C6" s="234">
        <f>ROUND(F6*F8*F7*(1-F9),0)</f>
        <v>176396</v>
      </c>
      <c r="D6" s="36" t="s">
        <v>2641</v>
      </c>
      <c r="E6" s="235" t="s">
        <v>1958</v>
      </c>
      <c r="F6" s="236">
        <f>'数据-取费表'!B30</f>
        <v>3</v>
      </c>
      <c r="G6" s="951"/>
      <c r="H6" s="1057" t="s">
        <v>1956</v>
      </c>
      <c r="I6" s="1409" t="s">
        <v>1957</v>
      </c>
      <c r="J6" s="234">
        <f>ROUND(M6*M8*M7*(1-M9),0)</f>
        <v>0</v>
      </c>
      <c r="K6" s="36" t="s">
        <v>2641</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189.52</v>
      </c>
      <c r="G7" s="951"/>
      <c r="H7" s="237"/>
      <c r="I7" s="238"/>
      <c r="J7" s="239"/>
      <c r="K7" s="240"/>
      <c r="L7" s="235" t="s">
        <v>1959</v>
      </c>
      <c r="M7" s="236">
        <f>IF('数据-取费表'!B42="",IF(D1="仅计算典型户型",'数据-取费表'!E5,'数据-取费表'!B5),'数据-取费表'!B42)</f>
        <v>189.52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220</v>
      </c>
      <c r="D10" s="1489" t="s">
        <v>2647</v>
      </c>
      <c r="E10" s="246" t="s">
        <v>1965</v>
      </c>
      <c r="F10" s="1490" t="s">
        <v>1966</v>
      </c>
      <c r="G10" s="951"/>
      <c r="H10" s="1057" t="s">
        <v>1963</v>
      </c>
      <c r="I10" s="1488" t="s">
        <v>1964</v>
      </c>
      <c r="J10" s="1058">
        <f ca="1">ROUND(IF(M10="押一",J6/12*M11,IF(M10="押二",J6/12*2*M11,IF(M10="押三",J6/12*3*M11,J11*M11))),0)</f>
        <v>0</v>
      </c>
      <c r="K10" s="36" t="s">
        <v>2647</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751694</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758080</v>
      </c>
      <c r="D14" s="1298" t="s">
        <v>1977</v>
      </c>
      <c r="E14" s="1299"/>
      <c r="F14" s="799"/>
      <c r="G14" s="952"/>
      <c r="H14" s="253" t="s">
        <v>1956</v>
      </c>
      <c r="I14" s="235" t="s">
        <v>1978</v>
      </c>
      <c r="J14" s="13">
        <f ca="1">C29</f>
        <v>1073849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22742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25128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37904</v>
      </c>
      <c r="D17" s="235" t="s">
        <v>1991</v>
      </c>
      <c r="E17" s="235" t="s">
        <v>1992</v>
      </c>
      <c r="F17" s="15">
        <f>'数据-取费表'!E23</f>
        <v>200</v>
      </c>
      <c r="G17" s="952"/>
      <c r="H17" s="253" t="s">
        <v>1993</v>
      </c>
      <c r="I17" s="235" t="s">
        <v>1994</v>
      </c>
      <c r="J17" s="2791">
        <f ca="1">ROUND(IF(AND(项目基本情况!B7="自然人",项目基本情况!B6="北京市"),J6*M17/(1+'数据-取费表'!F30),J18+J19+J20),0)</f>
        <v>9020</v>
      </c>
      <c r="K17" s="1298" t="s">
        <v>1995</v>
      </c>
      <c r="L17" s="1301" t="s">
        <v>1996</v>
      </c>
      <c r="M17" s="2790"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11371</v>
      </c>
      <c r="D18" s="235" t="s">
        <v>1981</v>
      </c>
      <c r="E18" s="235" t="s">
        <v>1982</v>
      </c>
      <c r="F18" s="258">
        <f>'数据-取费表'!E24</f>
        <v>1.4999999999999999E-2</v>
      </c>
      <c r="G18" s="951"/>
      <c r="H18" s="253" t="s">
        <v>1999</v>
      </c>
      <c r="I18" s="235" t="s">
        <v>2000</v>
      </c>
      <c r="J18" s="13">
        <f>IF(项目基本情况!B7="自然人","——",ROUND(J6*M18/(1+'数据-取费表'!F30),0))</f>
        <v>0</v>
      </c>
      <c r="K18" s="1301" t="s">
        <v>2665</v>
      </c>
      <c r="L18" s="235" t="s">
        <v>1982</v>
      </c>
      <c r="M18" s="258">
        <f>'数据-取费表'!E29</f>
        <v>5.6000000000000001E-2</v>
      </c>
    </row>
    <row r="19" spans="1:37" s="257" customFormat="1" ht="18" customHeight="1">
      <c r="A19" s="253" t="s">
        <v>1993</v>
      </c>
      <c r="B19" s="235" t="s">
        <v>2001</v>
      </c>
      <c r="C19" s="13">
        <f>SUM(C14:C18)</f>
        <v>830097</v>
      </c>
      <c r="D19" s="33" t="s">
        <v>2002</v>
      </c>
      <c r="E19" s="1303"/>
      <c r="F19" s="15"/>
      <c r="G19" s="952"/>
      <c r="H19" s="253" t="s">
        <v>1979</v>
      </c>
      <c r="I19" s="235" t="s">
        <v>2003</v>
      </c>
      <c r="J19" s="13">
        <f ca="1">IF(项目基本情况!B7="自然人","——",IF(K19="按租金收入计税",ROUND(J6*M19/(1+'数据-取费表'!F30),0),ROUND(C29*M19*0.7,0)))</f>
        <v>9020</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16602</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16108</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17781</v>
      </c>
      <c r="D23" s="1400"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400" t="str">
        <f>IF(F23&lt;=1,"销售费用×利率×(建设周期÷2)","销售费用×((1+利率)^(建设周期÷2)-1)")</f>
        <v>销售费用×利率×(建设周期÷2)</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-25128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127005</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1073849</v>
      </c>
      <c r="D29" s="1076"/>
      <c r="E29" s="1074"/>
      <c r="F29" s="1077"/>
      <c r="G29" s="652"/>
      <c r="H29" s="271" t="s">
        <v>24</v>
      </c>
      <c r="I29" s="272" t="s">
        <v>2051</v>
      </c>
      <c r="J29" s="273">
        <f ca="1">ROUND(J26/(1+F40)^F41,0)</f>
        <v>0</v>
      </c>
      <c r="K29" s="274" t="s">
        <v>2052</v>
      </c>
      <c r="L29" s="275"/>
      <c r="M29" s="276">
        <f>IF(D1="仅计算典型户型",'数据-取费表'!E5,'数据-取费表'!B5)</f>
        <v>189.52</v>
      </c>
    </row>
    <row r="30" spans="1:37" ht="18" customHeight="1" thickTop="1">
      <c r="A30" s="1063" t="s">
        <v>14</v>
      </c>
      <c r="B30" s="1064" t="s">
        <v>2053</v>
      </c>
      <c r="C30" s="243">
        <f ca="1">ROUND(C31+C36+C37+C38,0)</f>
        <v>49453</v>
      </c>
      <c r="D30" s="1070" t="s">
        <v>2054</v>
      </c>
      <c r="E30" s="1071"/>
      <c r="F30" s="1072"/>
      <c r="G30" s="652"/>
      <c r="H30" s="931"/>
      <c r="I30" s="932"/>
      <c r="J30" s="933"/>
      <c r="K30" s="934"/>
      <c r="L30" s="935"/>
      <c r="M30" s="936"/>
    </row>
    <row r="31" spans="1:37" ht="18" customHeight="1">
      <c r="A31" s="253" t="s">
        <v>1956</v>
      </c>
      <c r="B31" s="235" t="s">
        <v>1994</v>
      </c>
      <c r="C31" s="2791">
        <f>ROUND(IF(AND(项目基本情况!B7="自然人",项目基本情况!B6="北京市"),C6*F31/(1+'数据-取费表'!F30),C32+C33+C34),0)</f>
        <v>29568</v>
      </c>
      <c r="D31" s="1298" t="s">
        <v>2055</v>
      </c>
      <c r="E31" s="1301" t="s">
        <v>2056</v>
      </c>
      <c r="F31" s="2790"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9408</v>
      </c>
      <c r="D32" s="1301" t="s">
        <v>2664</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20160</v>
      </c>
      <c r="D33" s="1404" t="s">
        <v>2820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30</v>
      </c>
      <c r="G34" s="652"/>
      <c r="H34" s="931"/>
      <c r="I34" s="280" t="s">
        <v>2060</v>
      </c>
      <c r="J34" s="281">
        <f ca="1">ROUND(C13*J35,0)</f>
        <v>60136</v>
      </c>
      <c r="K34" s="945"/>
      <c r="L34" s="946"/>
      <c r="M34" s="946"/>
    </row>
    <row r="35" spans="1:18" ht="24.6" customHeight="1">
      <c r="A35" s="1061"/>
      <c r="B35" s="244"/>
      <c r="C35" s="17"/>
      <c r="D35" s="264"/>
      <c r="E35" s="235" t="s">
        <v>2015</v>
      </c>
      <c r="F35" s="236">
        <f>IF(D1="仅计算典型户型",'数据-取费表'!E6,'数据-取费表'!B6)</f>
        <v>0</v>
      </c>
      <c r="G35" s="652" t="s">
        <v>2752</v>
      </c>
      <c r="H35" s="931"/>
      <c r="I35" s="282" t="s">
        <v>2061</v>
      </c>
      <c r="J35" s="283">
        <f>'数据-取费表'!B18</f>
        <v>0.08</v>
      </c>
      <c r="K35" s="944"/>
      <c r="L35" s="943"/>
      <c r="M35" s="943"/>
    </row>
    <row r="36" spans="1:18" ht="18" customHeight="1">
      <c r="A36" s="1060" t="s">
        <v>1963</v>
      </c>
      <c r="B36" s="235" t="s">
        <v>2062</v>
      </c>
      <c r="C36" s="13">
        <f ca="1">ROUND(C29*F36,0)</f>
        <v>16108</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1128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2649</v>
      </c>
      <c r="D38" s="1076" t="s">
        <v>2028</v>
      </c>
      <c r="E38" s="1074" t="s">
        <v>2024</v>
      </c>
      <c r="F38" s="1069">
        <f>'数据-取费表'!B47</f>
        <v>1.4999999999999999E-2</v>
      </c>
      <c r="G38" s="652"/>
      <c r="H38" s="943"/>
      <c r="I38" s="280" t="s">
        <v>2066</v>
      </c>
      <c r="J38" s="136">
        <f ca="1">ROUND(J34/C39,3)</f>
        <v>0.47299999999999998</v>
      </c>
      <c r="K38" s="948"/>
      <c r="L38" s="943"/>
      <c r="M38" s="943"/>
    </row>
    <row r="39" spans="1:18" ht="18" customHeight="1" thickTop="1">
      <c r="A39" s="1063" t="s">
        <v>22</v>
      </c>
      <c r="B39" s="1078" t="s">
        <v>2067</v>
      </c>
      <c r="C39" s="243">
        <f ca="1">C5-C30</f>
        <v>127163</v>
      </c>
      <c r="D39" s="1079" t="s">
        <v>2068</v>
      </c>
      <c r="E39" s="1080"/>
      <c r="F39" s="1081"/>
      <c r="G39" s="652"/>
      <c r="H39" s="943"/>
      <c r="I39" s="280" t="s">
        <v>2069</v>
      </c>
      <c r="J39" s="136">
        <f ca="1">1-J38</f>
        <v>0.52700000000000002</v>
      </c>
      <c r="K39" s="948"/>
      <c r="L39" s="943"/>
      <c r="M39" s="943"/>
    </row>
    <row r="40" spans="1:18" s="652" customFormat="1" ht="18" customHeight="1">
      <c r="A40" s="232" t="s">
        <v>23</v>
      </c>
      <c r="B40" s="233" t="s">
        <v>2070</v>
      </c>
      <c r="C40" s="234">
        <f ca="1">ROUND(C39*(1-((1+F42)/(1+F40))^F41)/(F40-F42),0)</f>
        <v>2156502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2650</v>
      </c>
      <c r="F41" s="270">
        <f>IF('数据-取费表'!B29="租赁期内按合同租金",'数据-取费表'!B35,IF(E41="收益年期(n)",'数据-取费表'!B34,'数据-取费表'!B13))</f>
        <v>23</v>
      </c>
      <c r="H41" s="950"/>
      <c r="I41" s="135" t="s">
        <v>1944</v>
      </c>
      <c r="J41" s="136">
        <f ca="1">ROUND(C13/C40,3)</f>
        <v>0.34899999999999998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0.65100000000000002</v>
      </c>
      <c r="K42" s="947"/>
      <c r="L42" s="950"/>
      <c r="M42" s="950"/>
      <c r="Q42" s="656"/>
    </row>
    <row r="43" spans="1:18" s="652" customFormat="1" ht="18" customHeight="1" thickBot="1">
      <c r="A43" s="271" t="s">
        <v>24</v>
      </c>
      <c r="B43" s="272" t="s">
        <v>2073</v>
      </c>
      <c r="C43" s="273">
        <f ca="1">ROUND(C40/F43,0)</f>
        <v>11379</v>
      </c>
      <c r="D43" s="274" t="s">
        <v>2074</v>
      </c>
      <c r="E43" s="275" t="s">
        <v>2075</v>
      </c>
      <c r="F43" s="276">
        <f>IF(D1="仅计算典型户型",'数据-取费表'!E5,'数据-取费表'!B5)</f>
        <v>189.52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 ca="1">C5/0.05</f>
        <v>3532320</v>
      </c>
      <c r="F45" s="649"/>
      <c r="G45" s="655"/>
      <c r="K45" s="653"/>
      <c r="O45" s="1047" t="s">
        <v>949</v>
      </c>
      <c r="P45" s="1048" t="s">
        <v>2081</v>
      </c>
      <c r="Q45" s="1049">
        <f ca="1">C40+J29</f>
        <v>2156502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4" t="s">
        <v>2085</v>
      </c>
      <c r="C47" s="992">
        <f ca="1">IF(C2="元",C69-C40,ROUND((C69-C40)/10000,0))</f>
        <v>-354</v>
      </c>
      <c r="D47" s="1495" t="str">
        <f>C2</f>
        <v>万元</v>
      </c>
      <c r="E47" s="649"/>
      <c r="F47" s="649"/>
      <c r="I47" s="1496" t="s">
        <v>2086</v>
      </c>
      <c r="J47" s="1023"/>
      <c r="K47" s="1024"/>
      <c r="L47" s="1037" t="str">
        <f>IF(M48="住宅",0,IF(L49&gt;J52,L61,J61))</f>
        <v>0</v>
      </c>
      <c r="O47" s="1051" t="s">
        <v>951</v>
      </c>
      <c r="P47" s="1048" t="s">
        <v>2087</v>
      </c>
      <c r="Q47" s="1049">
        <f ca="1">C29</f>
        <v>1073849</v>
      </c>
      <c r="R47" s="1050" t="s">
        <v>2082</v>
      </c>
    </row>
    <row r="48" spans="1:18" s="652" customFormat="1" ht="15.75" thickBot="1">
      <c r="A48" s="228" t="s">
        <v>2088</v>
      </c>
      <c r="B48" s="229" t="s">
        <v>2089</v>
      </c>
      <c r="C48" s="229" t="s">
        <v>2090</v>
      </c>
      <c r="D48" s="229" t="s">
        <v>2091</v>
      </c>
      <c r="E48" s="986" t="s">
        <v>2092</v>
      </c>
      <c r="F48" s="987"/>
      <c r="I48" s="1497" t="s">
        <v>2093</v>
      </c>
      <c r="J48" s="1498" t="s">
        <v>2994</v>
      </c>
      <c r="K48" s="1499"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0" t="s">
        <v>2097</v>
      </c>
      <c r="J49" s="1501" t="s">
        <v>2995</v>
      </c>
      <c r="K49" s="1502" t="s">
        <v>2098</v>
      </c>
      <c r="L49" s="863">
        <f>'数据-取费表'!B13</f>
        <v>23</v>
      </c>
      <c r="O49" s="1051" t="s">
        <v>953</v>
      </c>
      <c r="P49" s="1048" t="s">
        <v>2099</v>
      </c>
      <c r="Q49" s="1052">
        <f>J53</f>
        <v>0</v>
      </c>
      <c r="R49" s="1050"/>
    </row>
    <row r="50" spans="1:18" s="652" customFormat="1" ht="15.75" thickBot="1">
      <c r="A50" s="260" t="s">
        <v>1956</v>
      </c>
      <c r="B50" s="1409" t="s">
        <v>2100</v>
      </c>
      <c r="C50" s="234">
        <f>ROUND(F50*F52*F51*(1-F53),0)</f>
        <v>0</v>
      </c>
      <c r="D50" s="42" t="s">
        <v>2642</v>
      </c>
      <c r="E50" s="1503" t="s">
        <v>2101</v>
      </c>
      <c r="F50" s="988"/>
      <c r="I50" s="1500" t="s">
        <v>2102</v>
      </c>
      <c r="J50" s="863">
        <f>'数据-取费表'!B27</f>
        <v>2006</v>
      </c>
      <c r="K50" s="1504" t="s">
        <v>2103</v>
      </c>
      <c r="L50" s="1026"/>
      <c r="O50" s="1051" t="s">
        <v>954</v>
      </c>
      <c r="P50" s="1048" t="s">
        <v>2104</v>
      </c>
      <c r="Q50" s="1049">
        <f>J54</f>
        <v>23</v>
      </c>
      <c r="R50" s="1050" t="s">
        <v>2105</v>
      </c>
    </row>
    <row r="51" spans="1:18" s="652" customFormat="1" ht="15.75" thickBot="1">
      <c r="A51" s="237"/>
      <c r="B51" s="238"/>
      <c r="C51" s="239"/>
      <c r="D51" s="240"/>
      <c r="E51" s="255" t="s">
        <v>1959</v>
      </c>
      <c r="F51" s="985">
        <f>F7</f>
        <v>189.52</v>
      </c>
      <c r="I51" s="1500" t="s">
        <v>2106</v>
      </c>
      <c r="J51" s="1027">
        <f>SUMPRODUCT((I64:I66=J48)*(J63:L63=J49)*(J64:L66))</f>
        <v>60</v>
      </c>
      <c r="K51" s="1504" t="s">
        <v>2107</v>
      </c>
      <c r="L51" s="1026"/>
      <c r="O51" s="1047" t="s">
        <v>955</v>
      </c>
      <c r="P51" s="1048" t="str">
        <f>IF(C2="元","收益价值(元)","收益价值(万元)")</f>
        <v>收益价值(万元)</v>
      </c>
      <c r="Q51" s="1049">
        <f ca="1">ROUND(IF(C2="元",Q45+Q46,(Q45+Q46)/10000),0)</f>
        <v>216</v>
      </c>
      <c r="R51" s="1050" t="s">
        <v>956</v>
      </c>
    </row>
    <row r="52" spans="1:18" s="652" customFormat="1" ht="16.5" thickBot="1">
      <c r="A52" s="237"/>
      <c r="B52" s="238"/>
      <c r="C52" s="239"/>
      <c r="D52" s="240"/>
      <c r="E52" s="235" t="s">
        <v>1961</v>
      </c>
      <c r="F52" s="236">
        <f>F8</f>
        <v>365</v>
      </c>
      <c r="I52" s="1505" t="s">
        <v>2108</v>
      </c>
      <c r="J52" s="1028">
        <f>IF(J50="",J51,J50+J51-YEAR('数据-取费表'!B2))</f>
        <v>44</v>
      </c>
      <c r="K52" s="1506" t="s">
        <v>2109</v>
      </c>
      <c r="L52" s="1029">
        <f ca="1">ROUND(-PV('数据-取费表'!B15,J52,(C40-C13*J35)),0)</f>
        <v>37027646</v>
      </c>
      <c r="O52" s="1041" t="s">
        <v>2110</v>
      </c>
      <c r="P52" s="1042"/>
      <c r="Q52" s="1038"/>
      <c r="R52" s="1042"/>
    </row>
    <row r="53" spans="1:18" s="652" customFormat="1" ht="15.75"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2648</v>
      </c>
      <c r="E54" s="246" t="s">
        <v>1965</v>
      </c>
      <c r="F54" s="1490"/>
      <c r="I54" s="1596" t="s">
        <v>2651</v>
      </c>
      <c r="J54" s="1031">
        <f>IF(M48="住宅",IF(E1="——",MAX(J52,L49),MAX(J52,L49-'数据-取费表'!B26)),IF(E1="——",MIN(J52,L49),MIN(J52,L49-'数据-取费表'!B26)))</f>
        <v>23</v>
      </c>
      <c r="K54" s="3665" t="s">
        <v>2640</v>
      </c>
      <c r="L54" s="3666"/>
      <c r="O54" s="1047" t="s">
        <v>949</v>
      </c>
      <c r="P54" s="1048" t="s">
        <v>2081</v>
      </c>
      <c r="Q54" s="1049">
        <f ca="1">C40+J29</f>
        <v>2156502</v>
      </c>
      <c r="R54" s="1050" t="s">
        <v>2082</v>
      </c>
    </row>
    <row r="55" spans="1:18" s="652" customFormat="1" ht="20.25"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20.25"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751694</v>
      </c>
      <c r="D57" s="983"/>
      <c r="E57" s="984"/>
      <c r="F57" s="991"/>
      <c r="I57" s="1514" t="s">
        <v>2118</v>
      </c>
      <c r="J57" s="1035" t="s">
        <v>2981</v>
      </c>
      <c r="K57" s="1500" t="s">
        <v>2119</v>
      </c>
      <c r="L57" s="863" t="str">
        <f>IF(L49&lt;J52,"——",L49-J52)</f>
        <v>——</v>
      </c>
      <c r="O57" s="1051" t="s">
        <v>952</v>
      </c>
      <c r="P57" s="1048" t="s">
        <v>2120</v>
      </c>
      <c r="Q57" s="1052">
        <f>L53</f>
        <v>0</v>
      </c>
      <c r="R57" s="1050"/>
    </row>
    <row r="58" spans="1:18" s="652" customFormat="1" ht="29.25" thickBot="1">
      <c r="A58" s="990"/>
      <c r="B58" s="235" t="s">
        <v>2050</v>
      </c>
      <c r="C58" s="104">
        <f ca="1">C29</f>
        <v>1073849</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107439</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1">
        <f ca="1">ROUND(IF(AND(项目基本情况!B7="自然人",项目基本情况!B6="北京市"),C50*F60/(1+'数据-取费表'!F30),C61+C62+C63),0)</f>
        <v>90203</v>
      </c>
      <c r="D60" s="1298" t="s">
        <v>2055</v>
      </c>
      <c r="E60" s="1301" t="s">
        <v>2056</v>
      </c>
      <c r="F60" s="2790" t="str">
        <f>IF(项目基本情况!B7="企业","——",IF('数据-取费表'!B10="住宅",IF(F50*F51*F52/12/(1+'数据-取费表'!F30)&gt;100000,4%,2.5%),IF(F50*F51*F52/12/(1+'数据-取费表'!F30)&gt;100000,12%,7%)))</f>
        <v>——</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216</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90203</v>
      </c>
      <c r="D62" s="1404"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30</v>
      </c>
      <c r="I63" s="1518" t="s">
        <v>2136</v>
      </c>
      <c r="J63" s="1293" t="s">
        <v>2137</v>
      </c>
      <c r="K63" s="1293" t="s">
        <v>2138</v>
      </c>
      <c r="L63" s="1293" t="s">
        <v>2139</v>
      </c>
      <c r="M63" s="1292" t="s">
        <v>2140</v>
      </c>
      <c r="O63" s="1047" t="s">
        <v>949</v>
      </c>
      <c r="P63" s="1048" t="s">
        <v>2081</v>
      </c>
      <c r="Q63" s="1049">
        <f ca="1">C40+J29</f>
        <v>2156502</v>
      </c>
      <c r="R63" s="1050" t="s">
        <v>2082</v>
      </c>
    </row>
    <row r="64" spans="1:18" s="652" customFormat="1" ht="20.25"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16108</v>
      </c>
      <c r="D65" s="1301" t="s">
        <v>2063</v>
      </c>
      <c r="E65" s="235" t="s">
        <v>2007</v>
      </c>
      <c r="F65" s="265">
        <f t="shared" si="0"/>
        <v>1.4999999999999999E-2</v>
      </c>
      <c r="I65" s="1518" t="s">
        <v>2143</v>
      </c>
      <c r="J65" s="1293">
        <v>50</v>
      </c>
      <c r="K65" s="1293">
        <v>35</v>
      </c>
      <c r="L65" s="1293">
        <v>60</v>
      </c>
      <c r="M65" s="1292">
        <v>0</v>
      </c>
      <c r="O65" s="1051" t="s">
        <v>951</v>
      </c>
      <c r="P65" s="1048" t="s">
        <v>2117</v>
      </c>
      <c r="Q65" s="1053">
        <f ca="1">L52</f>
        <v>37027646</v>
      </c>
      <c r="R65" s="1054" t="s">
        <v>2144</v>
      </c>
    </row>
    <row r="66" spans="1:18" s="652" customFormat="1" ht="20.25" thickBot="1">
      <c r="A66" s="253" t="s">
        <v>20</v>
      </c>
      <c r="B66" s="235" t="s">
        <v>2022</v>
      </c>
      <c r="C66" s="13">
        <f ca="1">ROUND(C57*F66,0)</f>
        <v>1128</v>
      </c>
      <c r="D66" s="1301" t="s">
        <v>2023</v>
      </c>
      <c r="E66" s="235" t="s">
        <v>2024</v>
      </c>
      <c r="F66" s="266">
        <f t="shared" si="0"/>
        <v>1.5E-3</v>
      </c>
      <c r="I66" s="1518" t="s">
        <v>2145</v>
      </c>
      <c r="J66" s="1293">
        <v>40</v>
      </c>
      <c r="K66" s="1293">
        <v>30</v>
      </c>
      <c r="L66" s="1293">
        <v>50</v>
      </c>
      <c r="M66" s="1291">
        <v>0.02</v>
      </c>
      <c r="O66" s="1051" t="s">
        <v>952</v>
      </c>
      <c r="P66" s="1055" t="s">
        <v>2146</v>
      </c>
      <c r="Q66" s="1049">
        <f ca="1">ROUND(Q67-Q68*Q69,0)</f>
        <v>67027</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127163</v>
      </c>
      <c r="R67" s="1050" t="s">
        <v>2082</v>
      </c>
    </row>
    <row r="68" spans="1:18" ht="15.75" thickBot="1">
      <c r="A68" s="248" t="s">
        <v>22</v>
      </c>
      <c r="B68" s="41" t="s">
        <v>2032</v>
      </c>
      <c r="C68" s="250">
        <f ca="1">C49-C59</f>
        <v>-107439</v>
      </c>
      <c r="D68" s="1298" t="s">
        <v>2033</v>
      </c>
      <c r="E68" s="1300"/>
      <c r="F68" s="268"/>
      <c r="H68" s="652"/>
      <c r="I68" s="652"/>
      <c r="J68" s="652"/>
      <c r="K68" s="652"/>
      <c r="L68" s="652"/>
      <c r="M68" s="652"/>
      <c r="O68" s="1051" t="s">
        <v>958</v>
      </c>
      <c r="P68" s="1055" t="s">
        <v>2148</v>
      </c>
      <c r="Q68" s="1049">
        <f ca="1">C13</f>
        <v>751694</v>
      </c>
      <c r="R68" s="1050" t="s">
        <v>2082</v>
      </c>
    </row>
    <row r="69" spans="1:18" ht="15.75" thickBot="1">
      <c r="A69" s="232" t="s">
        <v>23</v>
      </c>
      <c r="B69" s="233" t="s">
        <v>2070</v>
      </c>
      <c r="C69" s="234">
        <f ca="1">ROUND(C68*(1-((1+F71)/(1+F69))^F70)/(F69-F71),0)</f>
        <v>-1383282</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-7299</v>
      </c>
      <c r="D72" s="274" t="s">
        <v>2074</v>
      </c>
      <c r="E72" s="275" t="s">
        <v>2075</v>
      </c>
      <c r="F72" s="276">
        <f>F43</f>
        <v>189.52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216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2996</v>
      </c>
      <c r="D1" s="1605"/>
      <c r="E1" s="1608" t="s">
        <v>2682</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t="e">
        <f>IF(D2="——",IF(C2="元",ROUND(C50*D3,0),ROUND(C50*D3/10000,0)),IF(C2="元",ROUND(C50*D3,0),ROUND(C50*D3/10000,0))-E2)</f>
        <v>#DIV/0!</v>
      </c>
      <c r="C2" s="1618" t="str">
        <f>'数据-取费表'!B3</f>
        <v>万元</v>
      </c>
      <c r="D2" s="1619" t="s">
        <v>1183</v>
      </c>
      <c r="E2" s="2455" t="e">
        <f ca="1">SUMIF(INDIRECT("'"&amp;G2&amp;"'"&amp;"!A:A"),"承租人权益价值",INDIRECT("'"&amp;G2&amp;"'"&amp;"!c:c"))</f>
        <v>#REF!</v>
      </c>
      <c r="F2" s="1621" t="str">
        <f>C2</f>
        <v>万元</v>
      </c>
      <c r="G2" s="1622"/>
      <c r="H2" s="2976"/>
      <c r="I2" s="2976"/>
      <c r="J2" s="2976"/>
      <c r="K2" s="2976"/>
      <c r="L2" s="2978"/>
      <c r="M2" s="2976"/>
      <c r="N2" s="2976"/>
      <c r="O2" s="2976"/>
      <c r="P2" s="1924"/>
      <c r="Q2" s="1924"/>
      <c r="R2" s="1924"/>
      <c r="S2" s="1924"/>
      <c r="T2" s="1924"/>
      <c r="U2" s="1924"/>
      <c r="V2" s="1924"/>
      <c r="W2" s="1924"/>
      <c r="X2" s="1924"/>
      <c r="Y2" s="1924"/>
      <c r="Z2" s="1924"/>
      <c r="AA2" s="1924"/>
      <c r="AB2" s="2456"/>
      <c r="AC2" s="1932"/>
    </row>
    <row r="3" spans="1:29" s="1927" customFormat="1" ht="28.5" customHeight="1" thickBot="1">
      <c r="A3" s="1626" t="s">
        <v>1857</v>
      </c>
      <c r="B3" s="1930" t="e">
        <f>ROUND(IF(D2="——",C50,IF(C2="万元",B2*10000/D3,B2/D3)),0)</f>
        <v>#DIV/0!</v>
      </c>
      <c r="C3" s="1627" t="s">
        <v>2185</v>
      </c>
      <c r="D3" s="1627">
        <f>IF(C1="仅计算典型户型",'数据-取费表'!E5,'数据-取费表'!B5)</f>
        <v>0</v>
      </c>
      <c r="F3" s="2975"/>
      <c r="G3" s="2976"/>
      <c r="H3" s="2976"/>
      <c r="I3" s="2976"/>
      <c r="J3" s="2976"/>
      <c r="K3" s="2977"/>
      <c r="L3" s="2978"/>
      <c r="M3" s="2976"/>
      <c r="N3" s="2976"/>
      <c r="O3" s="2976"/>
      <c r="P3" s="2983"/>
      <c r="Q3" s="1919"/>
      <c r="R3" s="1919"/>
      <c r="S3" s="1919"/>
      <c r="T3" s="1919"/>
      <c r="U3" s="1919"/>
      <c r="V3" s="1919"/>
      <c r="W3" s="1919"/>
      <c r="X3" s="1924"/>
      <c r="Y3" s="1919"/>
      <c r="Z3" s="1919"/>
      <c r="AA3" s="1919"/>
      <c r="AB3" s="2457"/>
      <c r="AC3" s="1932"/>
    </row>
    <row r="4" spans="1:29" ht="15">
      <c r="A4" s="1630" t="s">
        <v>2186</v>
      </c>
      <c r="B4" s="1631"/>
      <c r="C4" s="3645" t="s">
        <v>2187</v>
      </c>
      <c r="D4" s="3646"/>
      <c r="E4" s="3647" t="s">
        <v>2188</v>
      </c>
      <c r="F4" s="3648"/>
      <c r="G4" s="3645" t="s">
        <v>2189</v>
      </c>
      <c r="H4" s="3646"/>
      <c r="I4" s="3645" t="s">
        <v>2190</v>
      </c>
      <c r="J4" s="3646"/>
      <c r="K4" s="1933" t="s">
        <v>2191</v>
      </c>
      <c r="L4" s="2961"/>
      <c r="M4" s="2962"/>
      <c r="N4" s="2962"/>
      <c r="O4" s="2962"/>
      <c r="P4" s="3649" t="s">
        <v>2192</v>
      </c>
      <c r="Q4" s="3650"/>
      <c r="R4" s="3631" t="s">
        <v>2188</v>
      </c>
      <c r="S4" s="3632"/>
      <c r="T4" s="3631" t="s">
        <v>2189</v>
      </c>
      <c r="U4" s="3632"/>
      <c r="V4" s="3655" t="s">
        <v>2190</v>
      </c>
      <c r="W4" s="3655"/>
      <c r="X4" s="2042"/>
      <c r="Y4" s="3631" t="s">
        <v>2192</v>
      </c>
      <c r="Z4" s="3632"/>
      <c r="AA4" s="3642" t="s">
        <v>2188</v>
      </c>
      <c r="AB4" s="3642" t="s">
        <v>2189</v>
      </c>
      <c r="AC4" s="3642" t="s">
        <v>2190</v>
      </c>
    </row>
    <row r="5" spans="1:29" ht="15">
      <c r="A5" s="1635"/>
      <c r="B5" s="1636"/>
      <c r="C5" s="3658" t="s">
        <v>2193</v>
      </c>
      <c r="D5" s="3659"/>
      <c r="E5" s="3668" t="s">
        <v>3058</v>
      </c>
      <c r="F5" s="3657"/>
      <c r="G5" s="3668" t="s">
        <v>3058</v>
      </c>
      <c r="H5" s="3657"/>
      <c r="I5" s="3668" t="s">
        <v>3058</v>
      </c>
      <c r="J5" s="3657"/>
      <c r="K5" s="1933"/>
      <c r="L5" s="2961"/>
      <c r="M5" s="2962"/>
      <c r="N5" s="2962"/>
      <c r="O5" s="2962"/>
      <c r="P5" s="3651"/>
      <c r="Q5" s="3652"/>
      <c r="R5" s="3633"/>
      <c r="S5" s="3634"/>
      <c r="T5" s="3633"/>
      <c r="U5" s="3634"/>
      <c r="V5" s="3655"/>
      <c r="W5" s="3655"/>
      <c r="X5" s="2042"/>
      <c r="Y5" s="3633"/>
      <c r="Z5" s="3634"/>
      <c r="AA5" s="3643"/>
      <c r="AB5" s="3643"/>
      <c r="AC5" s="3643"/>
    </row>
    <row r="6" spans="1:29" ht="15.75" thickBot="1">
      <c r="A6" s="1638"/>
      <c r="B6" s="1639"/>
      <c r="C6" s="3660" t="s">
        <v>2197</v>
      </c>
      <c r="D6" s="3661"/>
      <c r="E6" s="3662" t="s">
        <v>2197</v>
      </c>
      <c r="F6" s="3663"/>
      <c r="G6" s="3660" t="s">
        <v>2197</v>
      </c>
      <c r="H6" s="3661"/>
      <c r="I6" s="3660" t="s">
        <v>2197</v>
      </c>
      <c r="J6" s="3661"/>
      <c r="K6" s="1933" t="s">
        <v>2198</v>
      </c>
      <c r="L6" s="2961"/>
      <c r="M6" s="2962"/>
      <c r="N6" s="2962"/>
      <c r="O6" s="2962"/>
      <c r="P6" s="3653"/>
      <c r="Q6" s="3654"/>
      <c r="R6" s="3633"/>
      <c r="S6" s="3634"/>
      <c r="T6" s="3635"/>
      <c r="U6" s="3636"/>
      <c r="V6" s="3655"/>
      <c r="W6" s="3655"/>
      <c r="X6" s="2042"/>
      <c r="Y6" s="3635"/>
      <c r="Z6" s="3636"/>
      <c r="AA6" s="3644"/>
      <c r="AB6" s="3644"/>
      <c r="AC6" s="3644"/>
    </row>
    <row r="7" spans="1:29" s="1652" customFormat="1" ht="15.75" thickBot="1">
      <c r="A7" s="1640" t="s">
        <v>2199</v>
      </c>
      <c r="B7" s="1641"/>
      <c r="C7" s="1642">
        <f>'数据-取费表'!B2</f>
        <v>44727</v>
      </c>
      <c r="D7" s="1643">
        <v>100</v>
      </c>
      <c r="E7" s="1644">
        <v>44593</v>
      </c>
      <c r="F7" s="1645">
        <f>SUMIF(59:59,YEAR(E7)&amp;"-"&amp;MONTH(E7),60:60)</f>
        <v>0</v>
      </c>
      <c r="G7" s="1644">
        <v>44593</v>
      </c>
      <c r="H7" s="1643">
        <f>SUMIF(59:59,YEAR(G7)&amp;"-"&amp;MONTH(G7),60:60)</f>
        <v>0</v>
      </c>
      <c r="I7" s="1644">
        <v>44593</v>
      </c>
      <c r="J7" s="1643">
        <f>SUMIF(59:59,YEAR(I7)&amp;"-"&amp;MONTH(I7),60:60)</f>
        <v>0</v>
      </c>
      <c r="K7" s="1935"/>
      <c r="L7" s="2961"/>
      <c r="M7" s="2934"/>
      <c r="N7" s="2934"/>
      <c r="O7" s="2934"/>
      <c r="P7" s="3629" t="s">
        <v>2200</v>
      </c>
      <c r="Q7" s="3637"/>
      <c r="R7" s="1648" t="s">
        <v>25</v>
      </c>
      <c r="S7" s="1649">
        <f t="shared" ref="S7:S15" si="0">F7</f>
        <v>0</v>
      </c>
      <c r="T7" s="1648" t="s">
        <v>25</v>
      </c>
      <c r="U7" s="1649">
        <f t="shared" ref="U7:U15" si="1">H7</f>
        <v>0</v>
      </c>
      <c r="V7" s="1648" t="s">
        <v>25</v>
      </c>
      <c r="W7" s="1649">
        <f t="shared" ref="W7:W15" si="2">J7</f>
        <v>0</v>
      </c>
      <c r="X7" s="1650"/>
      <c r="Y7" s="3629" t="s">
        <v>2200</v>
      </c>
      <c r="Z7" s="3630"/>
      <c r="AA7" s="1651" t="e">
        <f>D7/F7</f>
        <v>#DIV/0!</v>
      </c>
      <c r="AB7" s="1651" t="e">
        <f>D7/H7</f>
        <v>#DIV/0!</v>
      </c>
      <c r="AC7" s="1651" t="e">
        <f>D7/J7</f>
        <v>#DIV/0!</v>
      </c>
    </row>
    <row r="8" spans="1:29" s="1652" customFormat="1" ht="15.75" thickBot="1">
      <c r="A8" s="1640" t="s">
        <v>2201</v>
      </c>
      <c r="B8" s="1641"/>
      <c r="C8" s="1653" t="s">
        <v>2202</v>
      </c>
      <c r="D8" s="1643">
        <v>100</v>
      </c>
      <c r="E8" s="1653" t="s">
        <v>2202</v>
      </c>
      <c r="F8" s="1645">
        <f>SUMIF(62:62,E8,63:63)-SUMIF(62:62,C8,63:63)+100</f>
        <v>100</v>
      </c>
      <c r="G8" s="1653" t="s">
        <v>2202</v>
      </c>
      <c r="H8" s="1643">
        <f>SUMIF(62:62,G8,63:63)-SUMIF(62:62,C8,63:63)+100</f>
        <v>100</v>
      </c>
      <c r="I8" s="1653" t="s">
        <v>2202</v>
      </c>
      <c r="J8" s="1643">
        <f>SUMIF(62:62,I8,63:63)-SUMIF(62:62,C8,63:63)+100</f>
        <v>100</v>
      </c>
      <c r="K8" s="1935"/>
      <c r="L8" s="2961"/>
      <c r="M8" s="2934"/>
      <c r="N8" s="2934"/>
      <c r="O8" s="2934"/>
      <c r="P8" s="3629" t="s">
        <v>2203</v>
      </c>
      <c r="Q8" s="3630"/>
      <c r="R8" s="1648" t="s">
        <v>25</v>
      </c>
      <c r="S8" s="1649">
        <f t="shared" si="0"/>
        <v>100</v>
      </c>
      <c r="T8" s="1648" t="s">
        <v>25</v>
      </c>
      <c r="U8" s="1649">
        <f t="shared" si="1"/>
        <v>100</v>
      </c>
      <c r="V8" s="1648" t="s">
        <v>25</v>
      </c>
      <c r="W8" s="1649">
        <f t="shared" si="2"/>
        <v>100</v>
      </c>
      <c r="X8" s="1650"/>
      <c r="Y8" s="3629" t="s">
        <v>2203</v>
      </c>
      <c r="Z8" s="3630"/>
      <c r="AA8" s="1651">
        <f t="shared" ref="AA8:AA47" si="3">D8/F8</f>
        <v>1</v>
      </c>
      <c r="AB8" s="1651">
        <f t="shared" ref="AB8:AB47" si="4">D8/H8</f>
        <v>1</v>
      </c>
      <c r="AC8" s="1651">
        <f t="shared" ref="AC8:AC47" si="5">D8/J8</f>
        <v>1</v>
      </c>
    </row>
    <row r="9" spans="1:29" s="1652" customFormat="1">
      <c r="A9" s="2034" t="s">
        <v>2204</v>
      </c>
      <c r="B9" s="1655" t="s">
        <v>2205</v>
      </c>
      <c r="C9" s="3322" t="s">
        <v>2997</v>
      </c>
      <c r="D9" s="1657">
        <v>100</v>
      </c>
      <c r="E9" s="1660" t="s">
        <v>2978</v>
      </c>
      <c r="F9" s="1657">
        <f>SUMIF(64:64,E9,65:65)-SUMIF(64:64,C9,65:65)+100</f>
        <v>100</v>
      </c>
      <c r="G9" s="1660" t="s">
        <v>2978</v>
      </c>
      <c r="H9" s="1657">
        <f>SUMIF(64:64,G9,65:65)-SUMIF(64:64,C9,65:65)+100</f>
        <v>100</v>
      </c>
      <c r="I9" s="1660" t="s">
        <v>2978</v>
      </c>
      <c r="J9" s="1657">
        <f>SUMIF(64:64,I9,65:65)-SUMIF(64:64,C9,65:65)+100</f>
        <v>100</v>
      </c>
      <c r="K9" s="1935"/>
      <c r="L9" s="2961"/>
      <c r="M9" s="2934"/>
      <c r="N9" s="2934"/>
      <c r="O9" s="2934"/>
      <c r="P9" s="3619" t="s">
        <v>2206</v>
      </c>
      <c r="Q9" s="2879" t="str">
        <f t="shared" ref="Q9:Q15" si="6">B9</f>
        <v>用途</v>
      </c>
      <c r="R9" s="1648" t="s">
        <v>25</v>
      </c>
      <c r="S9" s="1649">
        <f t="shared" si="0"/>
        <v>100</v>
      </c>
      <c r="T9" s="1648" t="s">
        <v>25</v>
      </c>
      <c r="U9" s="1649">
        <f t="shared" si="1"/>
        <v>100</v>
      </c>
      <c r="V9" s="1648" t="s">
        <v>25</v>
      </c>
      <c r="W9" s="1649">
        <f t="shared" si="2"/>
        <v>100</v>
      </c>
      <c r="X9" s="1650"/>
      <c r="Y9" s="3475" t="s">
        <v>2207</v>
      </c>
      <c r="Z9" s="1661" t="str">
        <f t="shared" ref="Z9:Z15" si="7">Q9</f>
        <v>用途</v>
      </c>
      <c r="AA9" s="1651">
        <f t="shared" si="3"/>
        <v>1</v>
      </c>
      <c r="AB9" s="1651">
        <f t="shared" si="4"/>
        <v>1</v>
      </c>
      <c r="AC9" s="1651">
        <f t="shared" si="5"/>
        <v>1</v>
      </c>
    </row>
    <row r="10" spans="1:29" s="1669" customFormat="1" ht="27">
      <c r="A10" s="1662"/>
      <c r="B10" s="1663" t="s">
        <v>2208</v>
      </c>
      <c r="C10" s="1664" t="s">
        <v>2998</v>
      </c>
      <c r="D10" s="1665">
        <v>100</v>
      </c>
      <c r="E10" s="1664" t="s">
        <v>2998</v>
      </c>
      <c r="F10" s="1665">
        <f>SUMIF(66:66,E10,67:67)-SUMIF(66:66,C10,67:67)+100</f>
        <v>100</v>
      </c>
      <c r="G10" s="1664" t="s">
        <v>2998</v>
      </c>
      <c r="H10" s="1665">
        <f>SUMIF(66:66,G10,67:67)-SUMIF(66:66,C10,67:67)+100</f>
        <v>100</v>
      </c>
      <c r="I10" s="1664" t="s">
        <v>2998</v>
      </c>
      <c r="J10" s="1665">
        <f>SUMIF(66:66,I10,67:67)-SUMIF(66:66,C10,67:67)+100</f>
        <v>100</v>
      </c>
      <c r="K10" s="1960">
        <v>1</v>
      </c>
      <c r="L10" s="2963"/>
      <c r="M10" s="2964"/>
      <c r="N10" s="2964"/>
      <c r="O10" s="2964"/>
      <c r="P10" s="3619"/>
      <c r="Q10" s="2879"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2209</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5"/>
      <c r="M11" s="2962"/>
      <c r="N11" s="2962"/>
      <c r="O11" s="2962"/>
      <c r="P11" s="3619"/>
      <c r="Q11" s="2879" t="str">
        <f t="shared" si="6"/>
        <v>容积率</v>
      </c>
      <c r="R11" s="1648" t="s">
        <v>25</v>
      </c>
      <c r="S11" s="1649">
        <f t="shared" si="0"/>
        <v>100</v>
      </c>
      <c r="T11" s="1648" t="s">
        <v>25</v>
      </c>
      <c r="U11" s="1649">
        <f t="shared" si="1"/>
        <v>100</v>
      </c>
      <c r="V11" s="1648" t="s">
        <v>25</v>
      </c>
      <c r="W11" s="1649">
        <f t="shared" si="2"/>
        <v>100</v>
      </c>
      <c r="X11" s="1650"/>
      <c r="Y11" s="3475"/>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1"/>
      <c r="M12" s="2934"/>
      <c r="N12" s="2934"/>
      <c r="O12" s="2934"/>
      <c r="P12" s="3619"/>
      <c r="Q12" s="2879">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6"/>
      <c r="M13" s="2962"/>
      <c r="N13" s="2962"/>
      <c r="O13" s="2962"/>
      <c r="P13" s="3619"/>
      <c r="Q13" s="2879">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6"/>
      <c r="M14" s="2962"/>
      <c r="N14" s="2962"/>
      <c r="O14" s="2962"/>
      <c r="P14" s="3619"/>
      <c r="Q14" s="2879">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84.75" customHeight="1">
      <c r="A15" s="1685" t="s">
        <v>2210</v>
      </c>
      <c r="B15" s="2459" t="s">
        <v>2325</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6"/>
      <c r="M15" s="2962"/>
      <c r="N15" s="2962"/>
      <c r="O15" s="2962"/>
      <c r="P15" s="3640" t="s">
        <v>2211</v>
      </c>
      <c r="Q15" s="2880" t="str">
        <f t="shared" si="6"/>
        <v>办公集聚程度</v>
      </c>
      <c r="R15" s="1693" t="s">
        <v>25</v>
      </c>
      <c r="S15" s="1694">
        <f t="shared" si="0"/>
        <v>100</v>
      </c>
      <c r="T15" s="1693" t="s">
        <v>25</v>
      </c>
      <c r="U15" s="1694">
        <f t="shared" si="1"/>
        <v>100</v>
      </c>
      <c r="V15" s="1693" t="s">
        <v>25</v>
      </c>
      <c r="W15" s="1694">
        <f t="shared" si="2"/>
        <v>100</v>
      </c>
      <c r="X15" s="2042"/>
      <c r="Y15" s="3640" t="s">
        <v>2211</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6"/>
      <c r="M16" s="2962"/>
      <c r="N16" s="2962"/>
      <c r="O16" s="2962"/>
      <c r="P16" s="3641"/>
      <c r="Q16" s="2880"/>
      <c r="R16" s="1693"/>
      <c r="S16" s="1694"/>
      <c r="T16" s="1693"/>
      <c r="U16" s="1694"/>
      <c r="V16" s="1693"/>
      <c r="W16" s="1694"/>
      <c r="X16" s="2042"/>
      <c r="Y16" s="3641"/>
      <c r="Z16" s="2046"/>
      <c r="AA16" s="2037">
        <v>1</v>
      </c>
      <c r="AB16" s="2037">
        <v>1</v>
      </c>
      <c r="AC16" s="2037">
        <v>1</v>
      </c>
    </row>
    <row r="17" spans="1:29" ht="71.25">
      <c r="A17" s="1670"/>
      <c r="B17" s="2461" t="s">
        <v>1648</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6"/>
      <c r="M17" s="2962"/>
      <c r="N17" s="2962"/>
      <c r="O17" s="2962"/>
      <c r="P17" s="3641"/>
      <c r="Q17" s="2880" t="str">
        <f>B17</f>
        <v>交通便捷度</v>
      </c>
      <c r="R17" s="1693" t="s">
        <v>25</v>
      </c>
      <c r="S17" s="1694">
        <f>F17</f>
        <v>100</v>
      </c>
      <c r="T17" s="1693" t="s">
        <v>25</v>
      </c>
      <c r="U17" s="1694">
        <f>H17</f>
        <v>100</v>
      </c>
      <c r="V17" s="1693" t="s">
        <v>25</v>
      </c>
      <c r="W17" s="1694">
        <f>J17</f>
        <v>100</v>
      </c>
      <c r="X17" s="2042"/>
      <c r="Y17" s="3641"/>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6"/>
      <c r="M18" s="2962"/>
      <c r="N18" s="2962"/>
      <c r="O18" s="2962"/>
      <c r="P18" s="3641"/>
      <c r="Q18" s="2880"/>
      <c r="R18" s="1693"/>
      <c r="S18" s="1694"/>
      <c r="T18" s="1693"/>
      <c r="U18" s="1694"/>
      <c r="V18" s="1693"/>
      <c r="W18" s="1694"/>
      <c r="X18" s="2042"/>
      <c r="Y18" s="3641"/>
      <c r="Z18" s="2046"/>
      <c r="AA18" s="2037">
        <v>1</v>
      </c>
      <c r="AB18" s="2037">
        <v>1</v>
      </c>
      <c r="AC18" s="2037">
        <v>1</v>
      </c>
    </row>
    <row r="19" spans="1:29" ht="71.25">
      <c r="A19" s="1670"/>
      <c r="B19" s="2461" t="s">
        <v>2326</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6"/>
      <c r="M19" s="2962"/>
      <c r="N19" s="2962"/>
      <c r="O19" s="2962"/>
      <c r="P19" s="3641"/>
      <c r="Q19" s="2880" t="str">
        <f>B19</f>
        <v>公共配套设施</v>
      </c>
      <c r="R19" s="1693" t="s">
        <v>25</v>
      </c>
      <c r="S19" s="1694">
        <f>F19</f>
        <v>100</v>
      </c>
      <c r="T19" s="1693" t="s">
        <v>25</v>
      </c>
      <c r="U19" s="1694">
        <f>H19</f>
        <v>100</v>
      </c>
      <c r="V19" s="1693" t="s">
        <v>25</v>
      </c>
      <c r="W19" s="1694">
        <f>J19</f>
        <v>100</v>
      </c>
      <c r="X19" s="2042"/>
      <c r="Y19" s="3641"/>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6"/>
      <c r="M20" s="2962"/>
      <c r="N20" s="2962"/>
      <c r="O20" s="2962"/>
      <c r="P20" s="3641"/>
      <c r="Q20" s="2880"/>
      <c r="R20" s="1693"/>
      <c r="S20" s="1694"/>
      <c r="T20" s="1693"/>
      <c r="U20" s="1694"/>
      <c r="V20" s="1693"/>
      <c r="W20" s="1694"/>
      <c r="X20" s="2042"/>
      <c r="Y20" s="3641"/>
      <c r="Z20" s="2046"/>
      <c r="AA20" s="2037">
        <v>1</v>
      </c>
      <c r="AB20" s="2037">
        <v>1</v>
      </c>
      <c r="AC20" s="2037">
        <v>1</v>
      </c>
    </row>
    <row r="21" spans="1:29" ht="28.5">
      <c r="A21" s="1670"/>
      <c r="B21" s="2463" t="s">
        <v>2327</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6"/>
      <c r="M21" s="2962"/>
      <c r="N21" s="2962"/>
      <c r="O21" s="2962"/>
      <c r="P21" s="3641"/>
      <c r="Q21" s="2880" t="str">
        <f>B21</f>
        <v>基础设施水平</v>
      </c>
      <c r="R21" s="1693" t="s">
        <v>25</v>
      </c>
      <c r="S21" s="1694">
        <f>F21</f>
        <v>100</v>
      </c>
      <c r="T21" s="1693" t="s">
        <v>25</v>
      </c>
      <c r="U21" s="1694">
        <f>H21</f>
        <v>100</v>
      </c>
      <c r="V21" s="1693" t="s">
        <v>25</v>
      </c>
      <c r="W21" s="1694">
        <f>J21</f>
        <v>100</v>
      </c>
      <c r="X21" s="2042"/>
      <c r="Y21" s="3641"/>
      <c r="Z21" s="2046" t="str">
        <f>Q21</f>
        <v>基础设施水平</v>
      </c>
      <c r="AA21" s="2037">
        <f t="shared" ref="AA21" si="8">D21/F21</f>
        <v>1</v>
      </c>
      <c r="AB21" s="2037">
        <f t="shared" ref="AB21" si="9">D21/H21</f>
        <v>1</v>
      </c>
      <c r="AC21" s="2037">
        <f t="shared" ref="AC21" si="10">D21/J21</f>
        <v>1</v>
      </c>
    </row>
    <row r="22" spans="1:29" ht="15">
      <c r="A22" s="1670"/>
      <c r="B22" s="2463"/>
      <c r="C22" s="1947" t="s">
        <v>3006</v>
      </c>
      <c r="D22" s="1699"/>
      <c r="E22" s="1698" t="s">
        <v>3006</v>
      </c>
      <c r="F22" s="1699"/>
      <c r="G22" s="1698" t="s">
        <v>3006</v>
      </c>
      <c r="H22" s="1699"/>
      <c r="I22" s="1698" t="s">
        <v>3006</v>
      </c>
      <c r="J22" s="1699"/>
      <c r="K22" s="2442"/>
      <c r="L22" s="2966"/>
      <c r="M22" s="2962"/>
      <c r="N22" s="2962"/>
      <c r="O22" s="2962"/>
      <c r="P22" s="3641"/>
      <c r="Q22" s="2880"/>
      <c r="R22" s="1693"/>
      <c r="S22" s="1694"/>
      <c r="T22" s="1693"/>
      <c r="U22" s="1694"/>
      <c r="V22" s="1693"/>
      <c r="W22" s="1694"/>
      <c r="X22" s="2042"/>
      <c r="Y22" s="3641"/>
      <c r="Z22" s="2046"/>
      <c r="AA22" s="2037">
        <v>1</v>
      </c>
      <c r="AB22" s="2037">
        <v>1</v>
      </c>
      <c r="AC22" s="2037">
        <v>1</v>
      </c>
    </row>
    <row r="23" spans="1:29" ht="71.25">
      <c r="A23" s="1670"/>
      <c r="B23" s="2461" t="s">
        <v>2328</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6"/>
      <c r="M23" s="2962"/>
      <c r="N23" s="2962"/>
      <c r="O23" s="2962"/>
      <c r="P23" s="3641"/>
      <c r="Q23" s="2880" t="str">
        <f>B23</f>
        <v>环境质量</v>
      </c>
      <c r="R23" s="1693" t="s">
        <v>25</v>
      </c>
      <c r="S23" s="1694">
        <f>F23</f>
        <v>100</v>
      </c>
      <c r="T23" s="1693" t="s">
        <v>25</v>
      </c>
      <c r="U23" s="1694">
        <f>H23</f>
        <v>100</v>
      </c>
      <c r="V23" s="1693" t="s">
        <v>25</v>
      </c>
      <c r="W23" s="1694">
        <f>J23</f>
        <v>100</v>
      </c>
      <c r="X23" s="2042"/>
      <c r="Y23" s="3641"/>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6"/>
      <c r="M24" s="2962"/>
      <c r="N24" s="2962"/>
      <c r="O24" s="2962"/>
      <c r="P24" s="3641"/>
      <c r="Q24" s="2880"/>
      <c r="R24" s="1693"/>
      <c r="S24" s="1694"/>
      <c r="T24" s="1693"/>
      <c r="U24" s="1694"/>
      <c r="V24" s="1693"/>
      <c r="W24" s="1694"/>
      <c r="X24" s="2042"/>
      <c r="Y24" s="3641"/>
      <c r="Z24" s="2046"/>
      <c r="AA24" s="2037">
        <v>1</v>
      </c>
      <c r="AB24" s="2037">
        <v>1</v>
      </c>
      <c r="AC24" s="2037">
        <v>1</v>
      </c>
    </row>
    <row r="25" spans="1:29" ht="27">
      <c r="A25" s="1635"/>
      <c r="B25" s="2461" t="s">
        <v>2329</v>
      </c>
      <c r="C25" s="3326" t="s">
        <v>3007</v>
      </c>
      <c r="D25" s="1679">
        <v>100</v>
      </c>
      <c r="E25" s="3326" t="s">
        <v>3007</v>
      </c>
      <c r="F25" s="1679">
        <f>SUMIF(87:87,E26,88:88)-SUMIF(87:87,C26,88:88)+100</f>
        <v>100</v>
      </c>
      <c r="G25" s="3326" t="s">
        <v>3007</v>
      </c>
      <c r="H25" s="1679">
        <f>SUMIF(87:87,G26,88:88)-SUMIF(87:87,C26,88:88)+100</f>
        <v>100</v>
      </c>
      <c r="I25" s="3326" t="s">
        <v>3007</v>
      </c>
      <c r="J25" s="1679">
        <f>SUMIF(87:87,I26,88:88)-SUMIF(87:87,C26,88:88)+100</f>
        <v>100</v>
      </c>
      <c r="K25" s="2440">
        <v>1</v>
      </c>
      <c r="L25" s="2966"/>
      <c r="M25" s="2962"/>
      <c r="N25" s="2962"/>
      <c r="O25" s="2962"/>
      <c r="P25" s="3641"/>
      <c r="Q25" s="2880" t="str">
        <f>B25</f>
        <v>毗邻道路的类型与等级</v>
      </c>
      <c r="R25" s="1693" t="s">
        <v>25</v>
      </c>
      <c r="S25" s="1694">
        <f>F25</f>
        <v>100</v>
      </c>
      <c r="T25" s="1693" t="s">
        <v>25</v>
      </c>
      <c r="U25" s="1694">
        <f>H25</f>
        <v>100</v>
      </c>
      <c r="V25" s="1693" t="s">
        <v>25</v>
      </c>
      <c r="W25" s="1694">
        <f>J25</f>
        <v>100</v>
      </c>
      <c r="X25" s="2042"/>
      <c r="Y25" s="3641"/>
      <c r="Z25" s="2046" t="str">
        <f>Q25</f>
        <v>毗邻道路的类型与等级</v>
      </c>
      <c r="AA25" s="2037">
        <f t="shared" si="3"/>
        <v>1</v>
      </c>
      <c r="AB25" s="2037">
        <f t="shared" si="4"/>
        <v>1</v>
      </c>
      <c r="AC25" s="2037">
        <f t="shared" si="5"/>
        <v>1</v>
      </c>
    </row>
    <row r="26" spans="1:29" ht="15">
      <c r="A26" s="1635"/>
      <c r="B26" s="2462"/>
      <c r="C26" s="1959" t="s">
        <v>3008</v>
      </c>
      <c r="D26" s="1679"/>
      <c r="E26" s="1959" t="s">
        <v>3008</v>
      </c>
      <c r="F26" s="1679"/>
      <c r="G26" s="1959" t="s">
        <v>3008</v>
      </c>
      <c r="H26" s="1679"/>
      <c r="I26" s="1959" t="s">
        <v>3008</v>
      </c>
      <c r="J26" s="1679"/>
      <c r="K26" s="2441"/>
      <c r="L26" s="2966"/>
      <c r="M26" s="2962"/>
      <c r="N26" s="2962"/>
      <c r="O26" s="2962"/>
      <c r="P26" s="3641"/>
      <c r="Q26" s="2880"/>
      <c r="R26" s="1693"/>
      <c r="S26" s="1694"/>
      <c r="T26" s="1693"/>
      <c r="U26" s="1694"/>
      <c r="V26" s="1693"/>
      <c r="W26" s="1694"/>
      <c r="X26" s="2042"/>
      <c r="Y26" s="3641"/>
      <c r="Z26" s="2046"/>
      <c r="AA26" s="2037">
        <v>1</v>
      </c>
      <c r="AB26" s="2037">
        <v>1</v>
      </c>
      <c r="AC26" s="2037">
        <v>1</v>
      </c>
    </row>
    <row r="27" spans="1:29" ht="15">
      <c r="A27" s="1670"/>
      <c r="B27" s="2462" t="s">
        <v>2302</v>
      </c>
      <c r="C27" s="1951" t="s">
        <v>3009</v>
      </c>
      <c r="D27" s="1679">
        <v>100</v>
      </c>
      <c r="E27" s="1959" t="s">
        <v>3048</v>
      </c>
      <c r="F27" s="1679">
        <f>SUMIF(89:89,E27,90:90)-SUMIF(89:89,C27,90:90)+100</f>
        <v>105</v>
      </c>
      <c r="G27" s="1959" t="s">
        <v>3048</v>
      </c>
      <c r="H27" s="1679">
        <f>SUMIF(89:89,G27,90:90)-SUMIF(89:89,C27,90:90)+100</f>
        <v>105</v>
      </c>
      <c r="I27" s="1959" t="s">
        <v>3047</v>
      </c>
      <c r="J27" s="1679">
        <f>SUMIF(89:89,I27,90:90)-SUMIF(89:89,C27,90:90)+100</f>
        <v>110</v>
      </c>
      <c r="K27" s="1960">
        <v>5</v>
      </c>
      <c r="L27" s="2966"/>
      <c r="M27" s="2962"/>
      <c r="N27" s="2962"/>
      <c r="O27" s="2962"/>
      <c r="P27" s="3641"/>
      <c r="Q27" s="2880" t="str">
        <f t="shared" ref="Q27:Q47" si="11">B27</f>
        <v>楼层</v>
      </c>
      <c r="R27" s="1693" t="s">
        <v>25</v>
      </c>
      <c r="S27" s="1694">
        <f>F27</f>
        <v>105</v>
      </c>
      <c r="T27" s="1693" t="s">
        <v>25</v>
      </c>
      <c r="U27" s="1694">
        <f>H27</f>
        <v>105</v>
      </c>
      <c r="V27" s="1693" t="s">
        <v>25</v>
      </c>
      <c r="W27" s="1694">
        <f>J27</f>
        <v>110</v>
      </c>
      <c r="X27" s="2042"/>
      <c r="Y27" s="3641"/>
      <c r="Z27" s="2046" t="str">
        <f>Q27</f>
        <v>楼层</v>
      </c>
      <c r="AA27" s="2037">
        <f t="shared" si="3"/>
        <v>0.95238095238095233</v>
      </c>
      <c r="AB27" s="2037">
        <f t="shared" si="4"/>
        <v>0.95238095238095233</v>
      </c>
      <c r="AC27" s="2037">
        <f t="shared" si="5"/>
        <v>0.90909090909090906</v>
      </c>
    </row>
    <row r="28" spans="1:29" s="1652" customFormat="1" ht="15">
      <c r="A28" s="1673"/>
      <c r="B28" s="2461" t="s">
        <v>2330</v>
      </c>
      <c r="C28" s="2465"/>
      <c r="D28" s="1724">
        <v>100</v>
      </c>
      <c r="E28" s="2444"/>
      <c r="F28" s="1724">
        <f>SUMIF(91:91,E28,92:92)-SUMIF(91:91,C28,92:92)+100</f>
        <v>100</v>
      </c>
      <c r="G28" s="2444"/>
      <c r="H28" s="1724">
        <f>SUMIF(91:91,G28,92:92)-SUMIF(91:91,C28,92:92)+100</f>
        <v>100</v>
      </c>
      <c r="I28" s="2444"/>
      <c r="J28" s="1724">
        <f>SUMIF(91:91,I28,92:92)-SUMIF(91:91,C28,92:92)+100</f>
        <v>100</v>
      </c>
      <c r="K28" s="1960"/>
      <c r="L28" s="2961"/>
      <c r="M28" s="2934"/>
      <c r="N28" s="2934"/>
      <c r="O28" s="2934"/>
      <c r="P28" s="3641"/>
      <c r="Q28" s="2879" t="str">
        <f t="shared" si="11"/>
        <v>朝向</v>
      </c>
      <c r="R28" s="1648" t="s">
        <v>25</v>
      </c>
      <c r="S28" s="1649">
        <f>F28</f>
        <v>100</v>
      </c>
      <c r="T28" s="1648" t="s">
        <v>25</v>
      </c>
      <c r="U28" s="1649">
        <f>H28</f>
        <v>100</v>
      </c>
      <c r="V28" s="1648" t="s">
        <v>25</v>
      </c>
      <c r="W28" s="1649">
        <f>J28</f>
        <v>100</v>
      </c>
      <c r="X28" s="1650"/>
      <c r="Y28" s="3641"/>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6"/>
      <c r="M29" s="2962"/>
      <c r="N29" s="2962"/>
      <c r="O29" s="2962"/>
      <c r="P29" s="3641"/>
      <c r="Q29" s="2880">
        <f t="shared" si="11"/>
        <v>111</v>
      </c>
      <c r="R29" s="1693" t="s">
        <v>25</v>
      </c>
      <c r="S29" s="1694">
        <f t="shared" ref="S29:S47" si="12">F29</f>
        <v>100</v>
      </c>
      <c r="T29" s="1693" t="s">
        <v>25</v>
      </c>
      <c r="U29" s="1694">
        <f t="shared" ref="U29:U47" si="13">H29</f>
        <v>100</v>
      </c>
      <c r="V29" s="1693" t="s">
        <v>25</v>
      </c>
      <c r="W29" s="1694">
        <f t="shared" ref="W29:W47" si="14">J29</f>
        <v>100</v>
      </c>
      <c r="X29" s="2042"/>
      <c r="Y29" s="3641"/>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6"/>
      <c r="M30" s="2962"/>
      <c r="N30" s="2962"/>
      <c r="O30" s="2962"/>
      <c r="P30" s="3641"/>
      <c r="Q30" s="2880">
        <f t="shared" si="11"/>
        <v>111</v>
      </c>
      <c r="R30" s="1693" t="s">
        <v>25</v>
      </c>
      <c r="S30" s="1694">
        <f t="shared" si="12"/>
        <v>100</v>
      </c>
      <c r="T30" s="1693" t="s">
        <v>25</v>
      </c>
      <c r="U30" s="1694">
        <f t="shared" si="13"/>
        <v>100</v>
      </c>
      <c r="V30" s="1693" t="s">
        <v>25</v>
      </c>
      <c r="W30" s="1694">
        <f t="shared" si="14"/>
        <v>100</v>
      </c>
      <c r="X30" s="2042"/>
      <c r="Y30" s="3641"/>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6"/>
      <c r="M31" s="2962"/>
      <c r="N31" s="2962"/>
      <c r="O31" s="2962"/>
      <c r="P31" s="3641"/>
      <c r="Q31" s="2880">
        <f t="shared" si="11"/>
        <v>111</v>
      </c>
      <c r="R31" s="1693" t="s">
        <v>25</v>
      </c>
      <c r="S31" s="1694">
        <f t="shared" si="12"/>
        <v>100</v>
      </c>
      <c r="T31" s="1693" t="s">
        <v>25</v>
      </c>
      <c r="U31" s="1694">
        <f t="shared" si="13"/>
        <v>100</v>
      </c>
      <c r="V31" s="1693" t="s">
        <v>25</v>
      </c>
      <c r="W31" s="1694">
        <f t="shared" si="14"/>
        <v>100</v>
      </c>
      <c r="X31" s="2042"/>
      <c r="Y31" s="3641"/>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6"/>
      <c r="M32" s="2962"/>
      <c r="N32" s="2962"/>
      <c r="O32" s="2962"/>
      <c r="P32" s="3641"/>
      <c r="Q32" s="2880">
        <f t="shared" si="11"/>
        <v>111</v>
      </c>
      <c r="R32" s="1693" t="s">
        <v>25</v>
      </c>
      <c r="S32" s="1694">
        <f t="shared" si="12"/>
        <v>100</v>
      </c>
      <c r="T32" s="1693" t="s">
        <v>25</v>
      </c>
      <c r="U32" s="1694">
        <f t="shared" si="13"/>
        <v>100</v>
      </c>
      <c r="V32" s="1693" t="s">
        <v>25</v>
      </c>
      <c r="W32" s="1694">
        <f t="shared" si="14"/>
        <v>100</v>
      </c>
      <c r="X32" s="2042"/>
      <c r="Y32" s="3641"/>
      <c r="Z32" s="2046">
        <f t="shared" si="15"/>
        <v>111</v>
      </c>
      <c r="AA32" s="2037">
        <f t="shared" si="3"/>
        <v>1</v>
      </c>
      <c r="AB32" s="2037">
        <f t="shared" si="4"/>
        <v>1</v>
      </c>
      <c r="AC32" s="2037">
        <f t="shared" si="5"/>
        <v>1</v>
      </c>
    </row>
    <row r="33" spans="1:29" ht="15">
      <c r="A33" s="1685" t="s">
        <v>2215</v>
      </c>
      <c r="B33" s="1655" t="s">
        <v>2331</v>
      </c>
      <c r="C33" s="2469" t="s">
        <v>3010</v>
      </c>
      <c r="D33" s="1730">
        <v>100</v>
      </c>
      <c r="E33" s="2469" t="s">
        <v>3010</v>
      </c>
      <c r="F33" s="1722">
        <f>SUMIF(101:101,E33,102:102)-SUMIF(101:101,C33,102:102)+100</f>
        <v>100</v>
      </c>
      <c r="G33" s="2469" t="s">
        <v>3010</v>
      </c>
      <c r="H33" s="1679">
        <f>SUMIF(101:101,G33,102:102)-SUMIF(101:101,C33,102:102)+100</f>
        <v>100</v>
      </c>
      <c r="I33" s="2469" t="s">
        <v>3010</v>
      </c>
      <c r="J33" s="1730">
        <f>SUMIF(101:101,I33,102:102)-SUMIF(101:101,C33,102:102)+100</f>
        <v>100</v>
      </c>
      <c r="K33" s="1960">
        <v>2</v>
      </c>
      <c r="L33" s="2966"/>
      <c r="M33" s="2962"/>
      <c r="N33" s="2962"/>
      <c r="O33" s="2962"/>
      <c r="P33" s="3667" t="s">
        <v>2217</v>
      </c>
      <c r="Q33" s="2880" t="str">
        <f t="shared" si="11"/>
        <v>建筑类型</v>
      </c>
      <c r="R33" s="1693" t="s">
        <v>25</v>
      </c>
      <c r="S33" s="1694">
        <f t="shared" si="12"/>
        <v>100</v>
      </c>
      <c r="T33" s="1693" t="s">
        <v>25</v>
      </c>
      <c r="U33" s="1694">
        <f t="shared" si="13"/>
        <v>100</v>
      </c>
      <c r="V33" s="1693" t="s">
        <v>25</v>
      </c>
      <c r="W33" s="1694">
        <f t="shared" si="14"/>
        <v>100</v>
      </c>
      <c r="X33" s="2042"/>
      <c r="Y33" s="3627" t="s">
        <v>2217</v>
      </c>
      <c r="Z33" s="2046" t="str">
        <f t="shared" si="15"/>
        <v>建筑类型</v>
      </c>
      <c r="AA33" s="2037">
        <f t="shared" si="3"/>
        <v>1</v>
      </c>
      <c r="AB33" s="2037">
        <f t="shared" si="4"/>
        <v>1</v>
      </c>
      <c r="AC33" s="2037">
        <f t="shared" si="5"/>
        <v>1</v>
      </c>
    </row>
    <row r="34" spans="1:29" s="1739" customFormat="1" ht="15">
      <c r="A34" s="1732"/>
      <c r="B34" s="1663" t="s">
        <v>2218</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5"/>
      <c r="M34" s="2027"/>
      <c r="N34" s="2027"/>
      <c r="O34" s="2027"/>
      <c r="P34" s="3627"/>
      <c r="Q34" s="1734" t="str">
        <f t="shared" si="11"/>
        <v>项目建筑规模</v>
      </c>
      <c r="R34" s="1735" t="s">
        <v>25</v>
      </c>
      <c r="S34" s="1736">
        <f t="shared" si="12"/>
        <v>103</v>
      </c>
      <c r="T34" s="1735" t="s">
        <v>25</v>
      </c>
      <c r="U34" s="1736">
        <f t="shared" si="13"/>
        <v>103</v>
      </c>
      <c r="V34" s="1735" t="s">
        <v>25</v>
      </c>
      <c r="W34" s="1736">
        <f t="shared" si="14"/>
        <v>101</v>
      </c>
      <c r="X34" s="1737"/>
      <c r="Y34" s="3627"/>
      <c r="Z34" s="1738" t="str">
        <f t="shared" si="15"/>
        <v>项目建筑规模</v>
      </c>
      <c r="AA34" s="2037">
        <f t="shared" si="3"/>
        <v>0.970873786407767</v>
      </c>
      <c r="AB34" s="2037">
        <f t="shared" si="4"/>
        <v>0.970873786407767</v>
      </c>
      <c r="AC34" s="2037">
        <f t="shared" si="5"/>
        <v>0.99009900990099009</v>
      </c>
    </row>
    <row r="35" spans="1:29" ht="15">
      <c r="A35" s="1740"/>
      <c r="B35" s="1663" t="s">
        <v>2219</v>
      </c>
      <c r="C35" s="1720" t="s">
        <v>2994</v>
      </c>
      <c r="D35" s="1679">
        <v>100</v>
      </c>
      <c r="E35" s="1720" t="s">
        <v>2994</v>
      </c>
      <c r="F35" s="1722">
        <f>SUMIF(106:106,E35,107:107)-SUMIF(106:106,C35,107:107)+100</f>
        <v>100</v>
      </c>
      <c r="G35" s="1720" t="s">
        <v>2994</v>
      </c>
      <c r="H35" s="1679">
        <f>SUMIF(106:106,G35,107:107)-SUMIF(106:106,C35,107:107)+100</f>
        <v>100</v>
      </c>
      <c r="I35" s="1720" t="s">
        <v>2994</v>
      </c>
      <c r="J35" s="1679">
        <f>SUMIF(106:106,I35,107:107)-SUMIF(106:106,C35,107:107)+100</f>
        <v>100</v>
      </c>
      <c r="K35" s="1960">
        <v>2</v>
      </c>
      <c r="L35" s="2966"/>
      <c r="M35" s="2962"/>
      <c r="N35" s="2962"/>
      <c r="O35" s="2962"/>
      <c r="P35" s="3627"/>
      <c r="Q35" s="2880" t="str">
        <f t="shared" si="11"/>
        <v>建筑结构</v>
      </c>
      <c r="R35" s="1693" t="s">
        <v>25</v>
      </c>
      <c r="S35" s="1694">
        <f t="shared" si="12"/>
        <v>100</v>
      </c>
      <c r="T35" s="1693" t="s">
        <v>25</v>
      </c>
      <c r="U35" s="1694">
        <f t="shared" si="13"/>
        <v>100</v>
      </c>
      <c r="V35" s="1693" t="s">
        <v>25</v>
      </c>
      <c r="W35" s="1694">
        <f t="shared" si="14"/>
        <v>100</v>
      </c>
      <c r="X35" s="2042"/>
      <c r="Y35" s="3627"/>
      <c r="Z35" s="2046" t="str">
        <f t="shared" si="15"/>
        <v>建筑结构</v>
      </c>
      <c r="AA35" s="2037">
        <f t="shared" si="3"/>
        <v>1</v>
      </c>
      <c r="AB35" s="2037">
        <f t="shared" si="4"/>
        <v>1</v>
      </c>
      <c r="AC35" s="2037">
        <f t="shared" si="5"/>
        <v>1</v>
      </c>
    </row>
    <row r="36" spans="1:29" ht="15">
      <c r="A36" s="1740"/>
      <c r="B36" s="1663" t="s">
        <v>2304</v>
      </c>
      <c r="C36" s="1720" t="s">
        <v>3011</v>
      </c>
      <c r="D36" s="1679">
        <v>100</v>
      </c>
      <c r="E36" s="1720" t="s">
        <v>3011</v>
      </c>
      <c r="F36" s="1722">
        <f>SUMIF(108:108,E36,109:109)-SUMIF(108:108,C36,109:109)+100</f>
        <v>100</v>
      </c>
      <c r="G36" s="1720" t="s">
        <v>3011</v>
      </c>
      <c r="H36" s="1679">
        <f>SUMIF(108:108,G36,109:109)-SUMIF(108:108,C36,109:109)+100</f>
        <v>100</v>
      </c>
      <c r="I36" s="1720" t="s">
        <v>3011</v>
      </c>
      <c r="J36" s="1679">
        <f>SUMIF(108:108,I36,109:109)-SUMIF(108:108,C36,109:109)+100</f>
        <v>100</v>
      </c>
      <c r="K36" s="1960">
        <v>1</v>
      </c>
      <c r="L36" s="2966"/>
      <c r="M36" s="2962"/>
      <c r="N36" s="2962"/>
      <c r="O36" s="2962"/>
      <c r="P36" s="3627"/>
      <c r="Q36" s="2880" t="str">
        <f t="shared" si="11"/>
        <v>公共部分装修</v>
      </c>
      <c r="R36" s="1693" t="s">
        <v>25</v>
      </c>
      <c r="S36" s="1694">
        <f t="shared" si="12"/>
        <v>100</v>
      </c>
      <c r="T36" s="1693" t="s">
        <v>25</v>
      </c>
      <c r="U36" s="1694">
        <f t="shared" si="13"/>
        <v>100</v>
      </c>
      <c r="V36" s="1693" t="s">
        <v>25</v>
      </c>
      <c r="W36" s="1694">
        <f t="shared" si="14"/>
        <v>100</v>
      </c>
      <c r="X36" s="2042"/>
      <c r="Y36" s="3627"/>
      <c r="Z36" s="2046" t="str">
        <f t="shared" si="15"/>
        <v>公共部分装修</v>
      </c>
      <c r="AA36" s="2037">
        <f t="shared" si="3"/>
        <v>1</v>
      </c>
      <c r="AB36" s="2037">
        <f t="shared" si="4"/>
        <v>1</v>
      </c>
      <c r="AC36" s="2037">
        <f t="shared" si="5"/>
        <v>1</v>
      </c>
    </row>
    <row r="37" spans="1:29" ht="15">
      <c r="A37" s="1740"/>
      <c r="B37" s="1663" t="s">
        <v>2305</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6"/>
      <c r="M37" s="2962"/>
      <c r="N37" s="2962"/>
      <c r="O37" s="2962"/>
      <c r="P37" s="3627"/>
      <c r="Q37" s="2880" t="str">
        <f t="shared" si="11"/>
        <v>成新度</v>
      </c>
      <c r="R37" s="1693" t="s">
        <v>25</v>
      </c>
      <c r="S37" s="1694">
        <f t="shared" si="12"/>
        <v>100</v>
      </c>
      <c r="T37" s="1693" t="s">
        <v>25</v>
      </c>
      <c r="U37" s="1694">
        <f t="shared" si="13"/>
        <v>100</v>
      </c>
      <c r="V37" s="1693" t="s">
        <v>25</v>
      </c>
      <c r="W37" s="1694">
        <f t="shared" si="14"/>
        <v>100</v>
      </c>
      <c r="X37" s="2042"/>
      <c r="Y37" s="3627"/>
      <c r="Z37" s="2046" t="str">
        <f t="shared" si="15"/>
        <v>成新度</v>
      </c>
      <c r="AA37" s="2037">
        <f t="shared" si="3"/>
        <v>1</v>
      </c>
      <c r="AB37" s="2037">
        <f t="shared" si="4"/>
        <v>1</v>
      </c>
      <c r="AC37" s="2037">
        <f t="shared" si="5"/>
        <v>1</v>
      </c>
    </row>
    <row r="38" spans="1:29" s="1652" customFormat="1" ht="15">
      <c r="A38" s="1743"/>
      <c r="B38" s="1663" t="s">
        <v>2332</v>
      </c>
      <c r="C38" s="1720" t="s">
        <v>3012</v>
      </c>
      <c r="D38" s="1665">
        <v>100</v>
      </c>
      <c r="E38" s="1720" t="s">
        <v>3012</v>
      </c>
      <c r="F38" s="1722">
        <f>SUMIF(113:113,E38,114:114)-SUMIF(113:113,C38,114:114)+100</f>
        <v>100</v>
      </c>
      <c r="G38" s="1720" t="s">
        <v>3012</v>
      </c>
      <c r="H38" s="1679">
        <f>SUMIF(113:113,G38,114:114)-SUMIF(113:113,C38,114:114)+100</f>
        <v>100</v>
      </c>
      <c r="I38" s="1720" t="s">
        <v>3012</v>
      </c>
      <c r="J38" s="1679">
        <f>SUMIF(113:113,I38,114:114)-SUMIF(113:113,C38,114:114)+100</f>
        <v>100</v>
      </c>
      <c r="K38" s="1960">
        <v>2</v>
      </c>
      <c r="L38" s="2961"/>
      <c r="M38" s="2934"/>
      <c r="N38" s="2934"/>
      <c r="O38" s="2934"/>
      <c r="P38" s="3627"/>
      <c r="Q38" s="2879" t="str">
        <f t="shared" si="11"/>
        <v>写字楼等级</v>
      </c>
      <c r="R38" s="1648" t="s">
        <v>25</v>
      </c>
      <c r="S38" s="1649">
        <f t="shared" si="12"/>
        <v>100</v>
      </c>
      <c r="T38" s="1648" t="s">
        <v>25</v>
      </c>
      <c r="U38" s="1649">
        <f t="shared" si="13"/>
        <v>100</v>
      </c>
      <c r="V38" s="1648" t="s">
        <v>25</v>
      </c>
      <c r="W38" s="1649">
        <f t="shared" si="14"/>
        <v>100</v>
      </c>
      <c r="X38" s="1650"/>
      <c r="Y38" s="3627"/>
      <c r="Z38" s="1661" t="str">
        <f t="shared" si="15"/>
        <v>写字楼等级</v>
      </c>
      <c r="AA38" s="1651">
        <f t="shared" si="3"/>
        <v>1</v>
      </c>
      <c r="AB38" s="1651">
        <f t="shared" si="4"/>
        <v>1</v>
      </c>
      <c r="AC38" s="1651">
        <f t="shared" si="5"/>
        <v>1</v>
      </c>
    </row>
    <row r="39" spans="1:29" ht="15">
      <c r="A39" s="1740"/>
      <c r="B39" s="1663" t="s">
        <v>2333</v>
      </c>
      <c r="C39" s="1720" t="s">
        <v>3013</v>
      </c>
      <c r="D39" s="1679">
        <v>100</v>
      </c>
      <c r="E39" s="1720" t="s">
        <v>3013</v>
      </c>
      <c r="F39" s="1722">
        <f>SUMIF(115:115,E39,116:116)-SUMIF(115:115,C39,116:116)+100</f>
        <v>100</v>
      </c>
      <c r="G39" s="1720" t="s">
        <v>3013</v>
      </c>
      <c r="H39" s="1679">
        <f>SUMIF(115:115,G39,116:116)-SUMIF(115:115,C39,116:116)+100</f>
        <v>100</v>
      </c>
      <c r="I39" s="1720" t="s">
        <v>3013</v>
      </c>
      <c r="J39" s="1679">
        <f>SUMIF(115:115,I39,116:116)-SUMIF(115:115,C39,116:116)+100</f>
        <v>100</v>
      </c>
      <c r="K39" s="1960">
        <v>2</v>
      </c>
      <c r="L39" s="2966"/>
      <c r="M39" s="2962"/>
      <c r="N39" s="2962"/>
      <c r="O39" s="2962"/>
      <c r="P39" s="3627" t="s">
        <v>2217</v>
      </c>
      <c r="Q39" s="2880" t="str">
        <f t="shared" si="11"/>
        <v>物业管理</v>
      </c>
      <c r="R39" s="1693" t="s">
        <v>25</v>
      </c>
      <c r="S39" s="1694">
        <f t="shared" si="12"/>
        <v>100</v>
      </c>
      <c r="T39" s="1693" t="s">
        <v>25</v>
      </c>
      <c r="U39" s="1694">
        <f t="shared" si="13"/>
        <v>100</v>
      </c>
      <c r="V39" s="1693" t="s">
        <v>25</v>
      </c>
      <c r="W39" s="1694">
        <f t="shared" si="14"/>
        <v>100</v>
      </c>
      <c r="X39" s="2042"/>
      <c r="Y39" s="3627" t="s">
        <v>2217</v>
      </c>
      <c r="Z39" s="2046" t="str">
        <f t="shared" si="15"/>
        <v>物业管理</v>
      </c>
      <c r="AA39" s="2037">
        <f t="shared" si="3"/>
        <v>1</v>
      </c>
      <c r="AB39" s="2037">
        <f t="shared" si="4"/>
        <v>1</v>
      </c>
      <c r="AC39" s="2037">
        <f t="shared" si="5"/>
        <v>1</v>
      </c>
    </row>
    <row r="40" spans="1:29" ht="15">
      <c r="A40" s="1740"/>
      <c r="B40" s="1663" t="s">
        <v>2306</v>
      </c>
      <c r="C40" s="1720" t="s">
        <v>3006</v>
      </c>
      <c r="D40" s="1679">
        <v>100</v>
      </c>
      <c r="E40" s="1720" t="s">
        <v>3006</v>
      </c>
      <c r="F40" s="1722">
        <f>SUMIF(117:117,E40,118:118)-SUMIF(117:117,C40,118:118)+100</f>
        <v>100</v>
      </c>
      <c r="G40" s="1720" t="s">
        <v>3006</v>
      </c>
      <c r="H40" s="1679">
        <f>SUMIF(117:117,G40,118:118)-SUMIF(117:117,C40,118:118)+100</f>
        <v>100</v>
      </c>
      <c r="I40" s="1720" t="s">
        <v>3006</v>
      </c>
      <c r="J40" s="1679">
        <f>SUMIF(117:117,I40,118:118)-SUMIF(117:117,C40,118:118)+100</f>
        <v>100</v>
      </c>
      <c r="K40" s="1960">
        <v>1</v>
      </c>
      <c r="L40" s="2966"/>
      <c r="M40" s="2962"/>
      <c r="N40" s="2962"/>
      <c r="O40" s="2962"/>
      <c r="P40" s="3627"/>
      <c r="Q40" s="2880" t="str">
        <f t="shared" si="11"/>
        <v>市政基础设施</v>
      </c>
      <c r="R40" s="1693" t="s">
        <v>25</v>
      </c>
      <c r="S40" s="1694">
        <f t="shared" si="12"/>
        <v>100</v>
      </c>
      <c r="T40" s="1693" t="s">
        <v>25</v>
      </c>
      <c r="U40" s="1694">
        <f t="shared" si="13"/>
        <v>100</v>
      </c>
      <c r="V40" s="1693" t="s">
        <v>25</v>
      </c>
      <c r="W40" s="1694">
        <f t="shared" si="14"/>
        <v>100</v>
      </c>
      <c r="X40" s="2042"/>
      <c r="Y40" s="3627"/>
      <c r="Z40" s="2046" t="str">
        <f t="shared" si="15"/>
        <v>市政基础设施</v>
      </c>
      <c r="AA40" s="2037">
        <f t="shared" si="3"/>
        <v>1</v>
      </c>
      <c r="AB40" s="2037">
        <f t="shared" si="4"/>
        <v>1</v>
      </c>
      <c r="AC40" s="2037">
        <f t="shared" si="5"/>
        <v>1</v>
      </c>
    </row>
    <row r="41" spans="1:29" ht="15">
      <c r="A41" s="1740"/>
      <c r="B41" s="1663" t="s">
        <v>2308</v>
      </c>
      <c r="C41" s="1959" t="s">
        <v>3014</v>
      </c>
      <c r="D41" s="1679">
        <v>100</v>
      </c>
      <c r="E41" s="1959" t="s">
        <v>3014</v>
      </c>
      <c r="F41" s="1722">
        <f>SUMIF(119:119,E41,120:120)-SUMIF(119:119,C41,120:120)+100</f>
        <v>100</v>
      </c>
      <c r="G41" s="1959" t="s">
        <v>3014</v>
      </c>
      <c r="H41" s="1679">
        <f>SUMIF(119:119,G41,120:120)-SUMIF(119:119,C41,120:120)+100</f>
        <v>100</v>
      </c>
      <c r="I41" s="1959" t="s">
        <v>3014</v>
      </c>
      <c r="J41" s="1679">
        <f>SUMIF(119:119,I41,120:120)-SUMIF(119:119,C41,120:120)+100</f>
        <v>100</v>
      </c>
      <c r="K41" s="1960">
        <v>1</v>
      </c>
      <c r="L41" s="2966"/>
      <c r="M41" s="2962"/>
      <c r="N41" s="2962"/>
      <c r="O41" s="2962"/>
      <c r="P41" s="3627"/>
      <c r="Q41" s="2880" t="str">
        <f t="shared" si="11"/>
        <v>层高</v>
      </c>
      <c r="R41" s="1693" t="s">
        <v>25</v>
      </c>
      <c r="S41" s="1694">
        <f t="shared" si="12"/>
        <v>100</v>
      </c>
      <c r="T41" s="1693" t="s">
        <v>25</v>
      </c>
      <c r="U41" s="1694">
        <f t="shared" si="13"/>
        <v>100</v>
      </c>
      <c r="V41" s="1693" t="s">
        <v>25</v>
      </c>
      <c r="W41" s="1694">
        <f t="shared" si="14"/>
        <v>100</v>
      </c>
      <c r="X41" s="2042"/>
      <c r="Y41" s="3627"/>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5"/>
      <c r="M42" s="2027"/>
      <c r="N42" s="2027"/>
      <c r="O42" s="2027"/>
      <c r="P42" s="3627"/>
      <c r="Q42" s="1734" t="str">
        <f t="shared" si="11"/>
        <v>单套建筑面积</v>
      </c>
      <c r="R42" s="1735" t="s">
        <v>25</v>
      </c>
      <c r="S42" s="1736">
        <f t="shared" si="12"/>
        <v>100</v>
      </c>
      <c r="T42" s="1735" t="s">
        <v>25</v>
      </c>
      <c r="U42" s="1736">
        <f t="shared" si="13"/>
        <v>100</v>
      </c>
      <c r="V42" s="1735" t="s">
        <v>25</v>
      </c>
      <c r="W42" s="1736">
        <f t="shared" si="14"/>
        <v>100</v>
      </c>
      <c r="X42" s="1737"/>
      <c r="Y42" s="3627"/>
      <c r="Z42" s="1738" t="str">
        <f t="shared" si="15"/>
        <v>单套建筑面积</v>
      </c>
      <c r="AA42" s="2037">
        <f t="shared" si="3"/>
        <v>1</v>
      </c>
      <c r="AB42" s="2037">
        <f t="shared" si="4"/>
        <v>1</v>
      </c>
      <c r="AC42" s="2037">
        <f t="shared" si="5"/>
        <v>1</v>
      </c>
    </row>
    <row r="43" spans="1:29" ht="15">
      <c r="A43" s="1740"/>
      <c r="B43" s="1663" t="s">
        <v>2311</v>
      </c>
      <c r="C43" s="1720" t="s">
        <v>3011</v>
      </c>
      <c r="D43" s="1679">
        <v>100</v>
      </c>
      <c r="E43" s="1720" t="s">
        <v>3011</v>
      </c>
      <c r="F43" s="1722">
        <f>SUMIF(123:123,E43,124:124)-SUMIF(123:123,C43,124:124)+100</f>
        <v>100</v>
      </c>
      <c r="G43" s="1720" t="s">
        <v>3011</v>
      </c>
      <c r="H43" s="1679">
        <f>SUMIF(123:123,G43,124:124)-SUMIF(123:123,C43,124:124)+100</f>
        <v>100</v>
      </c>
      <c r="I43" s="1720" t="s">
        <v>3011</v>
      </c>
      <c r="J43" s="1679">
        <f>SUMIF(123:123,I43,124:124)-SUMIF(123:123,C43,124:124)+100</f>
        <v>100</v>
      </c>
      <c r="K43" s="1960">
        <v>1</v>
      </c>
      <c r="L43" s="2966"/>
      <c r="M43" s="2962"/>
      <c r="N43" s="2962"/>
      <c r="O43" s="2962"/>
      <c r="P43" s="3627"/>
      <c r="Q43" s="2880" t="str">
        <f t="shared" si="11"/>
        <v>内部装修</v>
      </c>
      <c r="R43" s="1693" t="s">
        <v>25</v>
      </c>
      <c r="S43" s="1694">
        <f t="shared" si="12"/>
        <v>100</v>
      </c>
      <c r="T43" s="1693" t="s">
        <v>25</v>
      </c>
      <c r="U43" s="1694">
        <f t="shared" si="13"/>
        <v>100</v>
      </c>
      <c r="V43" s="1693" t="s">
        <v>25</v>
      </c>
      <c r="W43" s="1694">
        <f t="shared" si="14"/>
        <v>100</v>
      </c>
      <c r="X43" s="2042"/>
      <c r="Y43" s="3627"/>
      <c r="Z43" s="2046" t="str">
        <f t="shared" si="15"/>
        <v>内部装修</v>
      </c>
      <c r="AA43" s="2037">
        <f t="shared" si="3"/>
        <v>1</v>
      </c>
      <c r="AB43" s="2037">
        <f t="shared" si="4"/>
        <v>1</v>
      </c>
      <c r="AC43" s="2037">
        <f t="shared" si="5"/>
        <v>1</v>
      </c>
    </row>
    <row r="44" spans="1:29" ht="15">
      <c r="A44" s="1740"/>
      <c r="B44" s="1663" t="s">
        <v>2228</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6"/>
      <c r="M44" s="2962"/>
      <c r="N44" s="2962"/>
      <c r="O44" s="2962"/>
      <c r="P44" s="3627"/>
      <c r="Q44" s="2880" t="str">
        <f t="shared" si="11"/>
        <v>内部装修维护情况</v>
      </c>
      <c r="R44" s="1693" t="s">
        <v>25</v>
      </c>
      <c r="S44" s="1694">
        <f t="shared" si="12"/>
        <v>100</v>
      </c>
      <c r="T44" s="1693" t="s">
        <v>25</v>
      </c>
      <c r="U44" s="1694">
        <f t="shared" si="13"/>
        <v>100</v>
      </c>
      <c r="V44" s="1693" t="s">
        <v>25</v>
      </c>
      <c r="W44" s="1694">
        <f t="shared" si="14"/>
        <v>100</v>
      </c>
      <c r="X44" s="2042"/>
      <c r="Y44" s="3627"/>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1"/>
      <c r="M45" s="2934"/>
      <c r="N45" s="2934"/>
      <c r="O45" s="2934"/>
      <c r="P45" s="3627"/>
      <c r="Q45" s="2879">
        <f t="shared" si="11"/>
        <v>111</v>
      </c>
      <c r="R45" s="1648" t="s">
        <v>25</v>
      </c>
      <c r="S45" s="1649">
        <f t="shared" si="12"/>
        <v>100</v>
      </c>
      <c r="T45" s="1648" t="s">
        <v>25</v>
      </c>
      <c r="U45" s="1649">
        <f t="shared" si="13"/>
        <v>100</v>
      </c>
      <c r="V45" s="1648" t="s">
        <v>25</v>
      </c>
      <c r="W45" s="1649">
        <f t="shared" si="14"/>
        <v>100</v>
      </c>
      <c r="X45" s="1650"/>
      <c r="Y45" s="3627"/>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6"/>
      <c r="M46" s="2962"/>
      <c r="N46" s="2962"/>
      <c r="O46" s="2962"/>
      <c r="P46" s="3627"/>
      <c r="Q46" s="2880">
        <f t="shared" si="11"/>
        <v>111</v>
      </c>
      <c r="R46" s="1693" t="s">
        <v>25</v>
      </c>
      <c r="S46" s="1694">
        <f t="shared" si="12"/>
        <v>100</v>
      </c>
      <c r="T46" s="1693" t="s">
        <v>25</v>
      </c>
      <c r="U46" s="1694">
        <f t="shared" si="13"/>
        <v>100</v>
      </c>
      <c r="V46" s="1693" t="s">
        <v>25</v>
      </c>
      <c r="W46" s="1694">
        <f t="shared" si="14"/>
        <v>100</v>
      </c>
      <c r="X46" s="2042"/>
      <c r="Y46" s="3627"/>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6"/>
      <c r="M47" s="2962"/>
      <c r="N47" s="2962"/>
      <c r="O47" s="2962"/>
      <c r="P47" s="3628"/>
      <c r="Q47" s="2880">
        <f t="shared" si="11"/>
        <v>111</v>
      </c>
      <c r="R47" s="1693" t="s">
        <v>25</v>
      </c>
      <c r="S47" s="1694">
        <f t="shared" si="12"/>
        <v>100</v>
      </c>
      <c r="T47" s="1693" t="s">
        <v>25</v>
      </c>
      <c r="U47" s="1694">
        <f t="shared" si="13"/>
        <v>100</v>
      </c>
      <c r="V47" s="1693" t="s">
        <v>25</v>
      </c>
      <c r="W47" s="1694">
        <f t="shared" si="14"/>
        <v>100</v>
      </c>
      <c r="X47" s="2042"/>
      <c r="Y47" s="3628"/>
      <c r="Z47" s="2046">
        <f t="shared" si="15"/>
        <v>111</v>
      </c>
      <c r="AA47" s="2037">
        <f t="shared" si="3"/>
        <v>1</v>
      </c>
      <c r="AB47" s="2037">
        <f t="shared" si="4"/>
        <v>1</v>
      </c>
      <c r="AC47" s="2037">
        <f t="shared" si="5"/>
        <v>1</v>
      </c>
    </row>
    <row r="48" spans="1:29" ht="15">
      <c r="A48" s="1749" t="s">
        <v>2229</v>
      </c>
      <c r="B48" s="1750"/>
      <c r="C48" s="1751" t="s">
        <v>1</v>
      </c>
      <c r="D48" s="1752"/>
      <c r="E48" s="1753">
        <f>ROUND(E51*42999,0)</f>
        <v>41150</v>
      </c>
      <c r="F48" s="1754"/>
      <c r="G48" s="1753">
        <f>ROUND(G51*42005,0)</f>
        <v>40199</v>
      </c>
      <c r="H48" s="1756"/>
      <c r="I48" s="1753">
        <f>ROUND(I51*42996,0)</f>
        <v>41147</v>
      </c>
      <c r="J48" s="1756"/>
      <c r="K48" s="1981"/>
      <c r="L48" s="2967"/>
      <c r="M48" s="2962"/>
      <c r="N48" s="2962"/>
      <c r="O48" s="2962"/>
      <c r="P48" s="3619" t="str">
        <f>A48</f>
        <v>成交单价（元/平方米）</v>
      </c>
      <c r="Q48" s="3619"/>
      <c r="R48" s="3620">
        <f>E48</f>
        <v>41150</v>
      </c>
      <c r="S48" s="3620"/>
      <c r="T48" s="3620">
        <f>G48</f>
        <v>40199</v>
      </c>
      <c r="U48" s="3620"/>
      <c r="V48" s="3620">
        <f>I48</f>
        <v>41147</v>
      </c>
      <c r="W48" s="3620"/>
      <c r="X48" s="1759"/>
      <c r="Y48" s="2041"/>
      <c r="Z48" s="1759"/>
      <c r="AA48" s="1759"/>
      <c r="AB48" s="1759"/>
      <c r="AC48" s="1759"/>
    </row>
    <row r="49" spans="1:29" ht="15.75" thickBot="1">
      <c r="A49" s="1761" t="s">
        <v>2312</v>
      </c>
      <c r="B49" s="1762"/>
      <c r="C49" s="1763" t="e">
        <f>R50</f>
        <v>#DIV/0!</v>
      </c>
      <c r="D49" s="1764" t="s">
        <v>2681</v>
      </c>
      <c r="E49" s="1765" t="e">
        <f>R49</f>
        <v>#DIV/0!</v>
      </c>
      <c r="F49" s="1766"/>
      <c r="G49" s="1763" t="e">
        <f>T49</f>
        <v>#DIV/0!</v>
      </c>
      <c r="H49" s="1766"/>
      <c r="I49" s="1765" t="e">
        <f>V49</f>
        <v>#DIV/0!</v>
      </c>
      <c r="J49" s="1766"/>
      <c r="K49" s="2477">
        <f>F49+H49+J49</f>
        <v>0</v>
      </c>
      <c r="L49" s="2967"/>
      <c r="M49" s="2962"/>
      <c r="N49" s="2962"/>
      <c r="O49" s="2962"/>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59"/>
      <c r="Y49" s="1759"/>
      <c r="Z49" s="1759"/>
      <c r="AA49" s="1759"/>
      <c r="AB49" s="1759"/>
      <c r="AC49" s="1759"/>
    </row>
    <row r="50" spans="1:29" ht="15.75" thickBot="1">
      <c r="A50" s="1767" t="s">
        <v>2335</v>
      </c>
      <c r="B50" s="1768"/>
      <c r="C50" s="1770" t="e">
        <f>R50</f>
        <v>#DIV/0!</v>
      </c>
      <c r="D50" s="1770"/>
      <c r="E50" s="1770"/>
      <c r="F50" s="1770"/>
      <c r="G50" s="1770"/>
      <c r="H50" s="1770"/>
      <c r="I50" s="1770"/>
      <c r="J50" s="1770"/>
      <c r="K50" s="1986"/>
      <c r="L50" s="2967"/>
      <c r="M50" s="2962"/>
      <c r="N50" s="2962"/>
      <c r="O50" s="2962"/>
      <c r="P50" s="3621" t="str">
        <f>A50</f>
        <v>估价对象XX用房的比较价值（楼面单价，元/平方米）</v>
      </c>
      <c r="Q50" s="3622"/>
      <c r="R50" s="3623" t="e">
        <f>IF(E1="售价",ROUND(IF(D49="简单平均",AVERAGE(R49:V49),R49*F49+T49*H49+V49*J49),0),ROUND(IF(D49="简单平均",AVERAGE(R49:V49),R49*F49+T49*H49+V49*J49),1))</f>
        <v>#DIV/0!</v>
      </c>
      <c r="S50" s="3623"/>
      <c r="T50" s="3623"/>
      <c r="U50" s="3623"/>
      <c r="V50" s="3623"/>
      <c r="W50" s="3623"/>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2314</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2315</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2316</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4"/>
      <c r="L55" s="2968"/>
    </row>
    <row r="56" spans="1:29" s="1781" customFormat="1">
      <c r="B56" s="2972"/>
      <c r="C56" s="2973"/>
      <c r="K56" s="2974"/>
      <c r="L56" s="2968"/>
    </row>
    <row r="57" spans="1:29">
      <c r="B57" s="2972"/>
      <c r="C57" s="2973"/>
    </row>
    <row r="58" spans="1:29" ht="21.75" thickBot="1">
      <c r="A58" s="1784" t="s">
        <v>2317</v>
      </c>
      <c r="B58" s="1759"/>
      <c r="C58" s="1785"/>
      <c r="D58" s="1785"/>
      <c r="E58" s="1785"/>
      <c r="F58" s="1785"/>
      <c r="G58" s="1785"/>
      <c r="H58" s="1785"/>
      <c r="I58" s="1785"/>
      <c r="J58" s="1785"/>
      <c r="K58" s="1786"/>
      <c r="L58" s="1787"/>
      <c r="M58" s="1785"/>
      <c r="N58" s="2970"/>
      <c r="O58" s="2970"/>
      <c r="P58" s="2013"/>
      <c r="Q58" s="1789"/>
    </row>
    <row r="59" spans="1:29" s="1795" customFormat="1" ht="15">
      <c r="A59" s="1790" t="s">
        <v>2199</v>
      </c>
      <c r="B59" s="1791"/>
      <c r="C59" s="1792" t="str">
        <f>YEAR(C7)&amp;"-"&amp;MONTH(C7)</f>
        <v>2022-6</v>
      </c>
      <c r="D59" s="1793">
        <f>EDATE(C59,-1)</f>
        <v>44682</v>
      </c>
      <c r="E59" s="1793">
        <f t="shared" ref="E59:O59" si="16">EDATE(D59,-1)</f>
        <v>44652</v>
      </c>
      <c r="F59" s="1793">
        <f t="shared" si="16"/>
        <v>44621</v>
      </c>
      <c r="G59" s="1793">
        <f t="shared" si="16"/>
        <v>44593</v>
      </c>
      <c r="H59" s="1793">
        <f t="shared" si="16"/>
        <v>44562</v>
      </c>
      <c r="I59" s="1793">
        <f t="shared" si="16"/>
        <v>44531</v>
      </c>
      <c r="J59" s="1793">
        <f t="shared" si="16"/>
        <v>44501</v>
      </c>
      <c r="K59" s="1793">
        <f t="shared" si="16"/>
        <v>44470</v>
      </c>
      <c r="L59" s="1793">
        <f t="shared" si="16"/>
        <v>44440</v>
      </c>
      <c r="M59" s="1793">
        <f t="shared" si="16"/>
        <v>44409</v>
      </c>
      <c r="N59" s="1793">
        <f t="shared" si="16"/>
        <v>44378</v>
      </c>
      <c r="O59" s="1793">
        <f t="shared" si="16"/>
        <v>44348</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1"/>
      <c r="P61" s="1789"/>
      <c r="Q61" s="1789"/>
    </row>
    <row r="62" spans="1:29" s="1652" customFormat="1" ht="15">
      <c r="A62" s="1807" t="s">
        <v>2201</v>
      </c>
      <c r="B62" s="1797"/>
      <c r="C62" s="1808" t="s">
        <v>2202</v>
      </c>
      <c r="D62" s="409"/>
      <c r="E62" s="409"/>
      <c r="F62" s="409"/>
      <c r="G62" s="409"/>
      <c r="H62" s="409"/>
      <c r="I62" s="409"/>
      <c r="J62" s="409"/>
      <c r="K62" s="409"/>
      <c r="L62" s="409"/>
      <c r="M62" s="1809"/>
      <c r="N62" s="2979"/>
      <c r="O62" s="2979"/>
      <c r="P62" s="2024"/>
      <c r="Q62" s="1789"/>
    </row>
    <row r="63" spans="1:29" s="1652" customFormat="1" ht="15.75" thickBot="1">
      <c r="A63" s="1807"/>
      <c r="B63" s="1797"/>
      <c r="C63" s="1812">
        <v>100</v>
      </c>
      <c r="D63" s="1799"/>
      <c r="E63" s="1799"/>
      <c r="F63" s="1799"/>
      <c r="G63" s="1799"/>
      <c r="H63" s="1799"/>
      <c r="I63" s="1799"/>
      <c r="J63" s="1799"/>
      <c r="K63" s="1799"/>
      <c r="L63" s="1799"/>
      <c r="M63" s="1813"/>
      <c r="N63" s="2979"/>
      <c r="O63" s="2979"/>
      <c r="P63" s="1789"/>
      <c r="Q63" s="1789"/>
    </row>
    <row r="64" spans="1:29">
      <c r="A64" s="1814" t="s">
        <v>2240</v>
      </c>
      <c r="B64" s="1815" t="s">
        <v>2205</v>
      </c>
      <c r="C64" s="1816" t="str">
        <f>C9</f>
        <v>办公</v>
      </c>
      <c r="D64" s="1817"/>
      <c r="E64" s="1817"/>
      <c r="F64" s="1817"/>
      <c r="G64" s="1817"/>
      <c r="H64" s="1817"/>
      <c r="I64" s="1817"/>
      <c r="J64" s="1817"/>
      <c r="K64" s="417"/>
      <c r="L64" s="417"/>
      <c r="M64" s="1818"/>
      <c r="N64" s="2980"/>
      <c r="O64" s="2980"/>
      <c r="P64" s="2025"/>
      <c r="Q64" s="1789"/>
    </row>
    <row r="65" spans="1:17" ht="15.75" thickBot="1">
      <c r="A65" s="1821"/>
      <c r="B65" s="1822"/>
      <c r="C65" s="1823">
        <v>100</v>
      </c>
      <c r="D65" s="1823"/>
      <c r="E65" s="1823"/>
      <c r="F65" s="1823"/>
      <c r="G65" s="1823"/>
      <c r="H65" s="1823"/>
      <c r="I65" s="1823"/>
      <c r="J65" s="1823"/>
      <c r="K65" s="1823"/>
      <c r="L65" s="1823"/>
      <c r="M65" s="1824"/>
      <c r="N65" s="2981"/>
      <c r="O65" s="2981"/>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0"/>
      <c r="O66" s="2980"/>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1"/>
      <c r="O67" s="2981"/>
      <c r="P67" s="2025"/>
      <c r="Q67" s="1789"/>
    </row>
    <row r="68" spans="1:17" ht="15.75" thickTop="1">
      <c r="A68" s="1821"/>
      <c r="B68" s="1832" t="s">
        <v>2209</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1"/>
      <c r="O68" s="2981"/>
      <c r="P68" s="2025"/>
      <c r="Q68" s="1789"/>
    </row>
    <row r="69" spans="1:17" ht="15">
      <c r="A69" s="1821"/>
      <c r="B69" s="1834"/>
      <c r="C69" s="436">
        <v>1</v>
      </c>
      <c r="D69" s="436">
        <v>2</v>
      </c>
      <c r="E69" s="436">
        <v>3</v>
      </c>
      <c r="F69" s="436">
        <v>4</v>
      </c>
      <c r="G69" s="436">
        <v>5</v>
      </c>
      <c r="H69" s="1835"/>
      <c r="I69" s="1835"/>
      <c r="J69" s="1835"/>
      <c r="K69" s="438"/>
      <c r="L69" s="438"/>
      <c r="M69" s="1836"/>
      <c r="N69" s="2980"/>
      <c r="O69" s="2980"/>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1"/>
      <c r="O70" s="2981"/>
      <c r="P70" s="2025"/>
      <c r="Q70" s="1789"/>
    </row>
    <row r="71" spans="1:17" s="1739" customFormat="1" ht="15.75" thickTop="1">
      <c r="A71" s="1837"/>
      <c r="B71" s="1826">
        <f>B12</f>
        <v>111</v>
      </c>
      <c r="C71" s="468"/>
      <c r="D71" s="468"/>
      <c r="E71" s="468"/>
      <c r="F71" s="468"/>
      <c r="G71" s="468"/>
      <c r="H71" s="443"/>
      <c r="I71" s="443"/>
      <c r="J71" s="443"/>
      <c r="K71" s="443"/>
      <c r="L71" s="443"/>
      <c r="M71" s="1838"/>
      <c r="N71" s="2982"/>
      <c r="O71" s="2982"/>
      <c r="P71" s="2026"/>
      <c r="Q71" s="1841"/>
    </row>
    <row r="72" spans="1:17" s="1739" customFormat="1" ht="15.75" thickBot="1">
      <c r="A72" s="1837"/>
      <c r="B72" s="1829"/>
      <c r="C72" s="1842"/>
      <c r="D72" s="1823"/>
      <c r="E72" s="1823"/>
      <c r="F72" s="1823"/>
      <c r="G72" s="1823"/>
      <c r="H72" s="1823"/>
      <c r="I72" s="1823"/>
      <c r="J72" s="1823"/>
      <c r="K72" s="1823"/>
      <c r="L72" s="1823"/>
      <c r="M72" s="1824"/>
      <c r="N72" s="2981"/>
      <c r="O72" s="2981"/>
      <c r="P72" s="2026"/>
      <c r="Q72" s="1841"/>
    </row>
    <row r="73" spans="1:17" s="1739" customFormat="1" ht="15.75" thickTop="1">
      <c r="A73" s="1837"/>
      <c r="B73" s="1826">
        <f>B13</f>
        <v>111</v>
      </c>
      <c r="C73" s="468"/>
      <c r="D73" s="468"/>
      <c r="E73" s="468"/>
      <c r="F73" s="468"/>
      <c r="G73" s="468"/>
      <c r="H73" s="443"/>
      <c r="I73" s="443"/>
      <c r="J73" s="443"/>
      <c r="K73" s="443"/>
      <c r="L73" s="443"/>
      <c r="M73" s="1838"/>
      <c r="N73" s="2982"/>
      <c r="O73" s="2982"/>
      <c r="P73" s="2027"/>
      <c r="Q73" s="1844"/>
    </row>
    <row r="74" spans="1:17" s="1739" customFormat="1" ht="15.75" thickBot="1">
      <c r="A74" s="1837"/>
      <c r="B74" s="1829"/>
      <c r="C74" s="1842"/>
      <c r="D74" s="1842"/>
      <c r="E74" s="1842"/>
      <c r="F74" s="1842"/>
      <c r="G74" s="1842"/>
      <c r="H74" s="1845"/>
      <c r="I74" s="1845"/>
      <c r="J74" s="1845"/>
      <c r="K74" s="1845"/>
      <c r="L74" s="1845"/>
      <c r="M74" s="1846"/>
      <c r="N74" s="2982"/>
      <c r="O74" s="2982"/>
      <c r="P74" s="2026"/>
      <c r="Q74" s="1841"/>
    </row>
    <row r="75" spans="1:17" s="1739" customFormat="1" ht="15.75" thickTop="1">
      <c r="A75" s="1837"/>
      <c r="B75" s="1832">
        <f>B14</f>
        <v>111</v>
      </c>
      <c r="C75" s="409"/>
      <c r="D75" s="409"/>
      <c r="E75" s="409"/>
      <c r="F75" s="409"/>
      <c r="G75" s="409"/>
      <c r="H75" s="453"/>
      <c r="I75" s="453"/>
      <c r="J75" s="453"/>
      <c r="K75" s="453"/>
      <c r="L75" s="453"/>
      <c r="M75" s="1847"/>
      <c r="N75" s="2982"/>
      <c r="O75" s="2982"/>
      <c r="P75" s="2026"/>
      <c r="Q75" s="1841"/>
    </row>
    <row r="76" spans="1:17" s="1739" customFormat="1" ht="15.75" thickBot="1">
      <c r="A76" s="1848"/>
      <c r="B76" s="1849"/>
      <c r="C76" s="1850"/>
      <c r="D76" s="1850"/>
      <c r="E76" s="1850"/>
      <c r="F76" s="1850"/>
      <c r="G76" s="1850"/>
      <c r="H76" s="1851"/>
      <c r="I76" s="1851"/>
      <c r="J76" s="1851"/>
      <c r="K76" s="1851"/>
      <c r="L76" s="1851"/>
      <c r="M76" s="1852"/>
      <c r="N76" s="2982"/>
      <c r="O76" s="2982"/>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0"/>
      <c r="O77" s="2980"/>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1"/>
      <c r="O78" s="2981"/>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0"/>
      <c r="O79" s="2980"/>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1"/>
      <c r="O80" s="2981"/>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0"/>
      <c r="O81" s="2980"/>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1"/>
      <c r="O82" s="2981"/>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1"/>
      <c r="O83" s="2981"/>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1"/>
      <c r="O84" s="2981"/>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0"/>
      <c r="O85" s="2980"/>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1"/>
      <c r="O86" s="2981"/>
      <c r="P86" s="2025"/>
      <c r="Q86" s="1789"/>
    </row>
    <row r="87" spans="1:17" s="1652" customFormat="1" ht="27.75" thickTop="1">
      <c r="A87" s="1857"/>
      <c r="B87" s="1826" t="s">
        <v>2338</v>
      </c>
      <c r="C87" s="3327" t="s">
        <v>3015</v>
      </c>
      <c r="D87" s="3327" t="s">
        <v>3016</v>
      </c>
      <c r="E87" s="3327" t="s">
        <v>3017</v>
      </c>
      <c r="F87" s="3327" t="s">
        <v>3018</v>
      </c>
      <c r="G87" s="3327" t="s">
        <v>3019</v>
      </c>
      <c r="H87" s="468"/>
      <c r="I87" s="468"/>
      <c r="J87" s="468"/>
      <c r="K87" s="468"/>
      <c r="L87" s="468"/>
      <c r="M87" s="1858"/>
      <c r="N87" s="2979"/>
      <c r="O87" s="2979"/>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1"/>
      <c r="O88" s="2981"/>
      <c r="P88" s="2025"/>
      <c r="Q88" s="1789"/>
    </row>
    <row r="89" spans="1:17" s="1652" customFormat="1" ht="15.75" thickTop="1">
      <c r="A89" s="1857"/>
      <c r="B89" s="1826" t="str">
        <f>B27</f>
        <v>楼层</v>
      </c>
      <c r="C89" s="3327" t="s">
        <v>3020</v>
      </c>
      <c r="D89" s="3327" t="s">
        <v>3021</v>
      </c>
      <c r="E89" s="3327" t="s">
        <v>3022</v>
      </c>
      <c r="F89" s="1860"/>
      <c r="G89" s="468"/>
      <c r="H89" s="468"/>
      <c r="I89" s="468"/>
      <c r="J89" s="468"/>
      <c r="K89" s="468"/>
      <c r="L89" s="468"/>
      <c r="M89" s="1858"/>
      <c r="N89" s="2979"/>
      <c r="O89" s="2979"/>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1"/>
      <c r="O90" s="2981"/>
      <c r="P90" s="2025"/>
      <c r="Q90" s="1789"/>
    </row>
    <row r="91" spans="1:17" s="1739" customFormat="1" ht="15.75" thickTop="1">
      <c r="A91" s="1837"/>
      <c r="B91" s="1826" t="str">
        <f>B28</f>
        <v>朝向</v>
      </c>
      <c r="C91" s="468"/>
      <c r="D91" s="468"/>
      <c r="E91" s="468"/>
      <c r="F91" s="468"/>
      <c r="G91" s="468"/>
      <c r="H91" s="443"/>
      <c r="I91" s="443"/>
      <c r="J91" s="443"/>
      <c r="K91" s="443"/>
      <c r="L91" s="443"/>
      <c r="M91" s="1838"/>
      <c r="N91" s="2982"/>
      <c r="O91" s="2982"/>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2"/>
      <c r="O92" s="2982"/>
      <c r="P92" s="2026"/>
      <c r="Q92" s="1841"/>
    </row>
    <row r="93" spans="1:17" ht="15.75" thickTop="1">
      <c r="A93" s="1821"/>
      <c r="B93" s="1826">
        <f>B29</f>
        <v>111</v>
      </c>
      <c r="C93" s="468"/>
      <c r="D93" s="468"/>
      <c r="E93" s="468"/>
      <c r="F93" s="468"/>
      <c r="G93" s="468"/>
      <c r="H93" s="468"/>
      <c r="I93" s="468"/>
      <c r="J93" s="468"/>
      <c r="K93" s="468"/>
      <c r="L93" s="468"/>
      <c r="M93" s="1858"/>
      <c r="N93" s="2980"/>
      <c r="O93" s="2980"/>
      <c r="P93" s="2025"/>
      <c r="Q93" s="1789"/>
    </row>
    <row r="94" spans="1:17" ht="15.75" thickBot="1">
      <c r="A94" s="1821"/>
      <c r="B94" s="1829"/>
      <c r="C94" s="1842"/>
      <c r="D94" s="1823"/>
      <c r="E94" s="1823"/>
      <c r="F94" s="1823"/>
      <c r="G94" s="1823"/>
      <c r="H94" s="1823"/>
      <c r="I94" s="1823"/>
      <c r="J94" s="1823"/>
      <c r="K94" s="1823"/>
      <c r="L94" s="1823"/>
      <c r="M94" s="1824"/>
      <c r="N94" s="2981"/>
      <c r="O94" s="2981"/>
      <c r="P94" s="2025"/>
      <c r="Q94" s="1789"/>
    </row>
    <row r="95" spans="1:17" ht="15.75" thickTop="1">
      <c r="A95" s="1821"/>
      <c r="B95" s="1826">
        <f>B30</f>
        <v>111</v>
      </c>
      <c r="C95" s="468"/>
      <c r="D95" s="468"/>
      <c r="E95" s="468"/>
      <c r="F95" s="468"/>
      <c r="G95" s="1545"/>
      <c r="H95" s="1545"/>
      <c r="I95" s="1545"/>
      <c r="J95" s="1545"/>
      <c r="K95" s="473"/>
      <c r="L95" s="473"/>
      <c r="M95" s="1861"/>
      <c r="N95" s="2980"/>
      <c r="O95" s="2980"/>
      <c r="P95" s="2025"/>
      <c r="Q95" s="1789"/>
    </row>
    <row r="96" spans="1:17" ht="15.75" thickBot="1">
      <c r="A96" s="1821"/>
      <c r="B96" s="1829"/>
      <c r="C96" s="1842"/>
      <c r="D96" s="1842"/>
      <c r="E96" s="1842"/>
      <c r="F96" s="1842"/>
      <c r="G96" s="1823"/>
      <c r="H96" s="1823"/>
      <c r="I96" s="1823"/>
      <c r="J96" s="1823"/>
      <c r="K96" s="1823"/>
      <c r="L96" s="1823"/>
      <c r="M96" s="1824"/>
      <c r="N96" s="2981"/>
      <c r="O96" s="2981"/>
      <c r="P96" s="2025"/>
      <c r="Q96" s="1789"/>
    </row>
    <row r="97" spans="1:17" ht="15.75" thickTop="1">
      <c r="A97" s="1821"/>
      <c r="B97" s="1826">
        <f>B31</f>
        <v>111</v>
      </c>
      <c r="C97" s="468"/>
      <c r="D97" s="468"/>
      <c r="E97" s="468"/>
      <c r="F97" s="468"/>
      <c r="G97" s="1545"/>
      <c r="H97" s="1545"/>
      <c r="I97" s="1545"/>
      <c r="J97" s="1545"/>
      <c r="K97" s="473"/>
      <c r="L97" s="473"/>
      <c r="M97" s="1861"/>
      <c r="N97" s="2980"/>
      <c r="O97" s="2980"/>
      <c r="P97" s="2025"/>
      <c r="Q97" s="1789"/>
    </row>
    <row r="98" spans="1:17" ht="15.75" thickBot="1">
      <c r="A98" s="1821"/>
      <c r="B98" s="1829"/>
      <c r="C98" s="1842"/>
      <c r="D98" s="1823"/>
      <c r="E98" s="1823"/>
      <c r="F98" s="1823"/>
      <c r="G98" s="1823"/>
      <c r="H98" s="1823"/>
      <c r="I98" s="1823"/>
      <c r="J98" s="1823"/>
      <c r="K98" s="1823"/>
      <c r="L98" s="1823"/>
      <c r="M98" s="1824"/>
      <c r="N98" s="2981"/>
      <c r="O98" s="2981"/>
      <c r="P98" s="2025"/>
      <c r="Q98" s="1789"/>
    </row>
    <row r="99" spans="1:17" ht="15.75" thickTop="1">
      <c r="A99" s="1821"/>
      <c r="B99" s="1832">
        <f>B32</f>
        <v>111</v>
      </c>
      <c r="C99" s="409"/>
      <c r="D99" s="409"/>
      <c r="E99" s="409"/>
      <c r="F99" s="409"/>
      <c r="G99" s="1862"/>
      <c r="H99" s="1862"/>
      <c r="I99" s="1862"/>
      <c r="J99" s="1862"/>
      <c r="K99" s="477"/>
      <c r="L99" s="477"/>
      <c r="M99" s="1863"/>
      <c r="N99" s="2980"/>
      <c r="O99" s="2980"/>
      <c r="P99" s="2025"/>
      <c r="Q99" s="1789"/>
    </row>
    <row r="100" spans="1:17" ht="15.75" thickBot="1">
      <c r="A100" s="1864"/>
      <c r="B100" s="1849"/>
      <c r="C100" s="1850"/>
      <c r="D100" s="1850"/>
      <c r="E100" s="1850"/>
      <c r="F100" s="1850"/>
      <c r="G100" s="1865"/>
      <c r="H100" s="1865"/>
      <c r="I100" s="1865"/>
      <c r="J100" s="1865"/>
      <c r="K100" s="1865"/>
      <c r="L100" s="1865"/>
      <c r="M100" s="1866"/>
      <c r="N100" s="2981"/>
      <c r="O100" s="2981"/>
      <c r="P100" s="2025"/>
      <c r="Q100" s="1789"/>
    </row>
    <row r="101" spans="1:17">
      <c r="A101" s="1814" t="s">
        <v>2215</v>
      </c>
      <c r="B101" s="1815" t="s">
        <v>2264</v>
      </c>
      <c r="C101" s="3328" t="s">
        <v>3023</v>
      </c>
      <c r="D101" s="3328" t="s">
        <v>3024</v>
      </c>
      <c r="E101" s="3328" t="s">
        <v>3025</v>
      </c>
      <c r="F101" s="3328" t="s">
        <v>3026</v>
      </c>
      <c r="G101" s="3328" t="s">
        <v>3027</v>
      </c>
      <c r="H101" s="3328" t="s">
        <v>3028</v>
      </c>
      <c r="I101" s="1817"/>
      <c r="J101" s="1817"/>
      <c r="K101" s="417"/>
      <c r="L101" s="417"/>
      <c r="M101" s="1818"/>
      <c r="N101" s="2980"/>
      <c r="O101" s="2980"/>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1"/>
      <c r="O102" s="2981"/>
      <c r="P102" s="2025"/>
      <c r="Q102" s="1789"/>
    </row>
    <row r="103" spans="1:17" ht="29.25" thickTop="1">
      <c r="A103" s="1821"/>
      <c r="B103" s="1826" t="s">
        <v>2265</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79"/>
      <c r="O103" s="2979"/>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2"/>
      <c r="O104" s="2982"/>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1"/>
      <c r="O105" s="2981"/>
      <c r="P105" s="2026"/>
      <c r="Q105" s="1841"/>
    </row>
    <row r="106" spans="1:17" ht="15" thickTop="1">
      <c r="A106" s="1871"/>
      <c r="B106" s="1826" t="s">
        <v>2266</v>
      </c>
      <c r="C106" s="3327" t="s">
        <v>3029</v>
      </c>
      <c r="D106" s="3327" t="s">
        <v>3030</v>
      </c>
      <c r="E106" s="3329" t="s">
        <v>3031</v>
      </c>
      <c r="F106" s="1545"/>
      <c r="G106" s="1545"/>
      <c r="H106" s="1545"/>
      <c r="I106" s="1545"/>
      <c r="J106" s="1545"/>
      <c r="K106" s="473"/>
      <c r="L106" s="473"/>
      <c r="M106" s="1861"/>
      <c r="N106" s="2980"/>
      <c r="O106" s="2980"/>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1"/>
      <c r="O107" s="2981"/>
      <c r="P107" s="2025"/>
      <c r="Q107" s="1789"/>
    </row>
    <row r="108" spans="1:17" ht="15" thickTop="1">
      <c r="A108" s="1871"/>
      <c r="B108" s="1826" t="s">
        <v>2268</v>
      </c>
      <c r="C108" s="3327" t="s">
        <v>3032</v>
      </c>
      <c r="D108" s="3327" t="s">
        <v>3033</v>
      </c>
      <c r="E108" s="3327" t="s">
        <v>3034</v>
      </c>
      <c r="F108" s="3329" t="s">
        <v>3035</v>
      </c>
      <c r="G108" s="1545"/>
      <c r="H108" s="1545"/>
      <c r="I108" s="1545"/>
      <c r="J108" s="1545"/>
      <c r="K108" s="473"/>
      <c r="L108" s="473"/>
      <c r="M108" s="1861"/>
      <c r="N108" s="2980"/>
      <c r="O108" s="2980"/>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1"/>
      <c r="O109" s="2981"/>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0"/>
      <c r="O110" s="2980"/>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0"/>
      <c r="O111" s="2980"/>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1"/>
      <c r="O112" s="2981"/>
      <c r="P112" s="2025"/>
      <c r="Q112" s="1789"/>
    </row>
    <row r="113" spans="1:17" s="1739" customFormat="1" ht="15" thickTop="1">
      <c r="A113" s="1867"/>
      <c r="B113" s="1826" t="s">
        <v>2339</v>
      </c>
      <c r="C113" s="3327" t="s">
        <v>3036</v>
      </c>
      <c r="D113" s="468"/>
      <c r="E113" s="468"/>
      <c r="F113" s="468"/>
      <c r="G113" s="468"/>
      <c r="H113" s="1545"/>
      <c r="I113" s="1545"/>
      <c r="J113" s="1545"/>
      <c r="K113" s="473"/>
      <c r="L113" s="473"/>
      <c r="M113" s="1861"/>
      <c r="N113" s="2982"/>
      <c r="O113" s="2982"/>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2"/>
      <c r="O114" s="2982"/>
      <c r="P114" s="2026"/>
      <c r="Q114" s="1841"/>
    </row>
    <row r="115" spans="1:17" ht="15" thickTop="1">
      <c r="A115" s="1871"/>
      <c r="B115" s="1826" t="s">
        <v>2270</v>
      </c>
      <c r="C115" s="3327" t="s">
        <v>3037</v>
      </c>
      <c r="D115" s="468"/>
      <c r="E115" s="1545"/>
      <c r="F115" s="1545"/>
      <c r="G115" s="1545"/>
      <c r="H115" s="1545"/>
      <c r="I115" s="1545"/>
      <c r="J115" s="1545"/>
      <c r="K115" s="473"/>
      <c r="L115" s="473"/>
      <c r="M115" s="1861"/>
      <c r="N115" s="2980"/>
      <c r="O115" s="2980"/>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1"/>
      <c r="O116" s="2981"/>
      <c r="P116" s="2025"/>
      <c r="Q116" s="1789"/>
    </row>
    <row r="117" spans="1:17" ht="15" thickTop="1">
      <c r="A117" s="1871"/>
      <c r="B117" s="1826" t="s">
        <v>2271</v>
      </c>
      <c r="C117" s="3327" t="s">
        <v>3038</v>
      </c>
      <c r="D117" s="3327" t="s">
        <v>3039</v>
      </c>
      <c r="E117" s="3327" t="s">
        <v>3040</v>
      </c>
      <c r="F117" s="3327" t="s">
        <v>3041</v>
      </c>
      <c r="G117" s="3327" t="s">
        <v>3042</v>
      </c>
      <c r="H117" s="1545"/>
      <c r="I117" s="1545"/>
      <c r="J117" s="1545"/>
      <c r="K117" s="473"/>
      <c r="L117" s="473"/>
      <c r="M117" s="1861"/>
      <c r="N117" s="2980"/>
      <c r="O117" s="2980"/>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1"/>
      <c r="O118" s="2981"/>
      <c r="P118" s="2025"/>
      <c r="Q118" s="1789"/>
    </row>
    <row r="119" spans="1:17" ht="15" thickTop="1">
      <c r="A119" s="1871"/>
      <c r="B119" s="2472" t="s">
        <v>2340</v>
      </c>
      <c r="C119" s="3329" t="s">
        <v>3043</v>
      </c>
      <c r="D119" s="3329" t="s">
        <v>3044</v>
      </c>
      <c r="E119" s="1545"/>
      <c r="F119" s="1545"/>
      <c r="G119" s="1545"/>
      <c r="H119" s="1545"/>
      <c r="I119" s="1545"/>
      <c r="J119" s="1545"/>
      <c r="K119" s="1545"/>
      <c r="L119" s="1545"/>
      <c r="M119" s="2473"/>
      <c r="N119" s="2981"/>
      <c r="O119" s="2981"/>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1"/>
      <c r="O120" s="2981"/>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2"/>
      <c r="O121" s="2982"/>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2"/>
      <c r="O122" s="2982"/>
      <c r="P122" s="2026"/>
      <c r="Q122" s="1841"/>
    </row>
    <row r="123" spans="1:17" ht="15" thickTop="1">
      <c r="A123" s="1871"/>
      <c r="B123" s="1826" t="s">
        <v>2273</v>
      </c>
      <c r="C123" s="3327" t="s">
        <v>3032</v>
      </c>
      <c r="D123" s="3327" t="s">
        <v>3033</v>
      </c>
      <c r="E123" s="3327" t="s">
        <v>3034</v>
      </c>
      <c r="F123" s="3329" t="s">
        <v>3035</v>
      </c>
      <c r="G123" s="1545"/>
      <c r="H123" s="1545"/>
      <c r="I123" s="1545"/>
      <c r="J123" s="1545"/>
      <c r="K123" s="473"/>
      <c r="L123" s="473"/>
      <c r="M123" s="1861"/>
      <c r="N123" s="2980"/>
      <c r="O123" s="2980"/>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1"/>
      <c r="O124" s="2981"/>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0"/>
      <c r="O125" s="2980"/>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1"/>
      <c r="O126" s="2981"/>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2"/>
      <c r="O127" s="2982"/>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2"/>
      <c r="O128" s="2982"/>
      <c r="P128" s="2026"/>
      <c r="Q128" s="1841"/>
    </row>
    <row r="129" spans="1:17" ht="15" thickTop="1">
      <c r="A129" s="1871"/>
      <c r="B129" s="1826">
        <f>B46</f>
        <v>111</v>
      </c>
      <c r="C129" s="468"/>
      <c r="D129" s="468"/>
      <c r="E129" s="468"/>
      <c r="F129" s="468"/>
      <c r="G129" s="1545"/>
      <c r="H129" s="1545"/>
      <c r="I129" s="1545"/>
      <c r="J129" s="1545"/>
      <c r="K129" s="473"/>
      <c r="L129" s="473"/>
      <c r="M129" s="1861"/>
      <c r="N129" s="2980"/>
      <c r="O129" s="2980"/>
      <c r="P129" s="2025"/>
      <c r="Q129" s="1789"/>
    </row>
    <row r="130" spans="1:17" ht="15.75" thickBot="1">
      <c r="A130" s="1821"/>
      <c r="B130" s="1829"/>
      <c r="C130" s="1842"/>
      <c r="D130" s="1842"/>
      <c r="E130" s="1842"/>
      <c r="F130" s="1842"/>
      <c r="G130" s="1823"/>
      <c r="H130" s="1823"/>
      <c r="I130" s="1823"/>
      <c r="J130" s="1823"/>
      <c r="K130" s="1823"/>
      <c r="L130" s="1823"/>
      <c r="M130" s="1824"/>
      <c r="N130" s="2981"/>
      <c r="O130" s="2981"/>
      <c r="P130" s="2025"/>
      <c r="Q130" s="1789"/>
    </row>
    <row r="131" spans="1:17" ht="15" thickTop="1">
      <c r="A131" s="1871"/>
      <c r="B131" s="1832">
        <f>B47</f>
        <v>111</v>
      </c>
      <c r="C131" s="409"/>
      <c r="D131" s="409"/>
      <c r="E131" s="409"/>
      <c r="F131" s="409"/>
      <c r="G131" s="1862"/>
      <c r="H131" s="1862"/>
      <c r="I131" s="1862"/>
      <c r="J131" s="1862"/>
      <c r="K131" s="409"/>
      <c r="L131" s="409"/>
      <c r="M131" s="1863"/>
      <c r="N131" s="2980"/>
      <c r="O131" s="2980"/>
      <c r="P131" s="2025"/>
      <c r="Q131" s="1789"/>
    </row>
    <row r="132" spans="1:17" ht="15.75" thickBot="1">
      <c r="A132" s="2476"/>
      <c r="B132" s="1849"/>
      <c r="C132" s="1850"/>
      <c r="D132" s="1850"/>
      <c r="E132" s="1850"/>
      <c r="F132" s="1850"/>
      <c r="G132" s="1865"/>
      <c r="H132" s="1865"/>
      <c r="I132" s="1865"/>
      <c r="J132" s="1865"/>
      <c r="K132" s="1865"/>
      <c r="L132" s="1865"/>
      <c r="M132" s="1866"/>
      <c r="N132" s="2981"/>
      <c r="O132" s="2981"/>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75" style="3306" customWidth="1"/>
    <col min="11" max="11" width="11.75" style="3306" customWidth="1"/>
    <col min="12" max="13" width="10.7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75" style="3132" customWidth="1"/>
    <col min="267" max="267" width="11.75" style="3132" customWidth="1"/>
    <col min="268" max="269" width="10.7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75" style="3132" customWidth="1"/>
    <col min="523" max="523" width="11.75" style="3132" customWidth="1"/>
    <col min="524" max="525" width="10.7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75" style="3132" customWidth="1"/>
    <col min="779" max="779" width="11.75" style="3132" customWidth="1"/>
    <col min="780" max="781" width="10.7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75" style="3132" customWidth="1"/>
    <col min="1035" max="1035" width="11.75" style="3132" customWidth="1"/>
    <col min="1036" max="1037" width="10.7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75" style="3132" customWidth="1"/>
    <col min="1291" max="1291" width="11.75" style="3132" customWidth="1"/>
    <col min="1292" max="1293" width="10.7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75" style="3132" customWidth="1"/>
    <col min="1547" max="1547" width="11.75" style="3132" customWidth="1"/>
    <col min="1548" max="1549" width="10.7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75" style="3132" customWidth="1"/>
    <col min="1803" max="1803" width="11.75" style="3132" customWidth="1"/>
    <col min="1804" max="1805" width="10.7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75" style="3132" customWidth="1"/>
    <col min="2059" max="2059" width="11.75" style="3132" customWidth="1"/>
    <col min="2060" max="2061" width="10.7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75" style="3132" customWidth="1"/>
    <col min="2315" max="2315" width="11.75" style="3132" customWidth="1"/>
    <col min="2316" max="2317" width="10.7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75" style="3132" customWidth="1"/>
    <col min="2571" max="2571" width="11.75" style="3132" customWidth="1"/>
    <col min="2572" max="2573" width="10.7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75" style="3132" customWidth="1"/>
    <col min="2827" max="2827" width="11.75" style="3132" customWidth="1"/>
    <col min="2828" max="2829" width="10.7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75" style="3132" customWidth="1"/>
    <col min="3083" max="3083" width="11.75" style="3132" customWidth="1"/>
    <col min="3084" max="3085" width="10.7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75" style="3132" customWidth="1"/>
    <col min="3339" max="3339" width="11.75" style="3132" customWidth="1"/>
    <col min="3340" max="3341" width="10.7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75" style="3132" customWidth="1"/>
    <col min="3595" max="3595" width="11.75" style="3132" customWidth="1"/>
    <col min="3596" max="3597" width="10.7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75" style="3132" customWidth="1"/>
    <col min="3851" max="3851" width="11.75" style="3132" customWidth="1"/>
    <col min="3852" max="3853" width="10.7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75" style="3132" customWidth="1"/>
    <col min="4107" max="4107" width="11.75" style="3132" customWidth="1"/>
    <col min="4108" max="4109" width="10.7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75" style="3132" customWidth="1"/>
    <col min="4363" max="4363" width="11.75" style="3132" customWidth="1"/>
    <col min="4364" max="4365" width="10.7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75" style="3132" customWidth="1"/>
    <col min="4619" max="4619" width="11.75" style="3132" customWidth="1"/>
    <col min="4620" max="4621" width="10.7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75" style="3132" customWidth="1"/>
    <col min="4875" max="4875" width="11.75" style="3132" customWidth="1"/>
    <col min="4876" max="4877" width="10.7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75" style="3132" customWidth="1"/>
    <col min="5131" max="5131" width="11.75" style="3132" customWidth="1"/>
    <col min="5132" max="5133" width="10.7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75" style="3132" customWidth="1"/>
    <col min="5387" max="5387" width="11.75" style="3132" customWidth="1"/>
    <col min="5388" max="5389" width="10.7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75" style="3132" customWidth="1"/>
    <col min="5643" max="5643" width="11.75" style="3132" customWidth="1"/>
    <col min="5644" max="5645" width="10.7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75" style="3132" customWidth="1"/>
    <col min="5899" max="5899" width="11.75" style="3132" customWidth="1"/>
    <col min="5900" max="5901" width="10.7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75" style="3132" customWidth="1"/>
    <col min="6155" max="6155" width="11.75" style="3132" customWidth="1"/>
    <col min="6156" max="6157" width="10.7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75" style="3132" customWidth="1"/>
    <col min="6411" max="6411" width="11.75" style="3132" customWidth="1"/>
    <col min="6412" max="6413" width="10.7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75" style="3132" customWidth="1"/>
    <col min="6667" max="6667" width="11.75" style="3132" customWidth="1"/>
    <col min="6668" max="6669" width="10.7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75" style="3132" customWidth="1"/>
    <col min="6923" max="6923" width="11.75" style="3132" customWidth="1"/>
    <col min="6924" max="6925" width="10.7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75" style="3132" customWidth="1"/>
    <col min="7179" max="7179" width="11.75" style="3132" customWidth="1"/>
    <col min="7180" max="7181" width="10.7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75" style="3132" customWidth="1"/>
    <col min="7435" max="7435" width="11.75" style="3132" customWidth="1"/>
    <col min="7436" max="7437" width="10.7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75" style="3132" customWidth="1"/>
    <col min="7691" max="7691" width="11.75" style="3132" customWidth="1"/>
    <col min="7692" max="7693" width="10.7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75" style="3132" customWidth="1"/>
    <col min="7947" max="7947" width="11.75" style="3132" customWidth="1"/>
    <col min="7948" max="7949" width="10.7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75" style="3132" customWidth="1"/>
    <col min="8203" max="8203" width="11.75" style="3132" customWidth="1"/>
    <col min="8204" max="8205" width="10.7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75" style="3132" customWidth="1"/>
    <col min="8459" max="8459" width="11.75" style="3132" customWidth="1"/>
    <col min="8460" max="8461" width="10.7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75" style="3132" customWidth="1"/>
    <col min="8715" max="8715" width="11.75" style="3132" customWidth="1"/>
    <col min="8716" max="8717" width="10.7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75" style="3132" customWidth="1"/>
    <col min="8971" max="8971" width="11.75" style="3132" customWidth="1"/>
    <col min="8972" max="8973" width="10.7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75" style="3132" customWidth="1"/>
    <col min="9227" max="9227" width="11.75" style="3132" customWidth="1"/>
    <col min="9228" max="9229" width="10.7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75" style="3132" customWidth="1"/>
    <col min="9483" max="9483" width="11.75" style="3132" customWidth="1"/>
    <col min="9484" max="9485" width="10.7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75" style="3132" customWidth="1"/>
    <col min="9739" max="9739" width="11.75" style="3132" customWidth="1"/>
    <col min="9740" max="9741" width="10.7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75" style="3132" customWidth="1"/>
    <col min="9995" max="9995" width="11.75" style="3132" customWidth="1"/>
    <col min="9996" max="9997" width="10.7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75" style="3132" customWidth="1"/>
    <col min="10251" max="10251" width="11.75" style="3132" customWidth="1"/>
    <col min="10252" max="10253" width="10.7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75" style="3132" customWidth="1"/>
    <col min="10507" max="10507" width="11.75" style="3132" customWidth="1"/>
    <col min="10508" max="10509" width="10.7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75" style="3132" customWidth="1"/>
    <col min="10763" max="10763" width="11.75" style="3132" customWidth="1"/>
    <col min="10764" max="10765" width="10.7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75" style="3132" customWidth="1"/>
    <col min="11019" max="11019" width="11.75" style="3132" customWidth="1"/>
    <col min="11020" max="11021" width="10.7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75" style="3132" customWidth="1"/>
    <col min="11275" max="11275" width="11.75" style="3132" customWidth="1"/>
    <col min="11276" max="11277" width="10.7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75" style="3132" customWidth="1"/>
    <col min="11531" max="11531" width="11.75" style="3132" customWidth="1"/>
    <col min="11532" max="11533" width="10.7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75" style="3132" customWidth="1"/>
    <col min="11787" max="11787" width="11.75" style="3132" customWidth="1"/>
    <col min="11788" max="11789" width="10.7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75" style="3132" customWidth="1"/>
    <col min="12043" max="12043" width="11.75" style="3132" customWidth="1"/>
    <col min="12044" max="12045" width="10.7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75" style="3132" customWidth="1"/>
    <col min="12299" max="12299" width="11.75" style="3132" customWidth="1"/>
    <col min="12300" max="12301" width="10.7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75" style="3132" customWidth="1"/>
    <col min="12555" max="12555" width="11.75" style="3132" customWidth="1"/>
    <col min="12556" max="12557" width="10.7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75" style="3132" customWidth="1"/>
    <col min="12811" max="12811" width="11.75" style="3132" customWidth="1"/>
    <col min="12812" max="12813" width="10.7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75" style="3132" customWidth="1"/>
    <col min="13067" max="13067" width="11.75" style="3132" customWidth="1"/>
    <col min="13068" max="13069" width="10.7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75" style="3132" customWidth="1"/>
    <col min="13323" max="13323" width="11.75" style="3132" customWidth="1"/>
    <col min="13324" max="13325" width="10.7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75" style="3132" customWidth="1"/>
    <col min="13579" max="13579" width="11.75" style="3132" customWidth="1"/>
    <col min="13580" max="13581" width="10.7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75" style="3132" customWidth="1"/>
    <col min="13835" max="13835" width="11.75" style="3132" customWidth="1"/>
    <col min="13836" max="13837" width="10.7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75" style="3132" customWidth="1"/>
    <col min="14091" max="14091" width="11.75" style="3132" customWidth="1"/>
    <col min="14092" max="14093" width="10.7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75" style="3132" customWidth="1"/>
    <col min="14347" max="14347" width="11.75" style="3132" customWidth="1"/>
    <col min="14348" max="14349" width="10.7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75" style="3132" customWidth="1"/>
    <col min="14603" max="14603" width="11.75" style="3132" customWidth="1"/>
    <col min="14604" max="14605" width="10.7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75" style="3132" customWidth="1"/>
    <col min="14859" max="14859" width="11.75" style="3132" customWidth="1"/>
    <col min="14860" max="14861" width="10.7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75" style="3132" customWidth="1"/>
    <col min="15115" max="15115" width="11.75" style="3132" customWidth="1"/>
    <col min="15116" max="15117" width="10.7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75" style="3132" customWidth="1"/>
    <col min="15371" max="15371" width="11.75" style="3132" customWidth="1"/>
    <col min="15372" max="15373" width="10.7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75" style="3132" customWidth="1"/>
    <col min="15627" max="15627" width="11.75" style="3132" customWidth="1"/>
    <col min="15628" max="15629" width="10.7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75" style="3132" customWidth="1"/>
    <col min="15883" max="15883" width="11.75" style="3132" customWidth="1"/>
    <col min="15884" max="15885" width="10.7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75" style="3132" customWidth="1"/>
    <col min="16139" max="16139" width="11.75" style="3132" customWidth="1"/>
    <col min="16140" max="16141" width="10.7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2969</v>
      </c>
      <c r="B1" s="3129"/>
      <c r="C1" s="3135"/>
      <c r="D1" s="3135"/>
      <c r="E1" s="3130"/>
      <c r="F1" s="3131"/>
      <c r="G1" s="3224"/>
      <c r="J1" s="3227" t="s">
        <v>2825</v>
      </c>
      <c r="K1" s="3228"/>
      <c r="L1" s="3228"/>
      <c r="M1" s="3228"/>
      <c r="N1" s="3228"/>
      <c r="O1" s="3228"/>
      <c r="P1" s="3228"/>
      <c r="Q1" s="3228"/>
      <c r="R1" s="3229"/>
      <c r="S1" s="3230"/>
      <c r="T1" s="3230"/>
      <c r="U1" s="3230"/>
    </row>
    <row r="2" spans="1:23" s="3138" customFormat="1" ht="13.15" customHeight="1">
      <c r="A2" s="3133" t="s">
        <v>2826</v>
      </c>
      <c r="B2" s="3134" t="e">
        <f>C40</f>
        <v>#DIV/0!</v>
      </c>
      <c r="C2" s="3135" t="s">
        <v>2827</v>
      </c>
      <c r="D2" s="3135"/>
      <c r="E2" s="3136"/>
      <c r="F2" s="3137"/>
      <c r="G2" s="3231"/>
      <c r="H2" s="3232"/>
      <c r="I2" s="3233"/>
      <c r="J2" s="3669" t="s">
        <v>2828</v>
      </c>
      <c r="K2" s="3670"/>
      <c r="L2" s="3234" t="s">
        <v>2829</v>
      </c>
      <c r="M2" s="3234" t="s">
        <v>2830</v>
      </c>
      <c r="N2" s="3234" t="s">
        <v>2831</v>
      </c>
      <c r="O2" s="3234" t="s">
        <v>2832</v>
      </c>
      <c r="P2" s="3234" t="s">
        <v>2833</v>
      </c>
      <c r="Q2" s="3235" t="s">
        <v>2834</v>
      </c>
      <c r="R2" s="3236" t="s">
        <v>2835</v>
      </c>
      <c r="S2" s="3230"/>
      <c r="T2" s="3230"/>
      <c r="U2" s="3230"/>
      <c r="V2" s="3233"/>
      <c r="W2" s="3232"/>
    </row>
    <row r="3" spans="1:23" s="3138" customFormat="1" ht="13.15" customHeight="1">
      <c r="A3" s="3140" t="s">
        <v>2836</v>
      </c>
      <c r="B3" s="3141" t="e">
        <f>ROUND(B2*10000/B4,0)</f>
        <v>#DIV/0!</v>
      </c>
      <c r="C3" s="3135" t="s">
        <v>2837</v>
      </c>
      <c r="D3" s="3135"/>
      <c r="E3" s="3136"/>
      <c r="F3" s="3137"/>
      <c r="G3" s="3231"/>
      <c r="H3" s="3232"/>
      <c r="I3" s="3233"/>
      <c r="J3" s="3671" t="s">
        <v>2838</v>
      </c>
      <c r="K3" s="3672"/>
      <c r="L3" s="3237"/>
      <c r="M3" s="3237"/>
      <c r="N3" s="3237"/>
      <c r="O3" s="3237"/>
      <c r="P3" s="3237"/>
      <c r="Q3" s="3238"/>
      <c r="R3" s="3239">
        <f>SUM(L3:Q3)</f>
        <v>0</v>
      </c>
      <c r="S3" s="3230"/>
      <c r="T3" s="3230"/>
      <c r="U3" s="3230"/>
      <c r="V3" s="3233"/>
      <c r="W3" s="3232"/>
    </row>
    <row r="4" spans="1:23" s="3138" customFormat="1" ht="13.15" customHeight="1">
      <c r="A4" s="3142" t="s">
        <v>2839</v>
      </c>
      <c r="B4" s="3199"/>
      <c r="C4" s="3135"/>
      <c r="D4" s="3135"/>
      <c r="E4" s="3136"/>
      <c r="F4" s="3137"/>
      <c r="G4" s="3231"/>
      <c r="H4" s="3232"/>
      <c r="I4" s="3233"/>
      <c r="J4" s="3671" t="s">
        <v>2840</v>
      </c>
      <c r="K4" s="3672"/>
      <c r="L4" s="3240"/>
      <c r="M4" s="3240"/>
      <c r="N4" s="3240"/>
      <c r="O4" s="3240"/>
      <c r="P4" s="3240"/>
      <c r="Q4" s="3241"/>
      <c r="R4" s="3242">
        <f>SUM(L4:Q4)</f>
        <v>0</v>
      </c>
      <c r="S4" s="3230"/>
      <c r="T4" s="3230"/>
      <c r="U4" s="3230"/>
      <c r="V4" s="3233"/>
      <c r="W4" s="3232"/>
    </row>
    <row r="5" spans="1:23" s="3138" customFormat="1" ht="13.15" customHeight="1" thickBot="1">
      <c r="A5" s="3143" t="s">
        <v>2841</v>
      </c>
      <c r="B5" s="3200"/>
      <c r="C5" s="3135"/>
      <c r="D5" s="3144"/>
      <c r="E5" s="3137"/>
      <c r="F5" s="3137"/>
      <c r="G5" s="3231"/>
      <c r="H5" s="3232"/>
      <c r="I5" s="3233"/>
      <c r="J5" s="3243" t="s">
        <v>2842</v>
      </c>
      <c r="K5" s="3244"/>
      <c r="L5" s="3244"/>
      <c r="M5" s="3245"/>
      <c r="N5" s="3245"/>
      <c r="O5" s="3245"/>
      <c r="P5" s="3245"/>
      <c r="Q5" s="3245"/>
      <c r="R5" s="3236">
        <f>SUM(R14,R19,R24,R25,R27,R28)</f>
        <v>0</v>
      </c>
      <c r="S5" s="3230"/>
      <c r="T5" s="3230" t="s">
        <v>2843</v>
      </c>
      <c r="U5" s="3230" t="e">
        <f>ROUND(R5*10000/365/R3,1)</f>
        <v>#DIV/0!</v>
      </c>
      <c r="V5" s="3233"/>
      <c r="W5" s="3232"/>
    </row>
    <row r="6" spans="1:23" s="3138" customFormat="1" ht="13.15" customHeight="1" thickBot="1">
      <c r="A6" s="3673" t="s">
        <v>2844</v>
      </c>
      <c r="B6" s="3674"/>
      <c r="C6" s="3675"/>
      <c r="D6" s="3201"/>
      <c r="E6" s="3145"/>
      <c r="F6" s="3146"/>
      <c r="G6" s="3246"/>
      <c r="H6" s="3232"/>
      <c r="I6" s="3233"/>
      <c r="J6" s="3676">
        <v>1</v>
      </c>
      <c r="K6" s="3677" t="s">
        <v>2845</v>
      </c>
      <c r="L6" s="3247" t="s">
        <v>2846</v>
      </c>
      <c r="M6" s="3248" t="s">
        <v>2847</v>
      </c>
      <c r="N6" s="3248" t="s">
        <v>2848</v>
      </c>
      <c r="O6" s="3248" t="s">
        <v>2849</v>
      </c>
      <c r="P6" s="3248" t="s">
        <v>2850</v>
      </c>
      <c r="Q6" s="3248" t="s">
        <v>2851</v>
      </c>
      <c r="R6" s="3239" t="s">
        <v>2852</v>
      </c>
      <c r="S6" s="3230"/>
      <c r="T6" s="3230" t="s">
        <v>2853</v>
      </c>
      <c r="U6" s="3230"/>
      <c r="V6" s="3233"/>
      <c r="W6" s="3232"/>
    </row>
    <row r="7" spans="1:23" s="3138" customFormat="1" ht="13.15" customHeight="1">
      <c r="A7" s="3148" t="s">
        <v>2854</v>
      </c>
      <c r="B7" s="3149"/>
      <c r="C7" s="3150"/>
      <c r="D7" s="3151">
        <f>SUM(D9,D10,D11,D17,0)</f>
        <v>0</v>
      </c>
      <c r="E7" s="3152" t="e">
        <f>E9+E10+E11+E17</f>
        <v>#DIV/0!</v>
      </c>
      <c r="F7" s="3153"/>
      <c r="G7" s="3249"/>
      <c r="H7" s="3232"/>
      <c r="I7" s="3233"/>
      <c r="J7" s="3676"/>
      <c r="K7" s="3678"/>
      <c r="L7" s="3250" t="s">
        <v>2954</v>
      </c>
      <c r="M7" s="3251"/>
      <c r="N7" s="3251"/>
      <c r="O7" s="3252"/>
      <c r="P7" s="3252"/>
      <c r="Q7" s="3253">
        <v>365</v>
      </c>
      <c r="R7" s="3254">
        <f>ROUND(M7*N7*O7*P7*Q7/10000,0)</f>
        <v>0</v>
      </c>
      <c r="S7" s="3230"/>
      <c r="T7" s="3230" t="s">
        <v>2855</v>
      </c>
      <c r="U7" s="3230"/>
      <c r="V7" s="3233"/>
      <c r="W7" s="3232"/>
    </row>
    <row r="8" spans="1:23" s="3138" customFormat="1" ht="13.15" customHeight="1">
      <c r="A8" s="3154" t="s">
        <v>2856</v>
      </c>
      <c r="B8" s="3680" t="s">
        <v>2857</v>
      </c>
      <c r="C8" s="3681"/>
      <c r="D8" s="3155" t="s">
        <v>2858</v>
      </c>
      <c r="E8" s="3156" t="s">
        <v>2859</v>
      </c>
      <c r="F8" s="3139" t="s">
        <v>2860</v>
      </c>
      <c r="G8" s="3309" t="s">
        <v>2968</v>
      </c>
      <c r="H8" s="3232"/>
      <c r="I8" s="3233"/>
      <c r="J8" s="3676"/>
      <c r="K8" s="3678"/>
      <c r="L8" s="3250" t="s">
        <v>2955</v>
      </c>
      <c r="M8" s="3251"/>
      <c r="N8" s="3251"/>
      <c r="O8" s="3252"/>
      <c r="P8" s="3252"/>
      <c r="Q8" s="3253">
        <v>365</v>
      </c>
      <c r="R8" s="3254">
        <f t="shared" ref="R8:R13" si="0">ROUND(M8*N8*O8*P8*Q8/10000,0)</f>
        <v>0</v>
      </c>
      <c r="S8" s="3230"/>
      <c r="T8" s="3230" t="s">
        <v>2861</v>
      </c>
      <c r="U8" s="3230"/>
      <c r="V8" s="3233"/>
      <c r="W8" s="3232"/>
    </row>
    <row r="9" spans="1:23" s="3138" customFormat="1" ht="13.15" customHeight="1">
      <c r="A9" s="3154">
        <v>1</v>
      </c>
      <c r="B9" s="3680" t="s">
        <v>2862</v>
      </c>
      <c r="C9" s="3681"/>
      <c r="D9" s="3155">
        <f>ROUND(D6*E9,0)</f>
        <v>0</v>
      </c>
      <c r="E9" s="3202"/>
      <c r="F9" s="3157" t="s">
        <v>2863</v>
      </c>
      <c r="G9" s="3255" t="s">
        <v>2966</v>
      </c>
      <c r="H9" s="3232"/>
      <c r="I9" s="3233"/>
      <c r="J9" s="3676"/>
      <c r="K9" s="3678"/>
      <c r="L9" s="3250" t="s">
        <v>2956</v>
      </c>
      <c r="M9" s="3251"/>
      <c r="N9" s="3251"/>
      <c r="O9" s="3252"/>
      <c r="P9" s="3252"/>
      <c r="Q9" s="3253">
        <v>365</v>
      </c>
      <c r="R9" s="3254">
        <f t="shared" si="0"/>
        <v>0</v>
      </c>
      <c r="S9" s="3230"/>
      <c r="T9" s="3230"/>
      <c r="U9" s="3230"/>
      <c r="V9" s="3233"/>
      <c r="W9" s="3232"/>
    </row>
    <row r="10" spans="1:23" s="3138" customFormat="1" ht="13.15" customHeight="1">
      <c r="A10" s="3154">
        <v>2</v>
      </c>
      <c r="B10" s="3680" t="s">
        <v>2864</v>
      </c>
      <c r="C10" s="3681"/>
      <c r="D10" s="3155">
        <f>ROUND(D6*E10,0)</f>
        <v>0</v>
      </c>
      <c r="E10" s="3202"/>
      <c r="F10" s="3157" t="s">
        <v>2865</v>
      </c>
      <c r="G10" s="3255" t="s">
        <v>2967</v>
      </c>
      <c r="H10" s="3232"/>
      <c r="I10" s="3233"/>
      <c r="J10" s="3676"/>
      <c r="K10" s="3678"/>
      <c r="L10" s="3250" t="s">
        <v>2957</v>
      </c>
      <c r="M10" s="3251"/>
      <c r="N10" s="3251"/>
      <c r="O10" s="3252"/>
      <c r="P10" s="3252"/>
      <c r="Q10" s="3253">
        <v>365</v>
      </c>
      <c r="R10" s="3254">
        <f t="shared" si="0"/>
        <v>0</v>
      </c>
      <c r="S10" s="3230"/>
      <c r="T10" s="3230"/>
      <c r="U10" s="3230"/>
      <c r="V10" s="3233"/>
      <c r="W10" s="3232"/>
    </row>
    <row r="11" spans="1:23" s="3138" customFormat="1" ht="13.15" customHeight="1">
      <c r="A11" s="3154">
        <v>3</v>
      </c>
      <c r="B11" s="3680" t="s">
        <v>2866</v>
      </c>
      <c r="C11" s="3681"/>
      <c r="D11" s="3155">
        <f>D12+D14+D15+D16</f>
        <v>0</v>
      </c>
      <c r="E11" s="3158" t="e">
        <f>D11/D6</f>
        <v>#DIV/0!</v>
      </c>
      <c r="F11" s="3139"/>
      <c r="G11" s="3255"/>
      <c r="H11" s="3232"/>
      <c r="I11" s="3233"/>
      <c r="J11" s="3676"/>
      <c r="K11" s="3678"/>
      <c r="L11" s="3250" t="s">
        <v>2958</v>
      </c>
      <c r="M11" s="3251"/>
      <c r="N11" s="3251"/>
      <c r="O11" s="3252"/>
      <c r="P11" s="3252"/>
      <c r="Q11" s="3253">
        <v>365</v>
      </c>
      <c r="R11" s="3254">
        <f t="shared" si="0"/>
        <v>0</v>
      </c>
      <c r="S11" s="3230"/>
      <c r="T11" s="3230"/>
      <c r="U11" s="3230"/>
      <c r="V11" s="3233"/>
      <c r="W11" s="3232"/>
    </row>
    <row r="12" spans="1:23" s="3138" customFormat="1" ht="13.15" customHeight="1">
      <c r="A12" s="3159" t="s">
        <v>2867</v>
      </c>
      <c r="B12" s="3682" t="s">
        <v>2868</v>
      </c>
      <c r="C12" s="3683"/>
      <c r="D12" s="3160">
        <f>ROUND(D13*1.2%*(1-30%),0)</f>
        <v>0</v>
      </c>
      <c r="E12" s="3161">
        <v>1.2E-2</v>
      </c>
      <c r="F12" s="3139" t="s">
        <v>2869</v>
      </c>
      <c r="G12" s="3255"/>
      <c r="H12" s="3232"/>
      <c r="I12" s="3233"/>
      <c r="J12" s="3676"/>
      <c r="K12" s="3678"/>
      <c r="L12" s="3250" t="s">
        <v>2959</v>
      </c>
      <c r="M12" s="3251"/>
      <c r="N12" s="3251"/>
      <c r="O12" s="3252"/>
      <c r="P12" s="3252"/>
      <c r="Q12" s="3253">
        <v>365</v>
      </c>
      <c r="R12" s="3254">
        <f t="shared" si="0"/>
        <v>0</v>
      </c>
      <c r="S12" s="3230"/>
      <c r="T12" s="3230"/>
      <c r="U12" s="3230"/>
      <c r="V12" s="3233"/>
      <c r="W12" s="3232"/>
    </row>
    <row r="13" spans="1:23" s="3138" customFormat="1" ht="13.15" customHeight="1">
      <c r="A13" s="3159"/>
      <c r="B13" s="3162"/>
      <c r="C13" s="3163" t="s">
        <v>2870</v>
      </c>
      <c r="D13" s="3203"/>
      <c r="E13" s="3164"/>
      <c r="F13" s="3139"/>
      <c r="G13" s="3255"/>
      <c r="H13" s="3232"/>
      <c r="I13" s="3233"/>
      <c r="J13" s="3676"/>
      <c r="K13" s="3678"/>
      <c r="L13" s="3250" t="s">
        <v>2960</v>
      </c>
      <c r="M13" s="3251"/>
      <c r="N13" s="3251"/>
      <c r="O13" s="3252"/>
      <c r="P13" s="3252"/>
      <c r="Q13" s="3253">
        <v>365</v>
      </c>
      <c r="R13" s="3254">
        <f t="shared" si="0"/>
        <v>0</v>
      </c>
      <c r="S13" s="3230"/>
      <c r="T13" s="3230"/>
      <c r="U13" s="3230"/>
      <c r="V13" s="3233"/>
      <c r="W13" s="3232"/>
    </row>
    <row r="14" spans="1:23" s="3138" customFormat="1" ht="13.15" customHeight="1">
      <c r="A14" s="3159" t="s">
        <v>2871</v>
      </c>
      <c r="B14" s="3682" t="s">
        <v>2872</v>
      </c>
      <c r="C14" s="3683"/>
      <c r="D14" s="3160">
        <f>ROUND(E14*B5/10000,0)</f>
        <v>0</v>
      </c>
      <c r="E14" s="3204"/>
      <c r="F14" s="3139" t="s">
        <v>2873</v>
      </c>
      <c r="G14" s="3255"/>
      <c r="H14" s="3232"/>
      <c r="I14" s="3233"/>
      <c r="J14" s="3676"/>
      <c r="K14" s="3679"/>
      <c r="L14" s="3256" t="s">
        <v>2874</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15" customHeight="1">
      <c r="A15" s="3159" t="s">
        <v>2875</v>
      </c>
      <c r="B15" s="3682" t="s">
        <v>2876</v>
      </c>
      <c r="C15" s="3683"/>
      <c r="D15" s="3160">
        <f>ROUND(D6*E15,0)</f>
        <v>0</v>
      </c>
      <c r="E15" s="3161">
        <v>5.5E-2</v>
      </c>
      <c r="F15" s="3139" t="s">
        <v>2877</v>
      </c>
      <c r="G15" s="3255"/>
      <c r="H15" s="3232"/>
      <c r="I15" s="3233"/>
      <c r="J15" s="3676">
        <v>2</v>
      </c>
      <c r="K15" s="3677" t="s">
        <v>2878</v>
      </c>
      <c r="L15" s="3260" t="s">
        <v>2879</v>
      </c>
      <c r="M15" s="3261" t="s">
        <v>2880</v>
      </c>
      <c r="N15" s="3261" t="s">
        <v>2881</v>
      </c>
      <c r="O15" s="3262" t="s">
        <v>2882</v>
      </c>
      <c r="P15" s="3262" t="s">
        <v>2883</v>
      </c>
      <c r="Q15" s="3199" t="s">
        <v>2884</v>
      </c>
      <c r="R15" s="3263" t="s">
        <v>2885</v>
      </c>
      <c r="S15" s="3230"/>
      <c r="T15" s="3230"/>
      <c r="U15" s="3230"/>
      <c r="V15" s="3233"/>
      <c r="W15" s="3232"/>
    </row>
    <row r="16" spans="1:23" s="3138" customFormat="1" ht="13.15" customHeight="1">
      <c r="A16" s="3159" t="s">
        <v>2886</v>
      </c>
      <c r="B16" s="3682" t="s">
        <v>2887</v>
      </c>
      <c r="C16" s="3683"/>
      <c r="D16" s="3205">
        <f>D6*E16</f>
        <v>0</v>
      </c>
      <c r="E16" s="3206"/>
      <c r="F16" s="3157" t="s">
        <v>2888</v>
      </c>
      <c r="G16" s="3255"/>
      <c r="H16" s="3232"/>
      <c r="I16" s="3233"/>
      <c r="J16" s="3676"/>
      <c r="K16" s="3678"/>
      <c r="L16" s="3250" t="s">
        <v>2961</v>
      </c>
      <c r="M16" s="3251"/>
      <c r="N16" s="3251"/>
      <c r="O16" s="3252"/>
      <c r="P16" s="3253">
        <v>365</v>
      </c>
      <c r="Q16" s="3251"/>
      <c r="R16" s="3264">
        <f>ROUND(M16*N16*O16*P16/10000,0)</f>
        <v>0</v>
      </c>
      <c r="S16" s="3230"/>
      <c r="T16" s="3230"/>
      <c r="U16" s="3230"/>
      <c r="V16" s="3233"/>
      <c r="W16" s="3232"/>
    </row>
    <row r="17" spans="1:23" s="3138" customFormat="1" ht="13.15" customHeight="1" thickBot="1">
      <c r="A17" s="3165">
        <v>4</v>
      </c>
      <c r="B17" s="3684" t="s">
        <v>2889</v>
      </c>
      <c r="C17" s="3685"/>
      <c r="D17" s="3166">
        <f>ROUND(D6*E17,0)</f>
        <v>0</v>
      </c>
      <c r="E17" s="3207"/>
      <c r="F17" s="3167" t="s">
        <v>2890</v>
      </c>
      <c r="G17" s="3308">
        <v>0.1</v>
      </c>
      <c r="H17" s="3232"/>
      <c r="I17" s="3233"/>
      <c r="J17" s="3676"/>
      <c r="K17" s="3678"/>
      <c r="L17" s="3250" t="s">
        <v>2962</v>
      </c>
      <c r="M17" s="3251"/>
      <c r="N17" s="3251"/>
      <c r="O17" s="3252"/>
      <c r="P17" s="3253">
        <v>365</v>
      </c>
      <c r="Q17" s="3251"/>
      <c r="R17" s="3264">
        <f>ROUND(M17*N17*O17*P17/10000,0)</f>
        <v>0</v>
      </c>
      <c r="S17" s="3230"/>
      <c r="T17" s="3230"/>
      <c r="U17" s="3230"/>
      <c r="V17" s="3233"/>
      <c r="W17" s="3232"/>
    </row>
    <row r="18" spans="1:23" s="3138" customFormat="1" ht="13.15" customHeight="1" thickBot="1">
      <c r="A18" s="3148" t="s">
        <v>2891</v>
      </c>
      <c r="B18" s="3149"/>
      <c r="C18" s="3149"/>
      <c r="D18" s="3168">
        <f>ROUND(D6*E18,0)</f>
        <v>0</v>
      </c>
      <c r="E18" s="3208"/>
      <c r="F18" s="3169" t="s">
        <v>2892</v>
      </c>
      <c r="G18" s="3308">
        <v>0.05</v>
      </c>
      <c r="H18" s="3232"/>
      <c r="I18" s="3233"/>
      <c r="J18" s="3676"/>
      <c r="K18" s="3678"/>
      <c r="L18" s="3250" t="s">
        <v>2963</v>
      </c>
      <c r="M18" s="3251"/>
      <c r="N18" s="3251"/>
      <c r="O18" s="3252"/>
      <c r="P18" s="3253">
        <v>365</v>
      </c>
      <c r="Q18" s="3251"/>
      <c r="R18" s="3264">
        <f>ROUND(M18*N18*O18*P18/10000,0)</f>
        <v>0</v>
      </c>
      <c r="S18" s="3230"/>
      <c r="T18" s="3230"/>
      <c r="U18" s="3230"/>
      <c r="V18" s="3233"/>
      <c r="W18" s="3232"/>
    </row>
    <row r="19" spans="1:23" s="3138" customFormat="1" ht="13.15" customHeight="1" thickBot="1">
      <c r="A19" s="3170" t="s">
        <v>2893</v>
      </c>
      <c r="B19" s="3145"/>
      <c r="C19" s="3145"/>
      <c r="D19" s="3145"/>
      <c r="E19" s="3145"/>
      <c r="F19" s="3146"/>
      <c r="G19" s="3255"/>
      <c r="H19" s="3232"/>
      <c r="I19" s="3233"/>
      <c r="J19" s="3676"/>
      <c r="K19" s="3679"/>
      <c r="L19" s="3256" t="s">
        <v>2874</v>
      </c>
      <c r="M19" s="3257"/>
      <c r="N19" s="3257">
        <f>SUM(N16:N18)</f>
        <v>0</v>
      </c>
      <c r="O19" s="3258"/>
      <c r="P19" s="3265" t="s">
        <v>2964</v>
      </c>
      <c r="Q19" s="3262">
        <v>0.5</v>
      </c>
      <c r="R19" s="3266">
        <f>ROUND(IF(P19="按比例",R14*Q19,SUM(R16:R18)),0)</f>
        <v>0</v>
      </c>
      <c r="S19" s="3230"/>
      <c r="T19" s="3230"/>
      <c r="U19" s="3230"/>
      <c r="V19" s="3233"/>
      <c r="W19" s="3232"/>
    </row>
    <row r="20" spans="1:23" s="3138" customFormat="1" ht="13.15" customHeight="1">
      <c r="A20" s="3148"/>
      <c r="B20" s="3149"/>
      <c r="C20" s="3149"/>
      <c r="D20" s="3149"/>
      <c r="E20" s="3149"/>
      <c r="F20" s="3171"/>
      <c r="G20" s="3255"/>
      <c r="H20" s="3232"/>
      <c r="I20" s="3233"/>
      <c r="J20" s="3676">
        <v>3</v>
      </c>
      <c r="K20" s="3677" t="s">
        <v>2894</v>
      </c>
      <c r="L20" s="3260" t="s">
        <v>2895</v>
      </c>
      <c r="M20" s="3261" t="s">
        <v>2896</v>
      </c>
      <c r="N20" s="3267" t="s">
        <v>2897</v>
      </c>
      <c r="O20" s="3262" t="s">
        <v>2898</v>
      </c>
      <c r="P20" s="3204" t="s">
        <v>2883</v>
      </c>
      <c r="Q20" s="3199" t="s">
        <v>2884</v>
      </c>
      <c r="R20" s="3263" t="s">
        <v>2885</v>
      </c>
      <c r="S20" s="3268"/>
      <c r="T20" s="3268"/>
      <c r="U20" s="3268"/>
      <c r="V20" s="3233"/>
      <c r="W20" s="3232"/>
    </row>
    <row r="21" spans="1:23" s="3138" customFormat="1" ht="13.15" customHeight="1">
      <c r="A21" s="3148"/>
      <c r="B21" s="3149"/>
      <c r="C21" s="3172" t="s">
        <v>2899</v>
      </c>
      <c r="D21" s="3173" t="s">
        <v>2900</v>
      </c>
      <c r="E21" s="3174" t="s">
        <v>2901</v>
      </c>
      <c r="F21" s="3171"/>
      <c r="G21" s="3255"/>
      <c r="H21" s="3232"/>
      <c r="I21" s="3233"/>
      <c r="J21" s="3676"/>
      <c r="K21" s="3678"/>
      <c r="L21" s="3260" t="s">
        <v>2902</v>
      </c>
      <c r="M21" s="3261"/>
      <c r="N21" s="3261"/>
      <c r="O21" s="3262"/>
      <c r="P21" s="3204">
        <v>365</v>
      </c>
      <c r="Q21" s="3199"/>
      <c r="R21" s="3269">
        <f>ROUND(M21*N21*O21*P21/10000,0)</f>
        <v>0</v>
      </c>
      <c r="S21" s="3268"/>
      <c r="T21" s="3268"/>
      <c r="U21" s="3268"/>
      <c r="V21" s="3233"/>
      <c r="W21" s="3232"/>
    </row>
    <row r="22" spans="1:23" s="3138" customFormat="1" ht="13.15" customHeight="1">
      <c r="A22" s="3148"/>
      <c r="B22" s="3149"/>
      <c r="C22" s="3209" t="s">
        <v>2903</v>
      </c>
      <c r="D22" s="3210" t="s">
        <v>2904</v>
      </c>
      <c r="E22" s="3211" t="s">
        <v>2905</v>
      </c>
      <c r="F22" s="3171"/>
      <c r="G22" s="3270"/>
      <c r="H22" s="3232"/>
      <c r="I22" s="3233"/>
      <c r="J22" s="3676"/>
      <c r="K22" s="3678"/>
      <c r="L22" s="3260" t="s">
        <v>2906</v>
      </c>
      <c r="M22" s="3261"/>
      <c r="N22" s="3261"/>
      <c r="O22" s="3262"/>
      <c r="P22" s="3204">
        <v>365</v>
      </c>
      <c r="Q22" s="3199"/>
      <c r="R22" s="3269">
        <f>ROUND(M22*N22*O22*P22/10000,0)</f>
        <v>0</v>
      </c>
      <c r="S22" s="3268"/>
      <c r="T22" s="3268"/>
      <c r="U22" s="3268"/>
      <c r="V22" s="3233"/>
      <c r="W22" s="3232"/>
    </row>
    <row r="23" spans="1:23" s="3138" customFormat="1" ht="13.15" customHeight="1">
      <c r="A23" s="3175">
        <v>1</v>
      </c>
      <c r="B23" s="3147" t="s">
        <v>2907</v>
      </c>
      <c r="C23" s="3176">
        <f>D6</f>
        <v>0</v>
      </c>
      <c r="D23" s="3177">
        <f>C23*(1+D24)</f>
        <v>0</v>
      </c>
      <c r="E23" s="3178">
        <f>D23*(1+E24)</f>
        <v>0</v>
      </c>
      <c r="F23" s="3179"/>
      <c r="G23" s="3271"/>
      <c r="H23" s="3232"/>
      <c r="I23" s="3233"/>
      <c r="J23" s="3676"/>
      <c r="K23" s="3678"/>
      <c r="L23" s="3260" t="s">
        <v>2908</v>
      </c>
      <c r="M23" s="3261"/>
      <c r="N23" s="3261"/>
      <c r="O23" s="3262"/>
      <c r="P23" s="3204">
        <v>365</v>
      </c>
      <c r="Q23" s="3199"/>
      <c r="R23" s="3269">
        <f>ROUND(M23*N23*O23*P23/10000,0)</f>
        <v>0</v>
      </c>
      <c r="S23" s="3230"/>
      <c r="T23" s="3230"/>
      <c r="U23" s="3230"/>
      <c r="V23" s="3233"/>
      <c r="W23" s="3232"/>
    </row>
    <row r="24" spans="1:23" s="3138" customFormat="1" ht="13.15" customHeight="1">
      <c r="A24" s="3180"/>
      <c r="B24" s="3181" t="s">
        <v>2909</v>
      </c>
      <c r="C24" s="3182"/>
      <c r="D24" s="3212"/>
      <c r="E24" s="3213"/>
      <c r="F24" s="3183"/>
      <c r="G24" s="3271"/>
      <c r="H24" s="3232"/>
      <c r="I24" s="3233"/>
      <c r="J24" s="3676"/>
      <c r="K24" s="3679"/>
      <c r="L24" s="3256" t="s">
        <v>2874</v>
      </c>
      <c r="M24" s="3257">
        <f>SUM(M21:M23)</f>
        <v>0</v>
      </c>
      <c r="N24" s="3257"/>
      <c r="O24" s="3258"/>
      <c r="P24" s="3265" t="s">
        <v>2964</v>
      </c>
      <c r="Q24" s="3262">
        <v>0.1</v>
      </c>
      <c r="R24" s="3266">
        <f>ROUND(IF(P24="按比例",R14*Q24,SUM(R21:R23)),0)</f>
        <v>0</v>
      </c>
      <c r="S24" s="3230"/>
      <c r="T24" s="3230"/>
      <c r="U24" s="3230"/>
      <c r="V24" s="3233"/>
      <c r="W24" s="3232"/>
    </row>
    <row r="25" spans="1:23" s="3184" customFormat="1" ht="13.15" customHeight="1">
      <c r="A25" s="3180"/>
      <c r="B25" s="3181"/>
      <c r="C25" s="3182"/>
      <c r="D25" s="3212"/>
      <c r="E25" s="3213"/>
      <c r="F25" s="3183"/>
      <c r="G25" s="3270"/>
      <c r="H25" s="3232"/>
      <c r="I25" s="3233"/>
      <c r="J25" s="3272">
        <v>4</v>
      </c>
      <c r="K25" s="3273" t="s">
        <v>2910</v>
      </c>
      <c r="L25" s="3274"/>
      <c r="M25" s="3274"/>
      <c r="N25" s="3274"/>
      <c r="O25" s="3274"/>
      <c r="P25" s="3275"/>
      <c r="Q25" s="3276">
        <v>0</v>
      </c>
      <c r="R25" s="3266">
        <f>ROUND(R14*Q25,0)</f>
        <v>0</v>
      </c>
      <c r="S25" s="3230"/>
      <c r="T25" s="3230"/>
      <c r="U25" s="3230"/>
      <c r="V25" s="3277"/>
      <c r="W25" s="3278"/>
    </row>
    <row r="26" spans="1:23" s="3184" customFormat="1" ht="13.15" customHeight="1">
      <c r="A26" s="3175">
        <v>2</v>
      </c>
      <c r="B26" s="3147" t="s">
        <v>2911</v>
      </c>
      <c r="C26" s="3176">
        <f>D7</f>
        <v>0</v>
      </c>
      <c r="D26" s="3177">
        <f>D23*D27</f>
        <v>0</v>
      </c>
      <c r="E26" s="3178">
        <f>E23*E27</f>
        <v>0</v>
      </c>
      <c r="F26" s="3179"/>
      <c r="G26" s="3271"/>
      <c r="H26" s="3232"/>
      <c r="I26" s="3233"/>
      <c r="J26" s="3686">
        <v>5</v>
      </c>
      <c r="K26" s="3279" t="s">
        <v>2912</v>
      </c>
      <c r="L26" s="3280"/>
      <c r="M26" s="3281"/>
      <c r="N26" s="3282" t="s">
        <v>2913</v>
      </c>
      <c r="O26" s="3282" t="s">
        <v>2914</v>
      </c>
      <c r="P26" s="3283" t="s">
        <v>2915</v>
      </c>
      <c r="Q26" s="3283" t="s">
        <v>2916</v>
      </c>
      <c r="R26" s="3239" t="s">
        <v>2885</v>
      </c>
      <c r="S26" s="3284"/>
      <c r="T26" s="3284"/>
      <c r="U26" s="3284"/>
      <c r="V26" s="3277"/>
      <c r="W26" s="3278"/>
    </row>
    <row r="27" spans="1:23" s="3138" customFormat="1" ht="13.15" customHeight="1">
      <c r="A27" s="3180"/>
      <c r="B27" s="3181" t="s">
        <v>2917</v>
      </c>
      <c r="C27" s="3185" t="e">
        <f>E7</f>
        <v>#DIV/0!</v>
      </c>
      <c r="D27" s="3212"/>
      <c r="E27" s="3213"/>
      <c r="F27" s="3183"/>
      <c r="G27" s="3271"/>
      <c r="H27" s="3278"/>
      <c r="I27" s="3277"/>
      <c r="J27" s="3687"/>
      <c r="K27" s="3285"/>
      <c r="L27" s="3286"/>
      <c r="M27" s="3287"/>
      <c r="N27" s="3288"/>
      <c r="O27" s="3288"/>
      <c r="P27" s="3288"/>
      <c r="Q27" s="3289"/>
      <c r="R27" s="3266">
        <f>ROUND(O27*N27*P27*(1-Q27)/10000,0)</f>
        <v>0</v>
      </c>
      <c r="S27" s="3230"/>
      <c r="T27" s="3230"/>
      <c r="U27" s="3230"/>
      <c r="V27" s="3233"/>
      <c r="W27" s="3232"/>
    </row>
    <row r="28" spans="1:23" s="3184" customFormat="1" ht="13.15" customHeight="1" thickBot="1">
      <c r="A28" s="3180"/>
      <c r="B28" s="3181"/>
      <c r="C28" s="3185"/>
      <c r="D28" s="3212"/>
      <c r="E28" s="3213" t="s">
        <v>2918</v>
      </c>
      <c r="F28" s="3183"/>
      <c r="G28" s="3270"/>
      <c r="H28" s="3278"/>
      <c r="I28" s="3277"/>
      <c r="J28" s="3290">
        <v>6</v>
      </c>
      <c r="K28" s="3291" t="s">
        <v>2919</v>
      </c>
      <c r="L28" s="3292" t="s">
        <v>2920</v>
      </c>
      <c r="M28" s="3293"/>
      <c r="N28" s="3292" t="s">
        <v>2921</v>
      </c>
      <c r="O28" s="3294"/>
      <c r="P28" s="3292" t="s">
        <v>2922</v>
      </c>
      <c r="Q28" s="3295">
        <v>1.4999999999999999E-2</v>
      </c>
      <c r="R28" s="3296"/>
      <c r="S28" s="3268"/>
      <c r="T28" s="3268"/>
      <c r="U28" s="3268"/>
      <c r="V28" s="3277"/>
      <c r="W28" s="3278"/>
    </row>
    <row r="29" spans="1:23" s="3184" customFormat="1" ht="13.15" customHeight="1">
      <c r="A29" s="3175">
        <v>3</v>
      </c>
      <c r="B29" s="3147" t="s">
        <v>2923</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15" customHeight="1" thickBot="1">
      <c r="A30" s="3180"/>
      <c r="B30" s="3181" t="s">
        <v>2917</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15" customHeight="1">
      <c r="A31" s="3180"/>
      <c r="B31" s="3181"/>
      <c r="C31" s="3214"/>
      <c r="D31" s="3186"/>
      <c r="E31" s="3164"/>
      <c r="F31" s="3183"/>
      <c r="G31" s="3270"/>
      <c r="H31" s="3278"/>
      <c r="I31" s="3277"/>
      <c r="J31" s="3227" t="s">
        <v>2924</v>
      </c>
      <c r="K31" s="3228"/>
      <c r="L31" s="3228"/>
      <c r="M31" s="3228"/>
      <c r="N31" s="3228"/>
      <c r="O31" s="3228"/>
      <c r="P31" s="3228"/>
      <c r="Q31" s="3228"/>
      <c r="R31" s="3229"/>
      <c r="S31" s="3268"/>
      <c r="T31" s="3230"/>
      <c r="U31" s="3230"/>
      <c r="V31" s="3277"/>
      <c r="W31" s="3278"/>
    </row>
    <row r="32" spans="1:23" s="3184" customFormat="1" ht="13.15" customHeight="1">
      <c r="A32" s="3175">
        <v>4</v>
      </c>
      <c r="B32" s="3147" t="s">
        <v>2925</v>
      </c>
      <c r="C32" s="3176">
        <f>C23-C26-C29</f>
        <v>0</v>
      </c>
      <c r="D32" s="3177">
        <f>D23-D26-D29</f>
        <v>0</v>
      </c>
      <c r="E32" s="3178">
        <f>E23-E26-E29</f>
        <v>0</v>
      </c>
      <c r="F32" s="3179"/>
      <c r="G32" s="3270"/>
      <c r="H32" s="3232"/>
      <c r="I32" s="3233"/>
      <c r="J32" s="3669" t="s">
        <v>2926</v>
      </c>
      <c r="K32" s="3670"/>
      <c r="L32" s="3234" t="s">
        <v>2927</v>
      </c>
      <c r="M32" s="3234" t="s">
        <v>2830</v>
      </c>
      <c r="N32" s="3234" t="s">
        <v>2831</v>
      </c>
      <c r="O32" s="3234" t="s">
        <v>2832</v>
      </c>
      <c r="P32" s="3234" t="s">
        <v>2833</v>
      </c>
      <c r="Q32" s="3235" t="s">
        <v>2928</v>
      </c>
      <c r="R32" s="3297" t="s">
        <v>2929</v>
      </c>
      <c r="S32" s="3268"/>
      <c r="T32" s="3230"/>
      <c r="U32" s="3230"/>
      <c r="V32" s="3277"/>
      <c r="W32" s="3278"/>
    </row>
    <row r="33" spans="1:23" s="3138" customFormat="1" ht="13.15" customHeight="1">
      <c r="A33" s="3175"/>
      <c r="B33" s="3147"/>
      <c r="C33" s="3176"/>
      <c r="D33" s="3187"/>
      <c r="E33" s="3188"/>
      <c r="F33" s="3179"/>
      <c r="G33" s="3270"/>
      <c r="H33" s="3278"/>
      <c r="I33" s="3277"/>
      <c r="J33" s="3671" t="s">
        <v>2930</v>
      </c>
      <c r="K33" s="3672"/>
      <c r="L33" s="3237"/>
      <c r="M33" s="3237"/>
      <c r="N33" s="3237"/>
      <c r="O33" s="3237"/>
      <c r="P33" s="3237"/>
      <c r="Q33" s="3238"/>
      <c r="R33" s="3298">
        <f>SUM(L33:Q33)</f>
        <v>0</v>
      </c>
      <c r="S33" s="3268"/>
      <c r="T33" s="3230"/>
      <c r="U33" s="3230"/>
      <c r="V33" s="3233"/>
      <c r="W33" s="3232"/>
    </row>
    <row r="34" spans="1:23" s="3138" customFormat="1" ht="13.15" customHeight="1">
      <c r="A34" s="3175">
        <v>5</v>
      </c>
      <c r="B34" s="3147" t="s">
        <v>2931</v>
      </c>
      <c r="C34" s="3215"/>
      <c r="D34" s="3216"/>
      <c r="E34" s="3217"/>
      <c r="F34" s="3179"/>
      <c r="G34" s="3270"/>
      <c r="H34" s="3278"/>
      <c r="I34" s="3277"/>
      <c r="J34" s="3671" t="s">
        <v>2932</v>
      </c>
      <c r="K34" s="3672"/>
      <c r="L34" s="3240"/>
      <c r="M34" s="3240"/>
      <c r="N34" s="3240"/>
      <c r="O34" s="3240"/>
      <c r="P34" s="3240"/>
      <c r="Q34" s="3241"/>
      <c r="R34" s="3299">
        <f>SUM(L34:Q34)</f>
        <v>0</v>
      </c>
      <c r="S34" s="3268"/>
      <c r="T34" s="3230"/>
      <c r="U34" s="3230" t="e">
        <f>ROUND(R35*10000/365/R33,1)</f>
        <v>#DIV/0!</v>
      </c>
      <c r="V34" s="3233"/>
      <c r="W34" s="3232"/>
    </row>
    <row r="35" spans="1:23" s="3138" customFormat="1" ht="13.15" customHeight="1">
      <c r="A35" s="3175">
        <v>6</v>
      </c>
      <c r="B35" s="3147" t="s">
        <v>2933</v>
      </c>
      <c r="C35" s="3218"/>
      <c r="D35" s="3219"/>
      <c r="E35" s="3220"/>
      <c r="F35" s="3179"/>
      <c r="G35" s="3300"/>
      <c r="H35" s="3232"/>
      <c r="I35" s="3277"/>
      <c r="J35" s="3243" t="s">
        <v>2934</v>
      </c>
      <c r="K35" s="3244"/>
      <c r="L35" s="3244"/>
      <c r="M35" s="3245"/>
      <c r="N35" s="3245"/>
      <c r="O35" s="3245"/>
      <c r="P35" s="3245"/>
      <c r="Q35" s="3245"/>
      <c r="R35" s="3301">
        <f>R40+R41+R43</f>
        <v>0</v>
      </c>
      <c r="S35" s="3268"/>
      <c r="T35" s="3230" t="s">
        <v>2935</v>
      </c>
      <c r="U35" s="3230"/>
      <c r="V35" s="3233"/>
      <c r="W35" s="3232"/>
    </row>
    <row r="36" spans="1:23" s="3138" customFormat="1" ht="13.15" customHeight="1" thickBot="1">
      <c r="A36" s="3175">
        <v>7</v>
      </c>
      <c r="B36" s="3189" t="s">
        <v>2936</v>
      </c>
      <c r="C36" s="3221"/>
      <c r="D36" s="3222"/>
      <c r="E36" s="3223"/>
      <c r="F36" s="3190">
        <f>C36+D36+E36</f>
        <v>0</v>
      </c>
      <c r="G36" s="3270"/>
      <c r="H36" s="3232"/>
      <c r="I36" s="3233"/>
      <c r="J36" s="3676">
        <v>1</v>
      </c>
      <c r="K36" s="3677" t="s">
        <v>2937</v>
      </c>
      <c r="L36" s="3247"/>
      <c r="M36" s="3248"/>
      <c r="N36" s="3248"/>
      <c r="O36" s="3248"/>
      <c r="P36" s="3248"/>
      <c r="Q36" s="3248"/>
      <c r="R36" s="3239" t="s">
        <v>2885</v>
      </c>
      <c r="S36" s="3268"/>
      <c r="T36" s="3230" t="s">
        <v>2938</v>
      </c>
      <c r="U36" s="3230"/>
      <c r="V36" s="3233"/>
      <c r="W36" s="3232"/>
    </row>
    <row r="37" spans="1:23" s="3138" customFormat="1" ht="13.15" customHeight="1">
      <c r="A37" s="3175"/>
      <c r="B37" s="3147"/>
      <c r="C37" s="3147"/>
      <c r="D37" s="3147"/>
      <c r="E37" s="3147"/>
      <c r="F37" s="3179"/>
      <c r="G37" s="3270"/>
      <c r="H37" s="3232"/>
      <c r="I37" s="3233"/>
      <c r="J37" s="3676"/>
      <c r="K37" s="3678"/>
      <c r="L37" s="3260"/>
      <c r="M37" s="3261"/>
      <c r="N37" s="3199"/>
      <c r="O37" s="3262"/>
      <c r="P37" s="3262"/>
      <c r="Q37" s="3204"/>
      <c r="R37" s="3302"/>
      <c r="S37" s="3268"/>
      <c r="T37" s="3230" t="s">
        <v>2939</v>
      </c>
      <c r="U37" s="3230"/>
      <c r="V37" s="3233"/>
      <c r="W37" s="3232"/>
    </row>
    <row r="38" spans="1:23" s="3138" customFormat="1" ht="13.15" customHeight="1">
      <c r="A38" s="3175">
        <v>8</v>
      </c>
      <c r="B38" s="3147"/>
      <c r="C38" s="3155" t="e">
        <f>ROUND(C32*(1-((1+C35)/(1+C34))^C36)/(C34-C35),0)</f>
        <v>#DIV/0!</v>
      </c>
      <c r="D38" s="3155">
        <f>IF(D23=0,0,ROUND(D32*(1-((1+D35)/(1+D34))^D36)/(D34-D35),0))</f>
        <v>0</v>
      </c>
      <c r="E38" s="3155">
        <f>IF(E23=0,0,ROUND(E32*(1-((1+E35)/(1+E34))^E36)/(E34-E35),0))</f>
        <v>0</v>
      </c>
      <c r="F38" s="3179"/>
      <c r="G38" s="3270"/>
      <c r="H38" s="3232"/>
      <c r="I38" s="3233"/>
      <c r="J38" s="3676"/>
      <c r="K38" s="3678"/>
      <c r="L38" s="3260"/>
      <c r="M38" s="3261"/>
      <c r="N38" s="3199"/>
      <c r="O38" s="3262"/>
      <c r="P38" s="3262"/>
      <c r="Q38" s="3204"/>
      <c r="R38" s="3302"/>
      <c r="S38" s="3268"/>
      <c r="T38" s="3230" t="s">
        <v>2861</v>
      </c>
      <c r="U38" s="3230"/>
      <c r="V38" s="3233"/>
      <c r="W38" s="3232"/>
    </row>
    <row r="39" spans="1:23" s="3138" customFormat="1" ht="13.15" customHeight="1">
      <c r="A39" s="3175">
        <v>9</v>
      </c>
      <c r="B39" s="3147" t="s">
        <v>2940</v>
      </c>
      <c r="C39" s="3160" t="e">
        <f>C38</f>
        <v>#DIV/0!</v>
      </c>
      <c r="D39" s="3147">
        <f>D38/(1+D34)^C36</f>
        <v>0</v>
      </c>
      <c r="E39" s="3147">
        <f>E38/(1+E34)^(C36+D36)</f>
        <v>0</v>
      </c>
      <c r="F39" s="3179"/>
      <c r="G39" s="3303"/>
      <c r="H39" s="3232"/>
      <c r="I39" s="3233"/>
      <c r="J39" s="3676"/>
      <c r="K39" s="3678"/>
      <c r="L39" s="3260"/>
      <c r="M39" s="3261"/>
      <c r="N39" s="3199"/>
      <c r="O39" s="3262"/>
      <c r="P39" s="3262"/>
      <c r="Q39" s="3204"/>
      <c r="R39" s="3302"/>
      <c r="S39" s="3268"/>
      <c r="T39" s="3230"/>
      <c r="U39" s="3230"/>
      <c r="V39" s="3233"/>
      <c r="W39" s="3232"/>
    </row>
    <row r="40" spans="1:23" s="3138" customFormat="1" ht="13.15" customHeight="1">
      <c r="A40" s="3191">
        <v>10</v>
      </c>
      <c r="B40" s="3147" t="s">
        <v>2941</v>
      </c>
      <c r="C40" s="3192" t="e">
        <f>C39+D39+E39</f>
        <v>#DIV/0!</v>
      </c>
      <c r="D40" s="3193"/>
      <c r="E40" s="3193"/>
      <c r="F40" s="3194"/>
      <c r="G40" s="3270"/>
      <c r="H40" s="3232"/>
      <c r="I40" s="3233"/>
      <c r="J40" s="3676"/>
      <c r="K40" s="3679"/>
      <c r="L40" s="3256" t="s">
        <v>2942</v>
      </c>
      <c r="M40" s="3257"/>
      <c r="N40" s="3257"/>
      <c r="O40" s="3258"/>
      <c r="P40" s="3258"/>
      <c r="Q40" s="3259"/>
      <c r="R40" s="3236">
        <f>SUM(R37:R39)</f>
        <v>0</v>
      </c>
      <c r="S40" s="3268"/>
      <c r="T40" s="3230"/>
      <c r="U40" s="3230"/>
      <c r="V40" s="3233"/>
      <c r="W40" s="3232"/>
    </row>
    <row r="41" spans="1:23" s="3138" customFormat="1" ht="13.15" customHeight="1" thickBot="1">
      <c r="A41" s="3195">
        <v>11</v>
      </c>
      <c r="B41" s="3196" t="s">
        <v>2943</v>
      </c>
      <c r="C41" s="3196" t="e">
        <f>ROUND(C40*10000/B4,0)</f>
        <v>#DIV/0!</v>
      </c>
      <c r="D41" s="3197"/>
      <c r="E41" s="3197"/>
      <c r="F41" s="3198"/>
      <c r="G41" s="3304"/>
      <c r="H41" s="3232"/>
      <c r="I41" s="3233"/>
      <c r="J41" s="3272">
        <v>2</v>
      </c>
      <c r="K41" s="3273" t="s">
        <v>2944</v>
      </c>
      <c r="L41" s="3274"/>
      <c r="M41" s="3274"/>
      <c r="N41" s="3274"/>
      <c r="O41" s="3274"/>
      <c r="P41" s="3275"/>
      <c r="Q41" s="3276"/>
      <c r="R41" s="3266">
        <f>ROUND(R40*Q41,0)</f>
        <v>0</v>
      </c>
      <c r="S41" s="3268"/>
      <c r="T41" s="3230"/>
      <c r="U41" s="3284"/>
      <c r="V41" s="3233"/>
      <c r="W41" s="3232"/>
    </row>
    <row r="42" spans="1:23" s="3138" customFormat="1" ht="13.15" customHeight="1">
      <c r="G42" s="3304"/>
      <c r="H42" s="3232"/>
      <c r="I42" s="3233"/>
      <c r="J42" s="3686">
        <v>3</v>
      </c>
      <c r="K42" s="3279" t="s">
        <v>2945</v>
      </c>
      <c r="L42" s="3280"/>
      <c r="M42" s="3281"/>
      <c r="N42" s="3282" t="s">
        <v>2946</v>
      </c>
      <c r="O42" s="3282" t="s">
        <v>2947</v>
      </c>
      <c r="P42" s="3283" t="s">
        <v>2948</v>
      </c>
      <c r="Q42" s="3283" t="s">
        <v>2949</v>
      </c>
      <c r="R42" s="3239" t="s">
        <v>2852</v>
      </c>
      <c r="S42" s="3284"/>
      <c r="T42" s="3284"/>
      <c r="U42" s="3230"/>
      <c r="V42" s="3233"/>
      <c r="W42" s="3232"/>
    </row>
    <row r="43" spans="1:23" ht="13.15" customHeight="1">
      <c r="A43" s="3138"/>
      <c r="B43" s="3138"/>
      <c r="C43" s="3138"/>
      <c r="D43" s="3138"/>
      <c r="E43" s="3138"/>
      <c r="F43" s="3138"/>
      <c r="I43" s="3225"/>
      <c r="J43" s="3687"/>
      <c r="K43" s="3285"/>
      <c r="L43" s="3286"/>
      <c r="M43" s="3287"/>
      <c r="N43" s="3261"/>
      <c r="O43" s="3261"/>
      <c r="P43" s="3261"/>
      <c r="Q43" s="3276"/>
      <c r="R43" s="3266">
        <f>ROUND(O43*N43*P43*(1-Q43)/10000,0)</f>
        <v>0</v>
      </c>
      <c r="S43" s="3268"/>
      <c r="T43" s="3230"/>
      <c r="V43" s="3306"/>
      <c r="W43" s="3226"/>
    </row>
    <row r="44" spans="1:23" ht="13.15" customHeight="1" thickBot="1">
      <c r="J44" s="3290">
        <v>6</v>
      </c>
      <c r="K44" s="3291" t="s">
        <v>2950</v>
      </c>
      <c r="L44" s="3307" t="s">
        <v>2951</v>
      </c>
      <c r="M44" s="3293"/>
      <c r="N44" s="3307" t="s">
        <v>2952</v>
      </c>
      <c r="O44" s="3293"/>
      <c r="P44" s="3307" t="s">
        <v>2953</v>
      </c>
      <c r="Q44" s="3295">
        <v>1.4999999999999999E-2</v>
      </c>
      <c r="R44" s="32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7"/>
      <c r="I2" s="2957"/>
      <c r="J2" s="2957"/>
      <c r="K2" s="2958"/>
      <c r="L2" s="2959"/>
      <c r="M2" s="2957"/>
      <c r="N2" s="2957"/>
      <c r="O2" s="2957"/>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189.52</v>
      </c>
      <c r="E3" s="2957"/>
      <c r="F3" s="2960"/>
      <c r="G3" s="2957"/>
      <c r="H3" s="2957"/>
      <c r="I3" s="2957"/>
      <c r="J3" s="2957"/>
      <c r="K3" s="2958"/>
      <c r="L3" s="2959"/>
      <c r="M3" s="2957"/>
      <c r="N3" s="2957"/>
      <c r="O3" s="2957"/>
      <c r="P3" s="1628"/>
      <c r="Q3" s="1624"/>
      <c r="R3" s="1624"/>
      <c r="S3" s="1624"/>
      <c r="T3" s="1624"/>
      <c r="U3" s="1624"/>
      <c r="V3" s="1624"/>
      <c r="W3" s="1624"/>
      <c r="X3" s="1624"/>
      <c r="Y3" s="1624"/>
      <c r="Z3" s="1624"/>
      <c r="AA3" s="1624"/>
      <c r="AB3" s="1624"/>
      <c r="AC3" s="1629"/>
    </row>
    <row r="4" spans="1:29" ht="15">
      <c r="A4" s="1630" t="s">
        <v>2186</v>
      </c>
      <c r="B4" s="1631"/>
      <c r="C4" s="3645" t="s">
        <v>2187</v>
      </c>
      <c r="D4" s="3646"/>
      <c r="E4" s="3647" t="s">
        <v>2188</v>
      </c>
      <c r="F4" s="3648"/>
      <c r="G4" s="3645" t="s">
        <v>2189</v>
      </c>
      <c r="H4" s="3646"/>
      <c r="I4" s="3645" t="s">
        <v>2190</v>
      </c>
      <c r="J4" s="3646"/>
      <c r="K4" s="1632" t="s">
        <v>2191</v>
      </c>
      <c r="L4" s="2961"/>
      <c r="M4" s="2962"/>
      <c r="N4" s="2962"/>
      <c r="O4" s="2962"/>
      <c r="P4" s="3649" t="s">
        <v>2192</v>
      </c>
      <c r="Q4" s="3650"/>
      <c r="R4" s="3631" t="s">
        <v>2188</v>
      </c>
      <c r="S4" s="3632"/>
      <c r="T4" s="3631" t="s">
        <v>2189</v>
      </c>
      <c r="U4" s="3632"/>
      <c r="V4" s="3655" t="s">
        <v>2190</v>
      </c>
      <c r="W4" s="3655"/>
      <c r="X4" s="1633"/>
      <c r="Y4" s="3631" t="s">
        <v>2192</v>
      </c>
      <c r="Z4" s="3632"/>
      <c r="AA4" s="3642" t="s">
        <v>2188</v>
      </c>
      <c r="AB4" s="3642" t="s">
        <v>2189</v>
      </c>
      <c r="AC4" s="3642" t="s">
        <v>2190</v>
      </c>
    </row>
    <row r="5" spans="1:29" ht="15">
      <c r="A5" s="1635"/>
      <c r="B5" s="1636"/>
      <c r="C5" s="3658" t="s">
        <v>2193</v>
      </c>
      <c r="D5" s="3659"/>
      <c r="E5" s="3656" t="s">
        <v>2194</v>
      </c>
      <c r="F5" s="3657"/>
      <c r="G5" s="3658" t="s">
        <v>2195</v>
      </c>
      <c r="H5" s="3659"/>
      <c r="I5" s="3658" t="s">
        <v>2196</v>
      </c>
      <c r="J5" s="3659"/>
      <c r="K5" s="1637"/>
      <c r="L5" s="2961"/>
      <c r="M5" s="2962"/>
      <c r="N5" s="2962"/>
      <c r="O5" s="2962"/>
      <c r="P5" s="3651"/>
      <c r="Q5" s="3652"/>
      <c r="R5" s="3633"/>
      <c r="S5" s="3634"/>
      <c r="T5" s="3633"/>
      <c r="U5" s="3634"/>
      <c r="V5" s="3655"/>
      <c r="W5" s="3655"/>
      <c r="X5" s="1633"/>
      <c r="Y5" s="3633"/>
      <c r="Z5" s="3634"/>
      <c r="AA5" s="3643"/>
      <c r="AB5" s="3643"/>
      <c r="AC5" s="3643"/>
    </row>
    <row r="6" spans="1:29" ht="15.75" thickBot="1">
      <c r="A6" s="1638"/>
      <c r="B6" s="1639"/>
      <c r="C6" s="3660" t="s">
        <v>2197</v>
      </c>
      <c r="D6" s="3661"/>
      <c r="E6" s="3662" t="s">
        <v>2197</v>
      </c>
      <c r="F6" s="3663"/>
      <c r="G6" s="3660" t="s">
        <v>2197</v>
      </c>
      <c r="H6" s="3661"/>
      <c r="I6" s="3660" t="s">
        <v>2197</v>
      </c>
      <c r="J6" s="3661"/>
      <c r="K6" s="1637" t="s">
        <v>2198</v>
      </c>
      <c r="L6" s="2961"/>
      <c r="M6" s="2962"/>
      <c r="N6" s="2962"/>
      <c r="O6" s="2962"/>
      <c r="P6" s="3653"/>
      <c r="Q6" s="3654"/>
      <c r="R6" s="3633"/>
      <c r="S6" s="3634"/>
      <c r="T6" s="3635"/>
      <c r="U6" s="3636"/>
      <c r="V6" s="3655"/>
      <c r="W6" s="3655"/>
      <c r="X6" s="1633"/>
      <c r="Y6" s="3635"/>
      <c r="Z6" s="3636"/>
      <c r="AA6" s="3644"/>
      <c r="AB6" s="3644"/>
      <c r="AC6" s="3644"/>
    </row>
    <row r="7" spans="1:29" s="1652" customFormat="1" ht="15.75" thickBot="1">
      <c r="A7" s="1640" t="s">
        <v>2199</v>
      </c>
      <c r="B7" s="1641"/>
      <c r="C7" s="1642">
        <f>'数据-取费表'!B2</f>
        <v>44727</v>
      </c>
      <c r="D7" s="1643">
        <v>100</v>
      </c>
      <c r="E7" s="1644"/>
      <c r="F7" s="1645">
        <f>SUMIF(58:58,YEAR(E7)&amp;"-"&amp;MONTH(E7),59:59)</f>
        <v>0</v>
      </c>
      <c r="G7" s="1644"/>
      <c r="H7" s="1643">
        <f>SUMIF(58:58,YEAR(G7)&amp;"-"&amp;MONTH(G7),59:59)</f>
        <v>0</v>
      </c>
      <c r="I7" s="1644"/>
      <c r="J7" s="1643">
        <f>SUMIF(58:58,YEAR(I7)&amp;"-"&amp;MONTH(I7),59:59)</f>
        <v>0</v>
      </c>
      <c r="K7" s="1646"/>
      <c r="L7" s="2961"/>
      <c r="M7" s="2934"/>
      <c r="N7" s="2934"/>
      <c r="O7" s="2934"/>
      <c r="P7" s="3629" t="s">
        <v>2200</v>
      </c>
      <c r="Q7" s="3637"/>
      <c r="R7" s="1648" t="s">
        <v>34</v>
      </c>
      <c r="S7" s="1649">
        <f t="shared" ref="S7:S15" si="0">F7</f>
        <v>0</v>
      </c>
      <c r="T7" s="1648" t="s">
        <v>34</v>
      </c>
      <c r="U7" s="1649">
        <f t="shared" ref="U7:U15" si="1">H7</f>
        <v>0</v>
      </c>
      <c r="V7" s="1648" t="s">
        <v>34</v>
      </c>
      <c r="W7" s="1649">
        <f t="shared" ref="W7:W15" si="2">J7</f>
        <v>0</v>
      </c>
      <c r="X7" s="1650"/>
      <c r="Y7" s="3629" t="s">
        <v>2200</v>
      </c>
      <c r="Z7" s="3630"/>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1"/>
      <c r="M8" s="2934"/>
      <c r="N8" s="2934"/>
      <c r="O8" s="2934"/>
      <c r="P8" s="3629" t="s">
        <v>2203</v>
      </c>
      <c r="Q8" s="3630"/>
      <c r="R8" s="1648" t="s">
        <v>34</v>
      </c>
      <c r="S8" s="1649">
        <f t="shared" si="0"/>
        <v>0</v>
      </c>
      <c r="T8" s="1648" t="s">
        <v>34</v>
      </c>
      <c r="U8" s="1649">
        <f t="shared" si="1"/>
        <v>0</v>
      </c>
      <c r="V8" s="1648" t="s">
        <v>34</v>
      </c>
      <c r="W8" s="1649">
        <f t="shared" si="2"/>
        <v>0</v>
      </c>
      <c r="X8" s="1650"/>
      <c r="Y8" s="3629" t="s">
        <v>2203</v>
      </c>
      <c r="Z8" s="3630"/>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1"/>
      <c r="M9" s="2934"/>
      <c r="N9" s="2934"/>
      <c r="O9" s="2934"/>
      <c r="P9" s="3664" t="s">
        <v>2206</v>
      </c>
      <c r="Q9" s="1602" t="str">
        <f t="shared" ref="Q9:Q15" si="6">B9</f>
        <v>用途</v>
      </c>
      <c r="R9" s="1648" t="s">
        <v>25</v>
      </c>
      <c r="S9" s="1649">
        <f t="shared" si="0"/>
        <v>100</v>
      </c>
      <c r="T9" s="1648" t="s">
        <v>25</v>
      </c>
      <c r="U9" s="1649">
        <f t="shared" si="1"/>
        <v>100</v>
      </c>
      <c r="V9" s="1648" t="s">
        <v>25</v>
      </c>
      <c r="W9" s="1649">
        <f t="shared" si="2"/>
        <v>100</v>
      </c>
      <c r="X9" s="1650"/>
      <c r="Y9" s="3475"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3"/>
      <c r="M10" s="2964"/>
      <c r="N10" s="2964"/>
      <c r="O10" s="2964"/>
      <c r="P10" s="3664"/>
      <c r="Q10" s="1602"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5"/>
      <c r="M11" s="2962"/>
      <c r="N11" s="2962"/>
      <c r="O11" s="2962"/>
      <c r="P11" s="3664"/>
      <c r="Q11" s="1602" t="str">
        <f t="shared" si="6"/>
        <v>容积率</v>
      </c>
      <c r="R11" s="1648" t="s">
        <v>28</v>
      </c>
      <c r="S11" s="1649" t="e">
        <f t="shared" si="0"/>
        <v>#N/A</v>
      </c>
      <c r="T11" s="1648" t="s">
        <v>28</v>
      </c>
      <c r="U11" s="1649" t="e">
        <f t="shared" si="1"/>
        <v>#N/A</v>
      </c>
      <c r="V11" s="1648" t="s">
        <v>28</v>
      </c>
      <c r="W11" s="1649" t="e">
        <f t="shared" si="2"/>
        <v>#N/A</v>
      </c>
      <c r="X11" s="1650"/>
      <c r="Y11" s="347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1"/>
      <c r="M12" s="2934"/>
      <c r="N12" s="2934"/>
      <c r="O12" s="2934"/>
      <c r="P12" s="3664"/>
      <c r="Q12" s="1602">
        <f t="shared" si="6"/>
        <v>111</v>
      </c>
      <c r="R12" s="1648" t="s">
        <v>28</v>
      </c>
      <c r="S12" s="1649">
        <f t="shared" si="0"/>
        <v>100</v>
      </c>
      <c r="T12" s="1648" t="s">
        <v>28</v>
      </c>
      <c r="U12" s="1649">
        <f t="shared" si="1"/>
        <v>100</v>
      </c>
      <c r="V12" s="1648" t="s">
        <v>28</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6"/>
      <c r="M13" s="2962"/>
      <c r="N13" s="2962"/>
      <c r="O13" s="2962"/>
      <c r="P13" s="3664"/>
      <c r="Q13" s="1602">
        <f t="shared" si="6"/>
        <v>111</v>
      </c>
      <c r="R13" s="1648" t="s">
        <v>28</v>
      </c>
      <c r="S13" s="1649">
        <f t="shared" si="0"/>
        <v>100</v>
      </c>
      <c r="T13" s="1648" t="s">
        <v>28</v>
      </c>
      <c r="U13" s="1649">
        <f t="shared" si="1"/>
        <v>100</v>
      </c>
      <c r="V13" s="1648" t="s">
        <v>28</v>
      </c>
      <c r="W13" s="1649">
        <f t="shared" si="2"/>
        <v>100</v>
      </c>
      <c r="X13" s="1650"/>
      <c r="Y13" s="3475"/>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6"/>
      <c r="M14" s="2962"/>
      <c r="N14" s="2962"/>
      <c r="O14" s="2962"/>
      <c r="P14" s="3664"/>
      <c r="Q14" s="1602">
        <f t="shared" si="6"/>
        <v>111</v>
      </c>
      <c r="R14" s="1648" t="s">
        <v>28</v>
      </c>
      <c r="S14" s="1649">
        <f t="shared" si="0"/>
        <v>100</v>
      </c>
      <c r="T14" s="1648" t="s">
        <v>28</v>
      </c>
      <c r="U14" s="1649">
        <f t="shared" si="1"/>
        <v>100</v>
      </c>
      <c r="V14" s="1648" t="s">
        <v>28</v>
      </c>
      <c r="W14" s="1649">
        <f t="shared" si="2"/>
        <v>100</v>
      </c>
      <c r="X14" s="1650"/>
      <c r="Y14" s="3475"/>
      <c r="Z14" s="1661">
        <f t="shared" si="7"/>
        <v>111</v>
      </c>
      <c r="AA14" s="1651">
        <f t="shared" si="3"/>
        <v>1</v>
      </c>
      <c r="AB14" s="1651">
        <f t="shared" si="4"/>
        <v>1</v>
      </c>
      <c r="AC14" s="1651">
        <f t="shared" si="5"/>
        <v>1</v>
      </c>
    </row>
    <row r="15" spans="1:29" ht="15">
      <c r="A15" s="1685" t="s">
        <v>2210</v>
      </c>
      <c r="B15" s="1686" t="s">
        <v>1646</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6"/>
      <c r="M15" s="2962"/>
      <c r="N15" s="2962"/>
      <c r="O15" s="2962"/>
      <c r="P15" s="3638" t="s">
        <v>2211</v>
      </c>
      <c r="Q15" s="1583" t="str">
        <f t="shared" si="6"/>
        <v>居住社区成熟度</v>
      </c>
      <c r="R15" s="1693" t="s">
        <v>28</v>
      </c>
      <c r="S15" s="1694">
        <f t="shared" si="0"/>
        <v>100</v>
      </c>
      <c r="T15" s="1693" t="s">
        <v>28</v>
      </c>
      <c r="U15" s="1694">
        <f t="shared" si="1"/>
        <v>100</v>
      </c>
      <c r="V15" s="1693" t="s">
        <v>28</v>
      </c>
      <c r="W15" s="1694">
        <f t="shared" si="2"/>
        <v>100</v>
      </c>
      <c r="X15" s="1633"/>
      <c r="Y15" s="3640"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6"/>
      <c r="M16" s="2962"/>
      <c r="N16" s="2962"/>
      <c r="O16" s="2962"/>
      <c r="P16" s="3639"/>
      <c r="Q16" s="1583"/>
      <c r="R16" s="1693"/>
      <c r="S16" s="1694"/>
      <c r="T16" s="1693"/>
      <c r="U16" s="1694"/>
      <c r="V16" s="1693"/>
      <c r="W16" s="1694"/>
      <c r="X16" s="1633"/>
      <c r="Y16" s="3641"/>
      <c r="Z16" s="1695"/>
      <c r="AA16" s="1696">
        <v>1</v>
      </c>
      <c r="AB16" s="1696">
        <v>1</v>
      </c>
      <c r="AC16" s="1696">
        <v>1</v>
      </c>
    </row>
    <row r="17" spans="1:29" ht="85.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6"/>
      <c r="M17" s="2962"/>
      <c r="N17" s="2962"/>
      <c r="O17" s="2962"/>
      <c r="P17" s="3639"/>
      <c r="Q17" s="1583" t="str">
        <f>B17</f>
        <v>交通便捷度</v>
      </c>
      <c r="R17" s="1693" t="s">
        <v>28</v>
      </c>
      <c r="S17" s="1694">
        <f>F17</f>
        <v>100</v>
      </c>
      <c r="T17" s="1693" t="s">
        <v>28</v>
      </c>
      <c r="U17" s="1694">
        <f>H17</f>
        <v>100</v>
      </c>
      <c r="V17" s="1693" t="s">
        <v>28</v>
      </c>
      <c r="W17" s="1694">
        <f>J17</f>
        <v>100</v>
      </c>
      <c r="X17" s="1633"/>
      <c r="Y17" s="3641"/>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6"/>
      <c r="M18" s="2962"/>
      <c r="N18" s="2962"/>
      <c r="O18" s="2962"/>
      <c r="P18" s="3639"/>
      <c r="Q18" s="1583"/>
      <c r="R18" s="1693"/>
      <c r="S18" s="1694"/>
      <c r="T18" s="1693"/>
      <c r="U18" s="1694"/>
      <c r="V18" s="1693"/>
      <c r="W18" s="1694"/>
      <c r="X18" s="1633"/>
      <c r="Y18" s="3641"/>
      <c r="Z18" s="1695"/>
      <c r="AA18" s="1696">
        <v>1</v>
      </c>
      <c r="AB18" s="1696">
        <v>1</v>
      </c>
      <c r="AC18" s="1696">
        <v>1</v>
      </c>
    </row>
    <row r="19" spans="1:29" ht="85.5">
      <c r="A19" s="1670"/>
      <c r="B19" s="1705" t="s">
        <v>1647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6"/>
      <c r="M19" s="2962"/>
      <c r="N19" s="2962"/>
      <c r="O19" s="2962"/>
      <c r="P19" s="3639"/>
      <c r="Q19" s="1583" t="str">
        <f>B19</f>
        <v>公共配套设施</v>
      </c>
      <c r="R19" s="1693" t="s">
        <v>28</v>
      </c>
      <c r="S19" s="1694">
        <f>F19</f>
        <v>100</v>
      </c>
      <c r="T19" s="1693" t="s">
        <v>28</v>
      </c>
      <c r="U19" s="1694">
        <f>H19</f>
        <v>100</v>
      </c>
      <c r="V19" s="1693" t="s">
        <v>28</v>
      </c>
      <c r="W19" s="1694">
        <f>J19</f>
        <v>100</v>
      </c>
      <c r="X19" s="1633"/>
      <c r="Y19" s="3641"/>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6"/>
      <c r="M20" s="2962"/>
      <c r="N20" s="2962"/>
      <c r="O20" s="2962"/>
      <c r="P20" s="3639"/>
      <c r="Q20" s="1583"/>
      <c r="R20" s="1693"/>
      <c r="S20" s="1694"/>
      <c r="T20" s="1693"/>
      <c r="U20" s="1694"/>
      <c r="V20" s="1693"/>
      <c r="W20" s="1694"/>
      <c r="X20" s="1633"/>
      <c r="Y20" s="3641"/>
      <c r="Z20" s="1695"/>
      <c r="AA20" s="1696">
        <v>1</v>
      </c>
      <c r="AB20" s="1696">
        <v>1</v>
      </c>
      <c r="AC20" s="1696">
        <v>1</v>
      </c>
    </row>
    <row r="21" spans="1:29" ht="42.75">
      <c r="A21" s="1670"/>
      <c r="B21" s="1718" t="s">
        <v>1649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6"/>
      <c r="M21" s="2962"/>
      <c r="N21" s="2962"/>
      <c r="O21" s="2962"/>
      <c r="P21" s="3639"/>
      <c r="Q21" s="1583" t="str">
        <f>B21</f>
        <v>基础设施水平</v>
      </c>
      <c r="R21" s="1693" t="s">
        <v>28</v>
      </c>
      <c r="S21" s="1694">
        <f>F21</f>
        <v>100</v>
      </c>
      <c r="T21" s="1693" t="s">
        <v>28</v>
      </c>
      <c r="U21" s="1694">
        <f>H21</f>
        <v>100</v>
      </c>
      <c r="V21" s="1693" t="s">
        <v>28</v>
      </c>
      <c r="W21" s="1694">
        <f>J21</f>
        <v>100</v>
      </c>
      <c r="X21" s="1633"/>
      <c r="Y21" s="3641"/>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6"/>
      <c r="M22" s="2962"/>
      <c r="N22" s="2962"/>
      <c r="O22" s="2962"/>
      <c r="P22" s="3639"/>
      <c r="Q22" s="1583"/>
      <c r="R22" s="1693"/>
      <c r="S22" s="1694"/>
      <c r="T22" s="1693"/>
      <c r="U22" s="1694"/>
      <c r="V22" s="1693"/>
      <c r="W22" s="1694"/>
      <c r="X22" s="1633"/>
      <c r="Y22" s="3641"/>
      <c r="Z22" s="1695"/>
      <c r="AA22" s="1696">
        <v>1</v>
      </c>
      <c r="AB22" s="1696">
        <v>1</v>
      </c>
      <c r="AC22" s="1696">
        <v>1</v>
      </c>
    </row>
    <row r="23" spans="1:29" ht="99.75">
      <c r="A23" s="1670"/>
      <c r="B23" s="1705" t="s">
        <v>1650</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6"/>
      <c r="M23" s="2962"/>
      <c r="N23" s="2962"/>
      <c r="O23" s="2962"/>
      <c r="P23" s="3639"/>
      <c r="Q23" s="1583" t="str">
        <f>B23</f>
        <v>自然及人文环境</v>
      </c>
      <c r="R23" s="1693" t="s">
        <v>28</v>
      </c>
      <c r="S23" s="1694">
        <f>F23</f>
        <v>100</v>
      </c>
      <c r="T23" s="1693" t="s">
        <v>28</v>
      </c>
      <c r="U23" s="1694">
        <f>H23</f>
        <v>100</v>
      </c>
      <c r="V23" s="1693" t="s">
        <v>28</v>
      </c>
      <c r="W23" s="1694">
        <f>J23</f>
        <v>100</v>
      </c>
      <c r="X23" s="1633"/>
      <c r="Y23" s="3641"/>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6"/>
      <c r="M24" s="2962"/>
      <c r="N24" s="2962"/>
      <c r="O24" s="2962"/>
      <c r="P24" s="3639"/>
      <c r="Q24" s="1583"/>
      <c r="R24" s="1693"/>
      <c r="S24" s="1694"/>
      <c r="T24" s="1693"/>
      <c r="U24" s="1694"/>
      <c r="V24" s="1693"/>
      <c r="W24" s="1694"/>
      <c r="X24" s="1633"/>
      <c r="Y24" s="3641"/>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6"/>
      <c r="M25" s="2962"/>
      <c r="N25" s="2962"/>
      <c r="O25" s="2962"/>
      <c r="P25" s="3639"/>
      <c r="Q25" s="1583" t="str">
        <f t="shared" ref="Q25:Q46" si="11">B25</f>
        <v>楼层-1</v>
      </c>
      <c r="R25" s="1693" t="s">
        <v>28</v>
      </c>
      <c r="S25" s="1694">
        <f>F25</f>
        <v>100</v>
      </c>
      <c r="T25" s="1693" t="s">
        <v>28</v>
      </c>
      <c r="U25" s="1694">
        <f>H25</f>
        <v>100</v>
      </c>
      <c r="V25" s="1693" t="s">
        <v>28</v>
      </c>
      <c r="W25" s="1694">
        <f>J25</f>
        <v>100</v>
      </c>
      <c r="X25" s="1633"/>
      <c r="Y25" s="3641"/>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6"/>
      <c r="M26" s="2962"/>
      <c r="N26" s="2962"/>
      <c r="O26" s="2962"/>
      <c r="P26" s="3639"/>
      <c r="Q26" s="1583" t="str">
        <f t="shared" si="11"/>
        <v>朝向</v>
      </c>
      <c r="R26" s="1693" t="s">
        <v>28</v>
      </c>
      <c r="S26" s="1694">
        <f>F26</f>
        <v>100</v>
      </c>
      <c r="T26" s="1693" t="s">
        <v>28</v>
      </c>
      <c r="U26" s="1694">
        <f>H26</f>
        <v>100</v>
      </c>
      <c r="V26" s="1693" t="s">
        <v>28</v>
      </c>
      <c r="W26" s="1694">
        <f>J26</f>
        <v>100</v>
      </c>
      <c r="X26" s="1633"/>
      <c r="Y26" s="3641"/>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1"/>
      <c r="M27" s="2934"/>
      <c r="N27" s="2934"/>
      <c r="O27" s="2934"/>
      <c r="P27" s="3639"/>
      <c r="Q27" s="1602" t="str">
        <f t="shared" si="11"/>
        <v>道路级别</v>
      </c>
      <c r="R27" s="1648" t="s">
        <v>28</v>
      </c>
      <c r="S27" s="1649">
        <f>F27</f>
        <v>100</v>
      </c>
      <c r="T27" s="1648" t="s">
        <v>28</v>
      </c>
      <c r="U27" s="1649">
        <f>H27</f>
        <v>100</v>
      </c>
      <c r="V27" s="1648" t="s">
        <v>28</v>
      </c>
      <c r="W27" s="1649">
        <f>J27</f>
        <v>100</v>
      </c>
      <c r="X27" s="1650"/>
      <c r="Y27" s="3641"/>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6"/>
      <c r="M28" s="2962"/>
      <c r="N28" s="2962"/>
      <c r="O28" s="2962"/>
      <c r="P28" s="3639"/>
      <c r="Q28" s="1583">
        <f t="shared" si="11"/>
        <v>111</v>
      </c>
      <c r="R28" s="1693" t="s">
        <v>28</v>
      </c>
      <c r="S28" s="1694">
        <f t="shared" ref="S28:S46" si="12">F28</f>
        <v>100</v>
      </c>
      <c r="T28" s="1693" t="s">
        <v>28</v>
      </c>
      <c r="U28" s="1694">
        <f t="shared" ref="U28:U46" si="13">H28</f>
        <v>100</v>
      </c>
      <c r="V28" s="1693" t="s">
        <v>28</v>
      </c>
      <c r="W28" s="1694">
        <f t="shared" ref="W28:W46" si="14">J28</f>
        <v>100</v>
      </c>
      <c r="X28" s="1633"/>
      <c r="Y28" s="3641"/>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6"/>
      <c r="M29" s="2962"/>
      <c r="N29" s="2962"/>
      <c r="O29" s="2962"/>
      <c r="P29" s="3639"/>
      <c r="Q29" s="1583">
        <f t="shared" si="11"/>
        <v>111</v>
      </c>
      <c r="R29" s="1693" t="s">
        <v>28</v>
      </c>
      <c r="S29" s="1694">
        <f t="shared" si="12"/>
        <v>100</v>
      </c>
      <c r="T29" s="1693" t="s">
        <v>28</v>
      </c>
      <c r="U29" s="1694">
        <f t="shared" si="13"/>
        <v>100</v>
      </c>
      <c r="V29" s="1693" t="s">
        <v>28</v>
      </c>
      <c r="W29" s="1694">
        <f t="shared" si="14"/>
        <v>100</v>
      </c>
      <c r="X29" s="1633"/>
      <c r="Y29" s="3641"/>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6"/>
      <c r="M30" s="2962"/>
      <c r="N30" s="2962"/>
      <c r="O30" s="2962"/>
      <c r="P30" s="3639"/>
      <c r="Q30" s="1583">
        <f t="shared" si="11"/>
        <v>111</v>
      </c>
      <c r="R30" s="1693" t="s">
        <v>28</v>
      </c>
      <c r="S30" s="1694">
        <f t="shared" si="12"/>
        <v>100</v>
      </c>
      <c r="T30" s="1693" t="s">
        <v>28</v>
      </c>
      <c r="U30" s="1694">
        <f t="shared" si="13"/>
        <v>100</v>
      </c>
      <c r="V30" s="1693" t="s">
        <v>28</v>
      </c>
      <c r="W30" s="1694">
        <f t="shared" si="14"/>
        <v>100</v>
      </c>
      <c r="X30" s="1633"/>
      <c r="Y30" s="3641"/>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6"/>
      <c r="M31" s="2962"/>
      <c r="N31" s="2962"/>
      <c r="O31" s="2962"/>
      <c r="P31" s="3639"/>
      <c r="Q31" s="1583">
        <f t="shared" si="11"/>
        <v>111</v>
      </c>
      <c r="R31" s="1693" t="s">
        <v>28</v>
      </c>
      <c r="S31" s="1694">
        <f t="shared" si="12"/>
        <v>100</v>
      </c>
      <c r="T31" s="1693" t="s">
        <v>28</v>
      </c>
      <c r="U31" s="1694">
        <f t="shared" si="13"/>
        <v>100</v>
      </c>
      <c r="V31" s="1693" t="s">
        <v>28</v>
      </c>
      <c r="W31" s="1694">
        <f t="shared" si="14"/>
        <v>100</v>
      </c>
      <c r="X31" s="1633"/>
      <c r="Y31" s="3641"/>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6"/>
      <c r="M32" s="2962"/>
      <c r="N32" s="2962"/>
      <c r="O32" s="2962"/>
      <c r="P32" s="3624" t="s">
        <v>2217</v>
      </c>
      <c r="Q32" s="1583" t="str">
        <f t="shared" si="11"/>
        <v>建筑类型</v>
      </c>
      <c r="R32" s="1693" t="s">
        <v>28</v>
      </c>
      <c r="S32" s="1694">
        <f t="shared" si="12"/>
        <v>100</v>
      </c>
      <c r="T32" s="1693" t="s">
        <v>28</v>
      </c>
      <c r="U32" s="1694">
        <f t="shared" si="13"/>
        <v>100</v>
      </c>
      <c r="V32" s="1693" t="s">
        <v>28</v>
      </c>
      <c r="W32" s="1694">
        <f t="shared" si="14"/>
        <v>100</v>
      </c>
      <c r="X32" s="1633"/>
      <c r="Y32" s="3627"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5"/>
      <c r="M33" s="2027"/>
      <c r="N33" s="2027"/>
      <c r="O33" s="2027"/>
      <c r="P33" s="3625"/>
      <c r="Q33" s="1734" t="str">
        <f t="shared" si="11"/>
        <v>项目建筑规模</v>
      </c>
      <c r="R33" s="1735" t="s">
        <v>28</v>
      </c>
      <c r="S33" s="1736" t="e">
        <f t="shared" si="12"/>
        <v>#N/A</v>
      </c>
      <c r="T33" s="1735" t="s">
        <v>28</v>
      </c>
      <c r="U33" s="1736" t="e">
        <f t="shared" si="13"/>
        <v>#N/A</v>
      </c>
      <c r="V33" s="1735" t="s">
        <v>28</v>
      </c>
      <c r="W33" s="1736" t="e">
        <f t="shared" si="14"/>
        <v>#N/A</v>
      </c>
      <c r="X33" s="1737"/>
      <c r="Y33" s="3627"/>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6"/>
      <c r="M34" s="2962"/>
      <c r="N34" s="2962"/>
      <c r="O34" s="2962"/>
      <c r="P34" s="3625"/>
      <c r="Q34" s="1583" t="str">
        <f t="shared" si="11"/>
        <v>建筑结构</v>
      </c>
      <c r="R34" s="1693" t="s">
        <v>28</v>
      </c>
      <c r="S34" s="1694">
        <f t="shared" si="12"/>
        <v>100</v>
      </c>
      <c r="T34" s="1693" t="s">
        <v>28</v>
      </c>
      <c r="U34" s="1694">
        <f t="shared" si="13"/>
        <v>100</v>
      </c>
      <c r="V34" s="1693" t="s">
        <v>28</v>
      </c>
      <c r="W34" s="1694">
        <f t="shared" si="14"/>
        <v>100</v>
      </c>
      <c r="X34" s="1633"/>
      <c r="Y34" s="3627"/>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6"/>
      <c r="M35" s="2962"/>
      <c r="N35" s="2962"/>
      <c r="O35" s="2962"/>
      <c r="P35" s="3625"/>
      <c r="Q35" s="1583" t="str">
        <f t="shared" si="11"/>
        <v>建筑品质</v>
      </c>
      <c r="R35" s="1693" t="s">
        <v>28</v>
      </c>
      <c r="S35" s="1694">
        <f t="shared" si="12"/>
        <v>100</v>
      </c>
      <c r="T35" s="1693" t="s">
        <v>28</v>
      </c>
      <c r="U35" s="1694">
        <f t="shared" si="13"/>
        <v>100</v>
      </c>
      <c r="V35" s="1693" t="s">
        <v>28</v>
      </c>
      <c r="W35" s="1694">
        <f t="shared" si="14"/>
        <v>100</v>
      </c>
      <c r="X35" s="1633"/>
      <c r="Y35" s="3627"/>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6"/>
      <c r="M36" s="2962"/>
      <c r="N36" s="2962"/>
      <c r="O36" s="2962"/>
      <c r="P36" s="3625"/>
      <c r="Q36" s="1583" t="str">
        <f t="shared" si="11"/>
        <v>公共部分装修</v>
      </c>
      <c r="R36" s="1693" t="s">
        <v>28</v>
      </c>
      <c r="S36" s="1694">
        <f t="shared" si="12"/>
        <v>100</v>
      </c>
      <c r="T36" s="1693" t="s">
        <v>28</v>
      </c>
      <c r="U36" s="1694">
        <f t="shared" si="13"/>
        <v>100</v>
      </c>
      <c r="V36" s="1693" t="s">
        <v>28</v>
      </c>
      <c r="W36" s="1694">
        <f t="shared" si="14"/>
        <v>100</v>
      </c>
      <c r="X36" s="1633"/>
      <c r="Y36" s="3627"/>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1"/>
      <c r="M37" s="2934"/>
      <c r="N37" s="2934"/>
      <c r="O37" s="2934"/>
      <c r="P37" s="3625"/>
      <c r="Q37" s="1602" t="str">
        <f t="shared" si="11"/>
        <v>成新度</v>
      </c>
      <c r="R37" s="1648" t="s">
        <v>28</v>
      </c>
      <c r="S37" s="1649" t="e">
        <f t="shared" si="12"/>
        <v>#N/A</v>
      </c>
      <c r="T37" s="1648" t="s">
        <v>28</v>
      </c>
      <c r="U37" s="1649" t="e">
        <f t="shared" si="13"/>
        <v>#N/A</v>
      </c>
      <c r="V37" s="1648" t="s">
        <v>28</v>
      </c>
      <c r="W37" s="1649" t="e">
        <f t="shared" si="14"/>
        <v>#N/A</v>
      </c>
      <c r="X37" s="1650"/>
      <c r="Y37" s="3627"/>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6"/>
      <c r="M38" s="2962"/>
      <c r="N38" s="2962"/>
      <c r="O38" s="2962"/>
      <c r="P38" s="3625" t="s">
        <v>2217</v>
      </c>
      <c r="Q38" s="1583" t="str">
        <f t="shared" si="11"/>
        <v>物业管理</v>
      </c>
      <c r="R38" s="1693" t="s">
        <v>28</v>
      </c>
      <c r="S38" s="1694">
        <f t="shared" si="12"/>
        <v>100</v>
      </c>
      <c r="T38" s="1693" t="s">
        <v>28</v>
      </c>
      <c r="U38" s="1694">
        <f t="shared" si="13"/>
        <v>100</v>
      </c>
      <c r="V38" s="1693" t="s">
        <v>28</v>
      </c>
      <c r="W38" s="1694">
        <f t="shared" si="14"/>
        <v>100</v>
      </c>
      <c r="X38" s="1633"/>
      <c r="Y38" s="3627"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6"/>
      <c r="M39" s="2962"/>
      <c r="N39" s="2962"/>
      <c r="O39" s="2962"/>
      <c r="P39" s="3625"/>
      <c r="Q39" s="1583" t="str">
        <f t="shared" si="11"/>
        <v>市政基础设施</v>
      </c>
      <c r="R39" s="1693" t="s">
        <v>28</v>
      </c>
      <c r="S39" s="1694">
        <f t="shared" si="12"/>
        <v>100</v>
      </c>
      <c r="T39" s="1693" t="s">
        <v>28</v>
      </c>
      <c r="U39" s="1694">
        <f t="shared" si="13"/>
        <v>100</v>
      </c>
      <c r="V39" s="1693" t="s">
        <v>28</v>
      </c>
      <c r="W39" s="1694">
        <f t="shared" si="14"/>
        <v>100</v>
      </c>
      <c r="X39" s="1633"/>
      <c r="Y39" s="3627"/>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6"/>
      <c r="M40" s="2962"/>
      <c r="N40" s="2962"/>
      <c r="O40" s="2962"/>
      <c r="P40" s="3625"/>
      <c r="Q40" s="1583" t="str">
        <f t="shared" si="11"/>
        <v>房型</v>
      </c>
      <c r="R40" s="1693" t="s">
        <v>28</v>
      </c>
      <c r="S40" s="1694">
        <f t="shared" si="12"/>
        <v>100</v>
      </c>
      <c r="T40" s="1693" t="s">
        <v>28</v>
      </c>
      <c r="U40" s="1694">
        <f t="shared" si="13"/>
        <v>100</v>
      </c>
      <c r="V40" s="1693" t="s">
        <v>28</v>
      </c>
      <c r="W40" s="1694">
        <f t="shared" si="14"/>
        <v>100</v>
      </c>
      <c r="X40" s="1633"/>
      <c r="Y40" s="3627"/>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5"/>
      <c r="M41" s="2027"/>
      <c r="N41" s="2027"/>
      <c r="O41" s="2027"/>
      <c r="P41" s="3625"/>
      <c r="Q41" s="1734" t="str">
        <f t="shared" si="11"/>
        <v>单套/主力户型建筑面积</v>
      </c>
      <c r="R41" s="1735" t="s">
        <v>28</v>
      </c>
      <c r="S41" s="1736">
        <f t="shared" si="12"/>
        <v>100</v>
      </c>
      <c r="T41" s="1735" t="s">
        <v>28</v>
      </c>
      <c r="U41" s="1736">
        <f t="shared" si="13"/>
        <v>100</v>
      </c>
      <c r="V41" s="1735" t="s">
        <v>28</v>
      </c>
      <c r="W41" s="1736">
        <f t="shared" si="14"/>
        <v>100</v>
      </c>
      <c r="X41" s="1737"/>
      <c r="Y41" s="3627"/>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6"/>
      <c r="M42" s="2962"/>
      <c r="N42" s="2962"/>
      <c r="O42" s="2962"/>
      <c r="P42" s="3625"/>
      <c r="Q42" s="1583" t="str">
        <f t="shared" si="11"/>
        <v>内部装修</v>
      </c>
      <c r="R42" s="1693" t="s">
        <v>28</v>
      </c>
      <c r="S42" s="1694">
        <f t="shared" si="12"/>
        <v>100</v>
      </c>
      <c r="T42" s="1693" t="s">
        <v>28</v>
      </c>
      <c r="U42" s="1694">
        <f t="shared" si="13"/>
        <v>100</v>
      </c>
      <c r="V42" s="1693" t="s">
        <v>28</v>
      </c>
      <c r="W42" s="1694">
        <f t="shared" si="14"/>
        <v>100</v>
      </c>
      <c r="X42" s="1633"/>
      <c r="Y42" s="3627"/>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6"/>
      <c r="M43" s="2962"/>
      <c r="N43" s="2962"/>
      <c r="O43" s="2962"/>
      <c r="P43" s="3625"/>
      <c r="Q43" s="1583" t="str">
        <f t="shared" si="11"/>
        <v>内部装修维护情况</v>
      </c>
      <c r="R43" s="1693" t="s">
        <v>28</v>
      </c>
      <c r="S43" s="1694">
        <f t="shared" si="12"/>
        <v>100</v>
      </c>
      <c r="T43" s="1693" t="s">
        <v>28</v>
      </c>
      <c r="U43" s="1694">
        <f t="shared" si="13"/>
        <v>100</v>
      </c>
      <c r="V43" s="1693" t="s">
        <v>28</v>
      </c>
      <c r="W43" s="1694">
        <f t="shared" si="14"/>
        <v>100</v>
      </c>
      <c r="X43" s="1633"/>
      <c r="Y43" s="3627"/>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1"/>
      <c r="M44" s="2934"/>
      <c r="N44" s="2934"/>
      <c r="O44" s="2934"/>
      <c r="P44" s="3625"/>
      <c r="Q44" s="1602">
        <f t="shared" si="11"/>
        <v>111</v>
      </c>
      <c r="R44" s="1648" t="s">
        <v>28</v>
      </c>
      <c r="S44" s="1649">
        <f t="shared" si="12"/>
        <v>100</v>
      </c>
      <c r="T44" s="1648" t="s">
        <v>28</v>
      </c>
      <c r="U44" s="1649">
        <f t="shared" si="13"/>
        <v>100</v>
      </c>
      <c r="V44" s="1648" t="s">
        <v>28</v>
      </c>
      <c r="W44" s="1649">
        <f t="shared" si="14"/>
        <v>100</v>
      </c>
      <c r="X44" s="1650"/>
      <c r="Y44" s="362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6"/>
      <c r="M45" s="2962"/>
      <c r="N45" s="2962"/>
      <c r="O45" s="2962"/>
      <c r="P45" s="3625"/>
      <c r="Q45" s="1583">
        <f t="shared" si="11"/>
        <v>111</v>
      </c>
      <c r="R45" s="1693" t="s">
        <v>28</v>
      </c>
      <c r="S45" s="1694">
        <f t="shared" si="12"/>
        <v>100</v>
      </c>
      <c r="T45" s="1693" t="s">
        <v>28</v>
      </c>
      <c r="U45" s="1694">
        <f t="shared" si="13"/>
        <v>100</v>
      </c>
      <c r="V45" s="1693" t="s">
        <v>28</v>
      </c>
      <c r="W45" s="1694">
        <f t="shared" si="14"/>
        <v>100</v>
      </c>
      <c r="X45" s="1633"/>
      <c r="Y45" s="3627"/>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6"/>
      <c r="M46" s="2962"/>
      <c r="N46" s="2962"/>
      <c r="O46" s="2962"/>
      <c r="P46" s="3626"/>
      <c r="Q46" s="1583">
        <f t="shared" si="11"/>
        <v>111</v>
      </c>
      <c r="R46" s="1693" t="s">
        <v>27</v>
      </c>
      <c r="S46" s="1694">
        <f t="shared" si="12"/>
        <v>100</v>
      </c>
      <c r="T46" s="1693" t="s">
        <v>27</v>
      </c>
      <c r="U46" s="1694">
        <f t="shared" si="13"/>
        <v>100</v>
      </c>
      <c r="V46" s="1693" t="s">
        <v>27</v>
      </c>
      <c r="W46" s="1694">
        <f t="shared" si="14"/>
        <v>100</v>
      </c>
      <c r="X46" s="1633"/>
      <c r="Y46" s="3628"/>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7"/>
      <c r="N47" s="2962"/>
      <c r="P47" s="3619" t="str">
        <f>A47</f>
        <v>成交单价（元/平方米）</v>
      </c>
      <c r="Q47" s="3619"/>
      <c r="R47" s="3620">
        <f>E47</f>
        <v>0</v>
      </c>
      <c r="S47" s="3620"/>
      <c r="T47" s="3620">
        <f>G47</f>
        <v>0</v>
      </c>
      <c r="U47" s="3620"/>
      <c r="V47" s="3620">
        <f>I47</f>
        <v>0</v>
      </c>
      <c r="W47" s="3620"/>
      <c r="X47" s="1759"/>
      <c r="Y47" s="1760"/>
      <c r="Z47" s="1759"/>
      <c r="AA47" s="1759"/>
      <c r="AB47" s="1759"/>
      <c r="AC47" s="1759"/>
    </row>
    <row r="48" spans="1:29" ht="15.75" thickBot="1">
      <c r="A48" s="1761" t="s">
        <v>2230</v>
      </c>
      <c r="B48" s="1762"/>
      <c r="C48" s="1763" t="e">
        <f>R49</f>
        <v>#DIV/0!</v>
      </c>
      <c r="D48" s="1764" t="s">
        <v>2681</v>
      </c>
      <c r="E48" s="1765" t="e">
        <f>R48</f>
        <v>#DIV/0!</v>
      </c>
      <c r="F48" s="1766"/>
      <c r="G48" s="1763" t="e">
        <f>T48</f>
        <v>#DIV/0!</v>
      </c>
      <c r="H48" s="1766"/>
      <c r="I48" s="1765" t="e">
        <f>V48</f>
        <v>#DIV/0!</v>
      </c>
      <c r="J48" s="1766"/>
      <c r="K48" s="2478">
        <f>F48+H48+J48</f>
        <v>0</v>
      </c>
      <c r="L48" s="2967"/>
      <c r="P48" s="3619" t="str">
        <f>A48</f>
        <v>比较价值（元/平方米）</v>
      </c>
      <c r="Q48" s="3619"/>
      <c r="R48" s="3620" t="e">
        <f>IF(E1="售价",ROUND(PRODUCT(R47,AA7:AA46),0),ROUND(PRODUCT(R47,AA7:AA46),1))</f>
        <v>#DIV/0!</v>
      </c>
      <c r="S48" s="3620"/>
      <c r="T48" s="3688" t="e">
        <f>IF(E1="售价",ROUND(PRODUCT(T47,AB7:AB46),0),ROUND(PRODUCT(T47,AB7:AB46),1))</f>
        <v>#DIV/0!</v>
      </c>
      <c r="U48" s="3689"/>
      <c r="V48" s="3620" t="e">
        <f>IF(E1="售价",ROUND(PRODUCT(V47,AC7:AC46),0),ROUND(PRODUCT(V47,AC7:AC46),1))</f>
        <v>#DIV/0!</v>
      </c>
      <c r="W48" s="3620"/>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7"/>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59"/>
      <c r="Y49" s="1759"/>
      <c r="Z49" s="1759"/>
      <c r="AA49" s="1759"/>
      <c r="AB49" s="1759"/>
      <c r="AC49" s="1759"/>
    </row>
    <row r="50" spans="1:29">
      <c r="G50" s="2971"/>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4"/>
      <c r="L54" s="2968"/>
      <c r="P54" s="1780"/>
    </row>
    <row r="55" spans="1:29" s="1781" customFormat="1">
      <c r="B55" s="2972"/>
      <c r="C55" s="2973"/>
      <c r="K55" s="2974"/>
      <c r="L55" s="2968"/>
      <c r="P55" s="1780"/>
    </row>
    <row r="56" spans="1:29">
      <c r="B56" s="2972"/>
      <c r="C56" s="2973"/>
    </row>
    <row r="57" spans="1:29" ht="21.75" thickBot="1">
      <c r="A57" s="1784" t="s">
        <v>2235</v>
      </c>
      <c r="B57" s="1759"/>
      <c r="C57" s="1785"/>
      <c r="D57" s="1785"/>
      <c r="E57" s="1785"/>
      <c r="F57" s="1785"/>
      <c r="G57" s="1785"/>
      <c r="H57" s="1785"/>
      <c r="I57" s="1785"/>
      <c r="J57" s="1785"/>
      <c r="K57" s="1786"/>
      <c r="L57" s="2969"/>
      <c r="M57" s="2970"/>
      <c r="N57" s="2970"/>
      <c r="O57" s="2970"/>
      <c r="P57" s="1788"/>
      <c r="Q57" s="1789"/>
    </row>
    <row r="58" spans="1:29" s="1795" customFormat="1" ht="15">
      <c r="A58" s="1790" t="s">
        <v>2236</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90" t="s">
        <v>2290</v>
      </c>
      <c r="E144" s="1901">
        <v>102</v>
      </c>
      <c r="F144" s="1909">
        <v>100</v>
      </c>
      <c r="G144" s="1390"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4" priority="20" stopIfTrue="1" operator="containsText" text="超过">
      <formula>NOT(ISERROR(SEARCH("超过",F52)))</formula>
    </cfRule>
  </conditionalFormatting>
  <conditionalFormatting sqref="J54">
    <cfRule type="containsText" dxfId="113" priority="19" stopIfTrue="1" operator="containsText" text="超过">
      <formula>NOT(ISERROR(SEARCH("超过",J54)))</formula>
    </cfRule>
  </conditionalFormatting>
  <conditionalFormatting sqref="H54">
    <cfRule type="containsText" dxfId="112" priority="18" stopIfTrue="1" operator="containsText" text="超过">
      <formula>NOT(ISERROR(SEARCH("超过",H54)))</formula>
    </cfRule>
  </conditionalFormatting>
  <conditionalFormatting sqref="F54">
    <cfRule type="containsText" dxfId="111" priority="17" stopIfTrue="1" operator="containsText" text="超过">
      <formula>NOT(ISERROR(SEARCH("超过",F54)))</formula>
    </cfRule>
  </conditionalFormatting>
  <conditionalFormatting sqref="F53 H53 J53">
    <cfRule type="containsText" dxfId="110" priority="16" stopIfTrue="1" operator="containsText" text="超过">
      <formula>NOT(ISERROR(SEARCH("超过",F53)))</formula>
    </cfRule>
  </conditionalFormatting>
  <conditionalFormatting sqref="E52">
    <cfRule type="expression" dxfId="109" priority="15" stopIfTrue="1">
      <formula>$F$52="超过30%"</formula>
    </cfRule>
  </conditionalFormatting>
  <conditionalFormatting sqref="G54">
    <cfRule type="expression" dxfId="108" priority="13" stopIfTrue="1">
      <formula>$H$54="超过30%"</formula>
    </cfRule>
  </conditionalFormatting>
  <conditionalFormatting sqref="E53">
    <cfRule type="expression" dxfId="107" priority="12" stopIfTrue="1">
      <formula>$F$53="超过20%"</formula>
    </cfRule>
  </conditionalFormatting>
  <conditionalFormatting sqref="E54">
    <cfRule type="expression" dxfId="106" priority="11" stopIfTrue="1">
      <formula>$F$54="超过30%"</formula>
    </cfRule>
  </conditionalFormatting>
  <conditionalFormatting sqref="G52">
    <cfRule type="expression" dxfId="105" priority="10" stopIfTrue="1">
      <formula>$H$52="超过30%"</formula>
    </cfRule>
  </conditionalFormatting>
  <conditionalFormatting sqref="G53">
    <cfRule type="expression" dxfId="104" priority="9" stopIfTrue="1">
      <formula>$H$53="超过20%"</formula>
    </cfRule>
  </conditionalFormatting>
  <conditionalFormatting sqref="I52">
    <cfRule type="expression" dxfId="103" priority="8" stopIfTrue="1">
      <formula>$J$52="超过30%"</formula>
    </cfRule>
  </conditionalFormatting>
  <conditionalFormatting sqref="I53">
    <cfRule type="expression" dxfId="102" priority="7" stopIfTrue="1">
      <formula>$J$53="超过20%"</formula>
    </cfRule>
  </conditionalFormatting>
  <conditionalFormatting sqref="I54">
    <cfRule type="expression" dxfId="101" priority="6"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2182</v>
      </c>
      <c r="B1" s="1197" t="s">
        <v>2341</v>
      </c>
      <c r="C1" s="1189"/>
      <c r="D1" s="1202"/>
      <c r="E1" s="1526"/>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2185</v>
      </c>
      <c r="D3" s="292">
        <f>IF(C1="仅计算典型户型",'数据-取费表'!E5,'数据-取费表'!B5)</f>
        <v>189.52</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3" t="s">
        <v>2187</v>
      </c>
      <c r="D4" s="3714"/>
      <c r="E4" s="3715" t="s">
        <v>2188</v>
      </c>
      <c r="F4" s="3716"/>
      <c r="G4" s="3713" t="s">
        <v>2189</v>
      </c>
      <c r="H4" s="3714"/>
      <c r="I4" s="3713" t="s">
        <v>2190</v>
      </c>
      <c r="J4" s="3714"/>
      <c r="K4" s="496" t="s">
        <v>2191</v>
      </c>
      <c r="L4" s="2989"/>
      <c r="M4" s="2990"/>
      <c r="N4" s="2990"/>
      <c r="O4" s="2990"/>
      <c r="P4" s="3717" t="s">
        <v>2192</v>
      </c>
      <c r="Q4" s="3718"/>
      <c r="R4" s="3700" t="s">
        <v>2188</v>
      </c>
      <c r="S4" s="3701"/>
      <c r="T4" s="3700" t="s">
        <v>2189</v>
      </c>
      <c r="U4" s="3701"/>
      <c r="V4" s="3723" t="s">
        <v>2190</v>
      </c>
      <c r="W4" s="3723"/>
      <c r="X4" s="1305"/>
      <c r="Y4" s="3700" t="s">
        <v>2192</v>
      </c>
      <c r="Z4" s="3701"/>
      <c r="AA4" s="3710" t="s">
        <v>2188</v>
      </c>
      <c r="AB4" s="3711" t="s">
        <v>2189</v>
      </c>
      <c r="AC4" s="3710" t="s">
        <v>2190</v>
      </c>
    </row>
    <row r="5" spans="1:29" ht="15">
      <c r="A5" s="297"/>
      <c r="B5" s="298"/>
      <c r="C5" s="3726" t="s">
        <v>2193</v>
      </c>
      <c r="D5" s="3727"/>
      <c r="E5" s="3724" t="s">
        <v>2194</v>
      </c>
      <c r="F5" s="3725"/>
      <c r="G5" s="3726" t="s">
        <v>2195</v>
      </c>
      <c r="H5" s="3727"/>
      <c r="I5" s="3726" t="s">
        <v>2196</v>
      </c>
      <c r="J5" s="3727"/>
      <c r="K5" s="496"/>
      <c r="L5" s="2989"/>
      <c r="M5" s="2990"/>
      <c r="N5" s="2990"/>
      <c r="O5" s="2990"/>
      <c r="P5" s="3719"/>
      <c r="Q5" s="3720"/>
      <c r="R5" s="3702"/>
      <c r="S5" s="3703"/>
      <c r="T5" s="3702"/>
      <c r="U5" s="3703"/>
      <c r="V5" s="3723"/>
      <c r="W5" s="3723"/>
      <c r="X5" s="1305"/>
      <c r="Y5" s="3702"/>
      <c r="Z5" s="3703"/>
      <c r="AA5" s="3711"/>
      <c r="AB5" s="3711"/>
      <c r="AC5" s="3711"/>
    </row>
    <row r="6" spans="1:29" ht="15.75" thickBot="1">
      <c r="A6" s="299"/>
      <c r="B6" s="300"/>
      <c r="C6" s="3728" t="s">
        <v>2197</v>
      </c>
      <c r="D6" s="3729"/>
      <c r="E6" s="3730" t="s">
        <v>2197</v>
      </c>
      <c r="F6" s="3731"/>
      <c r="G6" s="3728" t="s">
        <v>2197</v>
      </c>
      <c r="H6" s="3729"/>
      <c r="I6" s="3728" t="s">
        <v>2197</v>
      </c>
      <c r="J6" s="3729"/>
      <c r="K6" s="496" t="s">
        <v>2198</v>
      </c>
      <c r="L6" s="2989"/>
      <c r="M6" s="2990"/>
      <c r="N6" s="2990"/>
      <c r="O6" s="2990"/>
      <c r="P6" s="3721"/>
      <c r="Q6" s="3722"/>
      <c r="R6" s="3702"/>
      <c r="S6" s="3703"/>
      <c r="T6" s="3704"/>
      <c r="U6" s="3705"/>
      <c r="V6" s="3723"/>
      <c r="W6" s="3723"/>
      <c r="X6" s="1305"/>
      <c r="Y6" s="3704"/>
      <c r="Z6" s="3705"/>
      <c r="AA6" s="3712"/>
      <c r="AB6" s="3712"/>
      <c r="AC6" s="3712"/>
    </row>
    <row r="7" spans="1:29" s="25" customFormat="1" ht="15.75" thickBot="1">
      <c r="A7" s="301" t="s">
        <v>2199</v>
      </c>
      <c r="B7" s="302"/>
      <c r="C7" s="303">
        <f>'数据-取费表'!B2</f>
        <v>44727</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98" t="s">
        <v>2200</v>
      </c>
      <c r="Q7" s="3706"/>
      <c r="R7" s="627" t="s">
        <v>25</v>
      </c>
      <c r="S7" s="628">
        <f t="shared" ref="S7:S15" si="0">F7</f>
        <v>0</v>
      </c>
      <c r="T7" s="627" t="s">
        <v>25</v>
      </c>
      <c r="U7" s="628">
        <f t="shared" ref="U7:U15" si="1">H7</f>
        <v>0</v>
      </c>
      <c r="V7" s="627" t="s">
        <v>25</v>
      </c>
      <c r="W7" s="628">
        <f t="shared" ref="W7:W15" si="2">J7</f>
        <v>0</v>
      </c>
      <c r="X7" s="629"/>
      <c r="Y7" s="3698" t="s">
        <v>2200</v>
      </c>
      <c r="Z7" s="3699"/>
      <c r="AA7" s="630" t="e">
        <f>D7/F7</f>
        <v>#DIV/0!</v>
      </c>
      <c r="AB7" s="630" t="e">
        <f>D7/H7</f>
        <v>#DIV/0!</v>
      </c>
      <c r="AC7" s="630" t="e">
        <f>D7/J7</f>
        <v>#DIV/0!</v>
      </c>
    </row>
    <row r="8" spans="1:29" s="25" customFormat="1" ht="15.75" thickBot="1">
      <c r="A8" s="301" t="s">
        <v>2201</v>
      </c>
      <c r="B8" s="302"/>
      <c r="C8" s="307" t="s">
        <v>2816</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98" t="s">
        <v>2203</v>
      </c>
      <c r="Q8" s="3699"/>
      <c r="R8" s="627" t="s">
        <v>25</v>
      </c>
      <c r="S8" s="628">
        <f t="shared" si="0"/>
        <v>0</v>
      </c>
      <c r="T8" s="627" t="s">
        <v>25</v>
      </c>
      <c r="U8" s="628">
        <f t="shared" si="1"/>
        <v>0</v>
      </c>
      <c r="V8" s="627" t="s">
        <v>25</v>
      </c>
      <c r="W8" s="628">
        <f t="shared" si="2"/>
        <v>0</v>
      </c>
      <c r="X8" s="629"/>
      <c r="Y8" s="3698" t="s">
        <v>2203</v>
      </c>
      <c r="Z8" s="3699"/>
      <c r="AA8" s="630" t="e">
        <f t="shared" ref="AA8:AA40" si="3">D8/F8</f>
        <v>#DIV/0!</v>
      </c>
      <c r="AB8" s="630" t="e">
        <f t="shared" ref="AB8:AB40" si="4">D8/H8</f>
        <v>#DIV/0!</v>
      </c>
      <c r="AC8" s="630"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90" t="s">
        <v>2206</v>
      </c>
      <c r="Q9" s="1297" t="str">
        <f t="shared" ref="Q9:Q15" si="6">B9</f>
        <v>用途</v>
      </c>
      <c r="R9" s="627" t="s">
        <v>25</v>
      </c>
      <c r="S9" s="628">
        <f t="shared" si="0"/>
        <v>100</v>
      </c>
      <c r="T9" s="627" t="s">
        <v>25</v>
      </c>
      <c r="U9" s="628">
        <f t="shared" si="1"/>
        <v>100</v>
      </c>
      <c r="V9" s="627" t="s">
        <v>25</v>
      </c>
      <c r="W9" s="628">
        <f t="shared" si="2"/>
        <v>100</v>
      </c>
      <c r="X9" s="629"/>
      <c r="Y9" s="3709" t="s">
        <v>2207</v>
      </c>
      <c r="Z9" s="19" t="str">
        <f t="shared" ref="Z9:Z15" si="7">Q9</f>
        <v>用途</v>
      </c>
      <c r="AA9" s="630">
        <f t="shared" si="3"/>
        <v>1</v>
      </c>
      <c r="AB9" s="630">
        <f t="shared" si="4"/>
        <v>1</v>
      </c>
      <c r="AC9" s="630">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90"/>
      <c r="Q10" s="1297" t="str">
        <f t="shared" si="6"/>
        <v>土地使用年限（年）</v>
      </c>
      <c r="R10" s="627" t="s">
        <v>25</v>
      </c>
      <c r="S10" s="628">
        <f t="shared" si="0"/>
        <v>100</v>
      </c>
      <c r="T10" s="627" t="s">
        <v>25</v>
      </c>
      <c r="U10" s="628">
        <f t="shared" si="1"/>
        <v>100</v>
      </c>
      <c r="V10" s="627" t="s">
        <v>25</v>
      </c>
      <c r="W10" s="628">
        <f t="shared" si="2"/>
        <v>100</v>
      </c>
      <c r="X10" s="629"/>
      <c r="Y10" s="3709"/>
      <c r="Z10" s="19" t="str">
        <f t="shared" si="7"/>
        <v>土地使用年限（年）</v>
      </c>
      <c r="AA10" s="630">
        <f t="shared" si="3"/>
        <v>1</v>
      </c>
      <c r="AB10" s="630">
        <f t="shared" si="4"/>
        <v>1</v>
      </c>
      <c r="AC10" s="630">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90"/>
      <c r="Q11" s="1297" t="str">
        <f t="shared" si="6"/>
        <v>容积率</v>
      </c>
      <c r="R11" s="627" t="s">
        <v>25</v>
      </c>
      <c r="S11" s="628" t="e">
        <f t="shared" si="0"/>
        <v>#N/A</v>
      </c>
      <c r="T11" s="627" t="s">
        <v>25</v>
      </c>
      <c r="U11" s="628" t="e">
        <f t="shared" si="1"/>
        <v>#N/A</v>
      </c>
      <c r="V11" s="627" t="s">
        <v>25</v>
      </c>
      <c r="W11" s="628" t="e">
        <f t="shared" si="2"/>
        <v>#N/A</v>
      </c>
      <c r="X11" s="629"/>
      <c r="Y11" s="3709"/>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1"/>
      <c r="M12" s="2992"/>
      <c r="N12" s="2992"/>
      <c r="O12" s="2993"/>
      <c r="P12" s="3690"/>
      <c r="Q12" s="1297">
        <f t="shared" si="6"/>
        <v>111</v>
      </c>
      <c r="R12" s="627" t="s">
        <v>25</v>
      </c>
      <c r="S12" s="628">
        <f t="shared" si="0"/>
        <v>100</v>
      </c>
      <c r="T12" s="627" t="s">
        <v>25</v>
      </c>
      <c r="U12" s="628">
        <f t="shared" si="1"/>
        <v>100</v>
      </c>
      <c r="V12" s="627" t="s">
        <v>25</v>
      </c>
      <c r="W12" s="628">
        <f t="shared" si="2"/>
        <v>100</v>
      </c>
      <c r="X12" s="629"/>
      <c r="Y12" s="3709"/>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9"/>
      <c r="M13" s="2990"/>
      <c r="N13" s="2990"/>
      <c r="O13" s="2998"/>
      <c r="P13" s="3690"/>
      <c r="Q13" s="1297">
        <f t="shared" si="6"/>
        <v>111</v>
      </c>
      <c r="R13" s="627" t="s">
        <v>25</v>
      </c>
      <c r="S13" s="628">
        <f t="shared" si="0"/>
        <v>100</v>
      </c>
      <c r="T13" s="627" t="s">
        <v>25</v>
      </c>
      <c r="U13" s="628">
        <f t="shared" si="1"/>
        <v>100</v>
      </c>
      <c r="V13" s="627" t="s">
        <v>25</v>
      </c>
      <c r="W13" s="628">
        <f t="shared" si="2"/>
        <v>100</v>
      </c>
      <c r="X13" s="629"/>
      <c r="Y13" s="3709"/>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9"/>
      <c r="M14" s="2990"/>
      <c r="N14" s="2990"/>
      <c r="O14" s="2998"/>
      <c r="P14" s="3690"/>
      <c r="Q14" s="1297">
        <f t="shared" si="6"/>
        <v>111</v>
      </c>
      <c r="R14" s="627" t="s">
        <v>25</v>
      </c>
      <c r="S14" s="628">
        <f t="shared" si="0"/>
        <v>100</v>
      </c>
      <c r="T14" s="627" t="s">
        <v>25</v>
      </c>
      <c r="U14" s="628">
        <f t="shared" si="1"/>
        <v>100</v>
      </c>
      <c r="V14" s="627" t="s">
        <v>25</v>
      </c>
      <c r="W14" s="628">
        <f t="shared" si="2"/>
        <v>100</v>
      </c>
      <c r="X14" s="629"/>
      <c r="Y14" s="3709"/>
      <c r="Z14" s="19">
        <f t="shared" si="7"/>
        <v>111</v>
      </c>
      <c r="AA14" s="630">
        <f t="shared" si="3"/>
        <v>1</v>
      </c>
      <c r="AB14" s="630">
        <f t="shared" si="4"/>
        <v>1</v>
      </c>
      <c r="AC14" s="630">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707" t="s">
        <v>2211</v>
      </c>
      <c r="Q15" s="1304" t="str">
        <f t="shared" si="6"/>
        <v>产业集聚程度</v>
      </c>
      <c r="R15" s="631" t="s">
        <v>25</v>
      </c>
      <c r="S15" s="632">
        <f t="shared" si="0"/>
        <v>100</v>
      </c>
      <c r="T15" s="631" t="s">
        <v>25</v>
      </c>
      <c r="U15" s="632">
        <f t="shared" si="1"/>
        <v>100</v>
      </c>
      <c r="V15" s="631" t="s">
        <v>25</v>
      </c>
      <c r="W15" s="632">
        <f t="shared" si="2"/>
        <v>100</v>
      </c>
      <c r="X15" s="1305"/>
      <c r="Y15" s="3707" t="s">
        <v>2211</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708"/>
      <c r="Q16" s="1304"/>
      <c r="R16" s="631"/>
      <c r="S16" s="632"/>
      <c r="T16" s="631"/>
      <c r="U16" s="632"/>
      <c r="V16" s="631"/>
      <c r="W16" s="632"/>
      <c r="X16" s="1305"/>
      <c r="Y16" s="3708"/>
      <c r="Z16" s="1306"/>
      <c r="AA16" s="1307">
        <v>1</v>
      </c>
      <c r="AB16" s="1307">
        <v>1</v>
      </c>
      <c r="AC16" s="1307">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708"/>
      <c r="Q17" s="1304" t="str">
        <f>B17</f>
        <v>交通便捷度</v>
      </c>
      <c r="R17" s="631" t="s">
        <v>25</v>
      </c>
      <c r="S17" s="632">
        <f>F17</f>
        <v>100</v>
      </c>
      <c r="T17" s="631" t="s">
        <v>25</v>
      </c>
      <c r="U17" s="632">
        <f>H17</f>
        <v>100</v>
      </c>
      <c r="V17" s="631" t="s">
        <v>25</v>
      </c>
      <c r="W17" s="632">
        <f>J17</f>
        <v>100</v>
      </c>
      <c r="X17" s="1305"/>
      <c r="Y17" s="3708"/>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2999"/>
      <c r="M18" s="2990"/>
      <c r="N18" s="2990"/>
      <c r="O18" s="2998"/>
      <c r="P18" s="3708"/>
      <c r="Q18" s="1304"/>
      <c r="R18" s="631"/>
      <c r="S18" s="632"/>
      <c r="T18" s="631"/>
      <c r="U18" s="632"/>
      <c r="V18" s="631"/>
      <c r="W18" s="632"/>
      <c r="X18" s="1305"/>
      <c r="Y18" s="3708"/>
      <c r="Z18" s="1306"/>
      <c r="AA18" s="1307">
        <v>1</v>
      </c>
      <c r="AB18" s="1307">
        <v>1</v>
      </c>
      <c r="AC18" s="1307">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708"/>
      <c r="Q19" s="1304" t="str">
        <f>B19</f>
        <v>公共配套设施</v>
      </c>
      <c r="R19" s="631" t="s">
        <v>25</v>
      </c>
      <c r="S19" s="632">
        <f>F19</f>
        <v>100</v>
      </c>
      <c r="T19" s="631" t="s">
        <v>25</v>
      </c>
      <c r="U19" s="632">
        <f>H19</f>
        <v>100</v>
      </c>
      <c r="V19" s="631" t="s">
        <v>25</v>
      </c>
      <c r="W19" s="632">
        <f>J19</f>
        <v>100</v>
      </c>
      <c r="X19" s="1305"/>
      <c r="Y19" s="3708"/>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2999"/>
      <c r="M20" s="2990"/>
      <c r="N20" s="2990"/>
      <c r="O20" s="2998"/>
      <c r="P20" s="3708"/>
      <c r="Q20" s="1304"/>
      <c r="R20" s="631"/>
      <c r="S20" s="632"/>
      <c r="T20" s="631"/>
      <c r="U20" s="632"/>
      <c r="V20" s="631"/>
      <c r="W20" s="632"/>
      <c r="X20" s="1305"/>
      <c r="Y20" s="3708"/>
      <c r="Z20" s="1306"/>
      <c r="AA20" s="1307">
        <v>1</v>
      </c>
      <c r="AB20" s="1307">
        <v>1</v>
      </c>
      <c r="AC20" s="1307">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708"/>
      <c r="Q21" s="1304" t="str">
        <f>B21</f>
        <v>基础设施水平</v>
      </c>
      <c r="R21" s="631" t="s">
        <v>25</v>
      </c>
      <c r="S21" s="632">
        <f>F21</f>
        <v>100</v>
      </c>
      <c r="T21" s="631" t="s">
        <v>25</v>
      </c>
      <c r="U21" s="632">
        <f>H21</f>
        <v>100</v>
      </c>
      <c r="V21" s="631" t="s">
        <v>25</v>
      </c>
      <c r="W21" s="632">
        <f>J21</f>
        <v>100</v>
      </c>
      <c r="X21" s="1305"/>
      <c r="Y21" s="3708"/>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2999"/>
      <c r="M22" s="2990"/>
      <c r="N22" s="2990"/>
      <c r="O22" s="2998"/>
      <c r="P22" s="3708"/>
      <c r="Q22" s="1304"/>
      <c r="R22" s="631"/>
      <c r="S22" s="632"/>
      <c r="T22" s="631"/>
      <c r="U22" s="632"/>
      <c r="V22" s="631"/>
      <c r="W22" s="632"/>
      <c r="X22" s="1305"/>
      <c r="Y22" s="3708"/>
      <c r="Z22" s="1306"/>
      <c r="AA22" s="1307">
        <v>1</v>
      </c>
      <c r="AB22" s="1307">
        <v>1</v>
      </c>
      <c r="AC22" s="1307">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708"/>
      <c r="Q23" s="1304" t="str">
        <f>B23</f>
        <v>环境质量</v>
      </c>
      <c r="R23" s="631" t="s">
        <v>25</v>
      </c>
      <c r="S23" s="632">
        <f>F23</f>
        <v>100</v>
      </c>
      <c r="T23" s="631" t="s">
        <v>25</v>
      </c>
      <c r="U23" s="632">
        <f>H23</f>
        <v>100</v>
      </c>
      <c r="V23" s="631" t="s">
        <v>25</v>
      </c>
      <c r="W23" s="632">
        <f>J23</f>
        <v>100</v>
      </c>
      <c r="X23" s="1305"/>
      <c r="Y23" s="3708"/>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2999"/>
      <c r="M24" s="2990"/>
      <c r="N24" s="2990"/>
      <c r="O24" s="2998"/>
      <c r="P24" s="3708"/>
      <c r="Q24" s="1304"/>
      <c r="R24" s="631"/>
      <c r="S24" s="632"/>
      <c r="T24" s="631"/>
      <c r="U24" s="632"/>
      <c r="V24" s="631"/>
      <c r="W24" s="632"/>
      <c r="X24" s="1305"/>
      <c r="Y24" s="3708"/>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708"/>
      <c r="Q25" s="1304">
        <f>B25</f>
        <v>111</v>
      </c>
      <c r="R25" s="631" t="s">
        <v>25</v>
      </c>
      <c r="S25" s="632">
        <f>F25</f>
        <v>100</v>
      </c>
      <c r="T25" s="631" t="s">
        <v>25</v>
      </c>
      <c r="U25" s="632">
        <f>H25</f>
        <v>100</v>
      </c>
      <c r="V25" s="631" t="s">
        <v>25</v>
      </c>
      <c r="W25" s="632">
        <f>J25</f>
        <v>100</v>
      </c>
      <c r="X25" s="1305"/>
      <c r="Y25" s="3708"/>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708"/>
      <c r="Q26" s="1304">
        <f t="shared" ref="Q26:Q40" si="11">B26</f>
        <v>111</v>
      </c>
      <c r="R26" s="631" t="s">
        <v>25</v>
      </c>
      <c r="S26" s="632">
        <f>F26</f>
        <v>100</v>
      </c>
      <c r="T26" s="631" t="s">
        <v>25</v>
      </c>
      <c r="U26" s="632">
        <f>H26</f>
        <v>100</v>
      </c>
      <c r="V26" s="631" t="s">
        <v>25</v>
      </c>
      <c r="W26" s="632">
        <f>J26</f>
        <v>100</v>
      </c>
      <c r="X26" s="1305"/>
      <c r="Y26" s="3708"/>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708"/>
      <c r="Q27" s="1297">
        <f t="shared" si="11"/>
        <v>111</v>
      </c>
      <c r="R27" s="627" t="s">
        <v>25</v>
      </c>
      <c r="S27" s="628">
        <f>F27</f>
        <v>100</v>
      </c>
      <c r="T27" s="627" t="s">
        <v>25</v>
      </c>
      <c r="U27" s="628">
        <f>H27</f>
        <v>100</v>
      </c>
      <c r="V27" s="627" t="s">
        <v>25</v>
      </c>
      <c r="W27" s="628">
        <f>J27</f>
        <v>100</v>
      </c>
      <c r="X27" s="629"/>
      <c r="Y27" s="3708"/>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708"/>
      <c r="Q28" s="1304">
        <f t="shared" si="11"/>
        <v>111</v>
      </c>
      <c r="R28" s="631" t="s">
        <v>25</v>
      </c>
      <c r="S28" s="632">
        <f t="shared" ref="S28:S40" si="12">F28</f>
        <v>100</v>
      </c>
      <c r="T28" s="631" t="s">
        <v>25</v>
      </c>
      <c r="U28" s="632">
        <f t="shared" ref="U28:U40" si="13">H28</f>
        <v>100</v>
      </c>
      <c r="V28" s="631" t="s">
        <v>25</v>
      </c>
      <c r="W28" s="632">
        <f t="shared" ref="W28:W40" si="14">J28</f>
        <v>100</v>
      </c>
      <c r="X28" s="1305"/>
      <c r="Y28" s="3708"/>
      <c r="Z28" s="1306">
        <f t="shared" ref="Z28:Z40" si="15">Q28</f>
        <v>111</v>
      </c>
      <c r="AA28" s="1307">
        <f t="shared" si="3"/>
        <v>1</v>
      </c>
      <c r="AB28" s="1307">
        <f t="shared" si="4"/>
        <v>1</v>
      </c>
      <c r="AC28" s="1307">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2999"/>
      <c r="M29" s="2990"/>
      <c r="N29" s="2990"/>
      <c r="O29" s="2998"/>
      <c r="P29" s="3695" t="s">
        <v>2217</v>
      </c>
      <c r="Q29" s="1304" t="str">
        <f t="shared" si="11"/>
        <v>建筑类型</v>
      </c>
      <c r="R29" s="631" t="s">
        <v>25</v>
      </c>
      <c r="S29" s="632">
        <f t="shared" si="12"/>
        <v>100</v>
      </c>
      <c r="T29" s="631" t="s">
        <v>25</v>
      </c>
      <c r="U29" s="632">
        <f t="shared" si="13"/>
        <v>100</v>
      </c>
      <c r="V29" s="631" t="s">
        <v>25</v>
      </c>
      <c r="W29" s="632">
        <f t="shared" si="14"/>
        <v>100</v>
      </c>
      <c r="X29" s="1305"/>
      <c r="Y29" s="3696" t="s">
        <v>2217</v>
      </c>
      <c r="Z29" s="1306" t="str">
        <f t="shared" si="15"/>
        <v>建筑类型</v>
      </c>
      <c r="AA29" s="1307">
        <f t="shared" si="3"/>
        <v>1</v>
      </c>
      <c r="AB29" s="1307">
        <f t="shared" si="4"/>
        <v>1</v>
      </c>
      <c r="AC29" s="1307">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96"/>
      <c r="Q30" s="633" t="str">
        <f t="shared" si="11"/>
        <v>项目建筑规模</v>
      </c>
      <c r="R30" s="634" t="s">
        <v>25</v>
      </c>
      <c r="S30" s="635" t="e">
        <f t="shared" si="12"/>
        <v>#N/A</v>
      </c>
      <c r="T30" s="634" t="s">
        <v>25</v>
      </c>
      <c r="U30" s="635" t="e">
        <f t="shared" si="13"/>
        <v>#N/A</v>
      </c>
      <c r="V30" s="634" t="s">
        <v>25</v>
      </c>
      <c r="W30" s="635" t="e">
        <f t="shared" si="14"/>
        <v>#N/A</v>
      </c>
      <c r="X30" s="636"/>
      <c r="Y30" s="3696"/>
      <c r="Z30" s="637" t="str">
        <f t="shared" si="15"/>
        <v>项目建筑规模</v>
      </c>
      <c r="AA30" s="1307" t="e">
        <f t="shared" si="3"/>
        <v>#N/A</v>
      </c>
      <c r="AB30" s="1307" t="e">
        <f t="shared" si="4"/>
        <v>#N/A</v>
      </c>
      <c r="AC30" s="1307"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96"/>
      <c r="Q31" s="1304" t="str">
        <f t="shared" si="11"/>
        <v>建筑结构</v>
      </c>
      <c r="R31" s="631" t="s">
        <v>25</v>
      </c>
      <c r="S31" s="632">
        <f t="shared" si="12"/>
        <v>100</v>
      </c>
      <c r="T31" s="631" t="s">
        <v>25</v>
      </c>
      <c r="U31" s="632">
        <f t="shared" si="13"/>
        <v>100</v>
      </c>
      <c r="V31" s="631" t="s">
        <v>25</v>
      </c>
      <c r="W31" s="632">
        <f t="shared" si="14"/>
        <v>100</v>
      </c>
      <c r="X31" s="1305"/>
      <c r="Y31" s="3696"/>
      <c r="Z31" s="1306" t="str">
        <f t="shared" si="15"/>
        <v>建筑结构</v>
      </c>
      <c r="AA31" s="1307">
        <f t="shared" si="3"/>
        <v>1</v>
      </c>
      <c r="AB31" s="1307">
        <f t="shared" si="4"/>
        <v>1</v>
      </c>
      <c r="AC31" s="1307">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96"/>
      <c r="Q32" s="1304" t="str">
        <f t="shared" si="11"/>
        <v>公共部分装修</v>
      </c>
      <c r="R32" s="631" t="s">
        <v>25</v>
      </c>
      <c r="S32" s="632">
        <f t="shared" si="12"/>
        <v>100</v>
      </c>
      <c r="T32" s="631" t="s">
        <v>25</v>
      </c>
      <c r="U32" s="632">
        <f t="shared" si="13"/>
        <v>100</v>
      </c>
      <c r="V32" s="631" t="s">
        <v>25</v>
      </c>
      <c r="W32" s="632">
        <f t="shared" si="14"/>
        <v>100</v>
      </c>
      <c r="X32" s="1305"/>
      <c r="Y32" s="3696"/>
      <c r="Z32" s="1306" t="str">
        <f t="shared" si="15"/>
        <v>公共部分装修</v>
      </c>
      <c r="AA32" s="1307">
        <f t="shared" si="3"/>
        <v>1</v>
      </c>
      <c r="AB32" s="1307">
        <f t="shared" si="4"/>
        <v>1</v>
      </c>
      <c r="AC32" s="1307">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96"/>
      <c r="Q33" s="1304" t="str">
        <f t="shared" si="11"/>
        <v>成新度</v>
      </c>
      <c r="R33" s="631" t="s">
        <v>25</v>
      </c>
      <c r="S33" s="632" t="e">
        <f t="shared" si="12"/>
        <v>#N/A</v>
      </c>
      <c r="T33" s="631" t="s">
        <v>25</v>
      </c>
      <c r="U33" s="632" t="e">
        <f t="shared" si="13"/>
        <v>#N/A</v>
      </c>
      <c r="V33" s="631" t="s">
        <v>25</v>
      </c>
      <c r="W33" s="632" t="e">
        <f t="shared" si="14"/>
        <v>#N/A</v>
      </c>
      <c r="X33" s="1305"/>
      <c r="Y33" s="3696"/>
      <c r="Z33" s="1306" t="str">
        <f t="shared" si="15"/>
        <v>成新度</v>
      </c>
      <c r="AA33" s="1307" t="e">
        <f t="shared" si="3"/>
        <v>#N/A</v>
      </c>
      <c r="AB33" s="1307" t="e">
        <f t="shared" si="4"/>
        <v>#N/A</v>
      </c>
      <c r="AC33" s="1307"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96"/>
      <c r="Q34" s="1297" t="str">
        <f t="shared" si="11"/>
        <v>物业管理</v>
      </c>
      <c r="R34" s="627" t="s">
        <v>25</v>
      </c>
      <c r="S34" s="628">
        <f t="shared" si="12"/>
        <v>100</v>
      </c>
      <c r="T34" s="627" t="s">
        <v>25</v>
      </c>
      <c r="U34" s="628">
        <f t="shared" si="13"/>
        <v>100</v>
      </c>
      <c r="V34" s="627" t="s">
        <v>25</v>
      </c>
      <c r="W34" s="628">
        <f t="shared" si="14"/>
        <v>100</v>
      </c>
      <c r="X34" s="629"/>
      <c r="Y34" s="3696"/>
      <c r="Z34" s="19" t="str">
        <f t="shared" si="15"/>
        <v>物业管理</v>
      </c>
      <c r="AA34" s="630">
        <f t="shared" si="3"/>
        <v>1</v>
      </c>
      <c r="AB34" s="630">
        <f t="shared" si="4"/>
        <v>1</v>
      </c>
      <c r="AC34" s="630">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96" t="s">
        <v>2217</v>
      </c>
      <c r="Q35" s="1304" t="str">
        <f t="shared" si="11"/>
        <v>市政基础设施</v>
      </c>
      <c r="R35" s="631" t="s">
        <v>25</v>
      </c>
      <c r="S35" s="632">
        <f t="shared" si="12"/>
        <v>100</v>
      </c>
      <c r="T35" s="631" t="s">
        <v>25</v>
      </c>
      <c r="U35" s="632">
        <f t="shared" si="13"/>
        <v>100</v>
      </c>
      <c r="V35" s="631" t="s">
        <v>25</v>
      </c>
      <c r="W35" s="632">
        <f t="shared" si="14"/>
        <v>100</v>
      </c>
      <c r="X35" s="1305"/>
      <c r="Y35" s="3696" t="s">
        <v>2217</v>
      </c>
      <c r="Z35" s="1306" t="str">
        <f t="shared" si="15"/>
        <v>市政基础设施</v>
      </c>
      <c r="AA35" s="1307">
        <f t="shared" si="3"/>
        <v>1</v>
      </c>
      <c r="AB35" s="1307">
        <f t="shared" si="4"/>
        <v>1</v>
      </c>
      <c r="AC35" s="1307">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96"/>
      <c r="Q36" s="1304" t="str">
        <f t="shared" si="11"/>
        <v>内部装修</v>
      </c>
      <c r="R36" s="631" t="s">
        <v>25</v>
      </c>
      <c r="S36" s="632">
        <f t="shared" si="12"/>
        <v>100</v>
      </c>
      <c r="T36" s="631" t="s">
        <v>25</v>
      </c>
      <c r="U36" s="632">
        <f t="shared" si="13"/>
        <v>100</v>
      </c>
      <c r="V36" s="631" t="s">
        <v>25</v>
      </c>
      <c r="W36" s="632">
        <f t="shared" si="14"/>
        <v>100</v>
      </c>
      <c r="X36" s="1305"/>
      <c r="Y36" s="3696"/>
      <c r="Z36" s="1306" t="str">
        <f t="shared" si="15"/>
        <v>内部装修</v>
      </c>
      <c r="AA36" s="1307">
        <f t="shared" si="3"/>
        <v>1</v>
      </c>
      <c r="AB36" s="1307">
        <f t="shared" si="4"/>
        <v>1</v>
      </c>
      <c r="AC36" s="1307">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96"/>
      <c r="Q37" s="1304" t="str">
        <f t="shared" si="11"/>
        <v>内部装修状况</v>
      </c>
      <c r="R37" s="631" t="s">
        <v>25</v>
      </c>
      <c r="S37" s="632">
        <f t="shared" si="12"/>
        <v>100</v>
      </c>
      <c r="T37" s="631" t="s">
        <v>25</v>
      </c>
      <c r="U37" s="632">
        <f t="shared" si="13"/>
        <v>100</v>
      </c>
      <c r="V37" s="631" t="s">
        <v>25</v>
      </c>
      <c r="W37" s="632">
        <f t="shared" si="14"/>
        <v>100</v>
      </c>
      <c r="X37" s="1305"/>
      <c r="Y37" s="3696"/>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96"/>
      <c r="Q38" s="633">
        <f t="shared" si="11"/>
        <v>111</v>
      </c>
      <c r="R38" s="634" t="s">
        <v>25</v>
      </c>
      <c r="S38" s="635">
        <f t="shared" si="12"/>
        <v>100</v>
      </c>
      <c r="T38" s="634" t="s">
        <v>25</v>
      </c>
      <c r="U38" s="635">
        <f t="shared" si="13"/>
        <v>100</v>
      </c>
      <c r="V38" s="634" t="s">
        <v>25</v>
      </c>
      <c r="W38" s="635">
        <f t="shared" si="14"/>
        <v>100</v>
      </c>
      <c r="X38" s="636"/>
      <c r="Y38" s="3696"/>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96"/>
      <c r="Q39" s="1304">
        <f t="shared" si="11"/>
        <v>111</v>
      </c>
      <c r="R39" s="631" t="s">
        <v>25</v>
      </c>
      <c r="S39" s="632">
        <f t="shared" si="12"/>
        <v>100</v>
      </c>
      <c r="T39" s="631" t="s">
        <v>25</v>
      </c>
      <c r="U39" s="632">
        <f t="shared" si="13"/>
        <v>100</v>
      </c>
      <c r="V39" s="631" t="s">
        <v>25</v>
      </c>
      <c r="W39" s="632">
        <f t="shared" si="14"/>
        <v>100</v>
      </c>
      <c r="X39" s="1305"/>
      <c r="Y39" s="3696"/>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97"/>
      <c r="Q40" s="1304">
        <f t="shared" si="11"/>
        <v>111</v>
      </c>
      <c r="R40" s="631" t="s">
        <v>25</v>
      </c>
      <c r="S40" s="632">
        <f t="shared" si="12"/>
        <v>100</v>
      </c>
      <c r="T40" s="631" t="s">
        <v>25</v>
      </c>
      <c r="U40" s="632">
        <f t="shared" si="13"/>
        <v>100</v>
      </c>
      <c r="V40" s="631" t="s">
        <v>25</v>
      </c>
      <c r="W40" s="632">
        <f t="shared" si="14"/>
        <v>100</v>
      </c>
      <c r="X40" s="1305"/>
      <c r="Y40" s="3697"/>
      <c r="Z40" s="1306">
        <f t="shared" si="15"/>
        <v>111</v>
      </c>
      <c r="AA40" s="1307">
        <f t="shared" si="3"/>
        <v>1</v>
      </c>
      <c r="AB40" s="1307">
        <f t="shared" si="4"/>
        <v>1</v>
      </c>
      <c r="AC40" s="1307">
        <f t="shared" si="5"/>
        <v>1</v>
      </c>
    </row>
    <row r="41" spans="1:29" ht="15">
      <c r="A41" s="367" t="s">
        <v>2229</v>
      </c>
      <c r="B41" s="368"/>
      <c r="C41" s="1124" t="s">
        <v>1</v>
      </c>
      <c r="D41" s="1125"/>
      <c r="E41" s="1126"/>
      <c r="F41" s="1127"/>
      <c r="G41" s="1128"/>
      <c r="H41" s="1129"/>
      <c r="I41" s="1126"/>
      <c r="J41" s="1129"/>
      <c r="K41" s="640"/>
      <c r="L41" s="3001"/>
      <c r="N41" s="2990"/>
      <c r="P41" s="3690" t="str">
        <f>A41</f>
        <v>成交单价（元/平方米）</v>
      </c>
      <c r="Q41" s="3690"/>
      <c r="R41" s="3691">
        <f>E41</f>
        <v>0</v>
      </c>
      <c r="S41" s="3691"/>
      <c r="T41" s="3691">
        <f>G41</f>
        <v>0</v>
      </c>
      <c r="U41" s="3691"/>
      <c r="V41" s="3691">
        <f>I41</f>
        <v>0</v>
      </c>
      <c r="W41" s="3691"/>
      <c r="X41" s="618"/>
      <c r="Y41" s="638"/>
      <c r="Z41" s="618"/>
      <c r="AA41" s="618"/>
      <c r="AB41" s="618"/>
      <c r="AC41" s="618"/>
    </row>
    <row r="42" spans="1:29" ht="15.75" thickBot="1">
      <c r="A42" s="374" t="s">
        <v>2312</v>
      </c>
      <c r="B42" s="375"/>
      <c r="C42" s="1130" t="e">
        <f>R43</f>
        <v>#DIV/0!</v>
      </c>
      <c r="D42" s="1764" t="s">
        <v>2681</v>
      </c>
      <c r="E42" s="1131" t="e">
        <f>R42</f>
        <v>#DIV/0!</v>
      </c>
      <c r="F42" s="1766"/>
      <c r="G42" s="1130" t="e">
        <f>T42</f>
        <v>#DIV/0!</v>
      </c>
      <c r="H42" s="1766"/>
      <c r="I42" s="1131" t="e">
        <f>V42</f>
        <v>#DIV/0!</v>
      </c>
      <c r="J42" s="1766"/>
      <c r="K42" s="2477">
        <f>F42+H42+J42</f>
        <v>0</v>
      </c>
      <c r="L42" s="3001"/>
      <c r="N42" s="2990"/>
      <c r="P42" s="3690" t="str">
        <f>A42</f>
        <v>比较价值（元/平方米）</v>
      </c>
      <c r="Q42" s="3690"/>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2335</v>
      </c>
      <c r="B43" s="379"/>
      <c r="C43" s="1132" t="e">
        <f>R43</f>
        <v>#DIV/0!</v>
      </c>
      <c r="D43" s="1132"/>
      <c r="E43" s="1132"/>
      <c r="F43" s="1132"/>
      <c r="G43" s="1132"/>
      <c r="H43" s="1132"/>
      <c r="I43" s="1132"/>
      <c r="J43" s="1132"/>
      <c r="K43" s="641"/>
      <c r="L43" s="3001"/>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3004"/>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2317</v>
      </c>
      <c r="B51" s="618"/>
      <c r="C51" s="621"/>
      <c r="D51" s="621"/>
      <c r="E51" s="621"/>
      <c r="F51" s="622"/>
      <c r="G51" s="622"/>
      <c r="H51" s="621"/>
      <c r="I51" s="621"/>
      <c r="J51" s="621"/>
      <c r="K51" s="623"/>
      <c r="L51" s="624"/>
      <c r="M51" s="621"/>
      <c r="N51" s="3007"/>
      <c r="O51" s="3007"/>
      <c r="P51" s="389"/>
      <c r="Q51" s="390"/>
    </row>
    <row r="52" spans="1:17" s="394" customFormat="1" ht="15">
      <c r="A52" s="391" t="s">
        <v>2199</v>
      </c>
      <c r="B52" s="392"/>
      <c r="C52" s="1158" t="str">
        <f>YEAR(C7)&amp;"-"&amp;MONTH(C7)</f>
        <v>2022-6</v>
      </c>
      <c r="D52" s="1159">
        <f>EDATE(C52,-1)</f>
        <v>44682</v>
      </c>
      <c r="E52" s="1160">
        <f t="shared" ref="E52:O52" si="16">EDATE(D52,-1)</f>
        <v>44652</v>
      </c>
      <c r="F52" s="1160">
        <f t="shared" si="16"/>
        <v>44621</v>
      </c>
      <c r="G52" s="1160">
        <f t="shared" si="16"/>
        <v>44593</v>
      </c>
      <c r="H52" s="1160">
        <f t="shared" si="16"/>
        <v>44562</v>
      </c>
      <c r="I52" s="1160">
        <f t="shared" si="16"/>
        <v>44531</v>
      </c>
      <c r="J52" s="1160">
        <f t="shared" si="16"/>
        <v>44501</v>
      </c>
      <c r="K52" s="1160">
        <f t="shared" si="16"/>
        <v>44470</v>
      </c>
      <c r="L52" s="1160">
        <f t="shared" si="16"/>
        <v>44440</v>
      </c>
      <c r="M52" s="1160">
        <f t="shared" si="16"/>
        <v>44409</v>
      </c>
      <c r="N52" s="1160">
        <f t="shared" si="16"/>
        <v>44378</v>
      </c>
      <c r="O52" s="1160">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193"/>
      <c r="E1" s="1526"/>
      <c r="F1" s="1194" t="s">
        <v>2184</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7"/>
      <c r="E2" s="927"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2185</v>
      </c>
      <c r="D3" s="292">
        <f>IF(C1="仅计算典型户型",'数据-取费表'!E5,'数据-取费表'!B5)</f>
        <v>189.52</v>
      </c>
      <c r="E3" s="839" t="s">
        <v>2347</v>
      </c>
      <c r="F3" s="293">
        <f>'数据-取费表'!B42</f>
        <v>0</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3" t="s">
        <v>2187</v>
      </c>
      <c r="D4" s="3714"/>
      <c r="E4" s="3715" t="s">
        <v>2188</v>
      </c>
      <c r="F4" s="3716"/>
      <c r="G4" s="3713" t="s">
        <v>2189</v>
      </c>
      <c r="H4" s="3714"/>
      <c r="I4" s="3713" t="s">
        <v>2190</v>
      </c>
      <c r="J4" s="3714"/>
      <c r="K4" s="496" t="s">
        <v>2191</v>
      </c>
      <c r="L4" s="2989"/>
      <c r="M4" s="2990"/>
      <c r="N4" s="2990"/>
      <c r="O4" s="2990"/>
      <c r="P4" s="3717" t="s">
        <v>2192</v>
      </c>
      <c r="Q4" s="3718"/>
      <c r="R4" s="3700" t="s">
        <v>2188</v>
      </c>
      <c r="S4" s="3701"/>
      <c r="T4" s="3700" t="s">
        <v>2189</v>
      </c>
      <c r="U4" s="3701"/>
      <c r="V4" s="3723" t="s">
        <v>2190</v>
      </c>
      <c r="W4" s="3723"/>
      <c r="X4" s="1305"/>
      <c r="Y4" s="3700" t="s">
        <v>2192</v>
      </c>
      <c r="Z4" s="3701"/>
      <c r="AA4" s="3710" t="s">
        <v>2188</v>
      </c>
      <c r="AB4" s="3711" t="s">
        <v>2189</v>
      </c>
      <c r="AC4" s="3710" t="s">
        <v>2190</v>
      </c>
    </row>
    <row r="5" spans="1:29" ht="15">
      <c r="A5" s="297"/>
      <c r="B5" s="298"/>
      <c r="C5" s="3726" t="s">
        <v>2193</v>
      </c>
      <c r="D5" s="3727"/>
      <c r="E5" s="3724" t="s">
        <v>2194</v>
      </c>
      <c r="F5" s="3725"/>
      <c r="G5" s="3726" t="s">
        <v>2195</v>
      </c>
      <c r="H5" s="3727"/>
      <c r="I5" s="3726" t="s">
        <v>2196</v>
      </c>
      <c r="J5" s="3727"/>
      <c r="K5" s="496"/>
      <c r="L5" s="2989"/>
      <c r="M5" s="2990"/>
      <c r="N5" s="2990"/>
      <c r="O5" s="2990"/>
      <c r="P5" s="3719"/>
      <c r="Q5" s="3720"/>
      <c r="R5" s="3702"/>
      <c r="S5" s="3703"/>
      <c r="T5" s="3702"/>
      <c r="U5" s="3703"/>
      <c r="V5" s="3723"/>
      <c r="W5" s="3723"/>
      <c r="X5" s="1305"/>
      <c r="Y5" s="3702"/>
      <c r="Z5" s="3703"/>
      <c r="AA5" s="3711"/>
      <c r="AB5" s="3711"/>
      <c r="AC5" s="3711"/>
    </row>
    <row r="6" spans="1:29" ht="15.75" thickBot="1">
      <c r="A6" s="299"/>
      <c r="B6" s="300"/>
      <c r="C6" s="3728" t="s">
        <v>2197</v>
      </c>
      <c r="D6" s="3729"/>
      <c r="E6" s="3730" t="s">
        <v>2197</v>
      </c>
      <c r="F6" s="3731"/>
      <c r="G6" s="3728" t="s">
        <v>2197</v>
      </c>
      <c r="H6" s="3729"/>
      <c r="I6" s="3728" t="s">
        <v>2197</v>
      </c>
      <c r="J6" s="3729"/>
      <c r="K6" s="496" t="s">
        <v>2198</v>
      </c>
      <c r="L6" s="2989"/>
      <c r="M6" s="2990"/>
      <c r="N6" s="2990"/>
      <c r="O6" s="2990"/>
      <c r="P6" s="3721"/>
      <c r="Q6" s="3722"/>
      <c r="R6" s="3702"/>
      <c r="S6" s="3703"/>
      <c r="T6" s="3704"/>
      <c r="U6" s="3705"/>
      <c r="V6" s="3723"/>
      <c r="W6" s="3723"/>
      <c r="X6" s="1305"/>
      <c r="Y6" s="3704"/>
      <c r="Z6" s="3705"/>
      <c r="AA6" s="3712"/>
      <c r="AB6" s="3712"/>
      <c r="AC6" s="3712"/>
    </row>
    <row r="7" spans="1:29" s="25" customFormat="1" ht="15.75" thickBot="1">
      <c r="A7" s="301" t="s">
        <v>2199</v>
      </c>
      <c r="B7" s="302"/>
      <c r="C7" s="303">
        <f>'数据-取费表'!B2</f>
        <v>44727</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98" t="s">
        <v>2200</v>
      </c>
      <c r="Q7" s="3706"/>
      <c r="R7" s="627" t="s">
        <v>25</v>
      </c>
      <c r="S7" s="628">
        <f t="shared" ref="S7:S14" si="0">F7</f>
        <v>0</v>
      </c>
      <c r="T7" s="627" t="s">
        <v>25</v>
      </c>
      <c r="U7" s="628">
        <f t="shared" ref="U7:U14" si="1">H7</f>
        <v>0</v>
      </c>
      <c r="V7" s="627" t="s">
        <v>25</v>
      </c>
      <c r="W7" s="628">
        <f t="shared" ref="W7:W14" si="2">J7</f>
        <v>0</v>
      </c>
      <c r="X7" s="629"/>
      <c r="Y7" s="3698" t="s">
        <v>2200</v>
      </c>
      <c r="Z7" s="3699"/>
      <c r="AA7" s="630" t="e">
        <f>D7/F7</f>
        <v>#DIV/0!</v>
      </c>
      <c r="AB7" s="630" t="e">
        <f>D7/H7</f>
        <v>#DIV/0!</v>
      </c>
      <c r="AC7" s="630"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98" t="s">
        <v>2203</v>
      </c>
      <c r="Q8" s="3699"/>
      <c r="R8" s="627" t="s">
        <v>25</v>
      </c>
      <c r="S8" s="628">
        <f t="shared" si="0"/>
        <v>0</v>
      </c>
      <c r="T8" s="627" t="s">
        <v>25</v>
      </c>
      <c r="U8" s="628">
        <f t="shared" si="1"/>
        <v>0</v>
      </c>
      <c r="V8" s="627" t="s">
        <v>25</v>
      </c>
      <c r="W8" s="628">
        <f t="shared" si="2"/>
        <v>0</v>
      </c>
      <c r="X8" s="629"/>
      <c r="Y8" s="3698" t="s">
        <v>2203</v>
      </c>
      <c r="Z8" s="3699"/>
      <c r="AA8" s="630" t="e">
        <f t="shared" ref="AA8:AA36" si="3">D8/F8</f>
        <v>#DIV/0!</v>
      </c>
      <c r="AB8" s="630" t="e">
        <f t="shared" ref="AB8:AB36" si="4">D8/H8</f>
        <v>#DIV/0!</v>
      </c>
      <c r="AC8" s="630"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90" t="s">
        <v>2206</v>
      </c>
      <c r="Q9" s="1297" t="str">
        <f t="shared" ref="Q9:Q14" si="6">B9</f>
        <v>用途</v>
      </c>
      <c r="R9" s="627" t="s">
        <v>25</v>
      </c>
      <c r="S9" s="628">
        <f t="shared" si="0"/>
        <v>100</v>
      </c>
      <c r="T9" s="627" t="s">
        <v>25</v>
      </c>
      <c r="U9" s="628">
        <f t="shared" si="1"/>
        <v>100</v>
      </c>
      <c r="V9" s="627" t="s">
        <v>25</v>
      </c>
      <c r="W9" s="628">
        <f t="shared" si="2"/>
        <v>100</v>
      </c>
      <c r="X9" s="629"/>
      <c r="Y9" s="3709" t="s">
        <v>2207</v>
      </c>
      <c r="Z9" s="19" t="str">
        <f t="shared" ref="Z9:Z14" si="7">Q9</f>
        <v>用途</v>
      </c>
      <c r="AA9" s="630">
        <f t="shared" si="3"/>
        <v>1</v>
      </c>
      <c r="AB9" s="630">
        <f t="shared" si="4"/>
        <v>1</v>
      </c>
      <c r="AC9" s="630">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90"/>
      <c r="Q10" s="1297" t="str">
        <f t="shared" si="6"/>
        <v>土地使用年限（年）</v>
      </c>
      <c r="R10" s="627" t="s">
        <v>25</v>
      </c>
      <c r="S10" s="628">
        <f t="shared" si="0"/>
        <v>100</v>
      </c>
      <c r="T10" s="627" t="s">
        <v>25</v>
      </c>
      <c r="U10" s="628">
        <f t="shared" si="1"/>
        <v>100</v>
      </c>
      <c r="V10" s="627" t="s">
        <v>25</v>
      </c>
      <c r="W10" s="628">
        <f t="shared" si="2"/>
        <v>100</v>
      </c>
      <c r="X10" s="629"/>
      <c r="Y10" s="37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90"/>
      <c r="Q11" s="1297">
        <f t="shared" si="6"/>
        <v>111</v>
      </c>
      <c r="R11" s="627" t="s">
        <v>25</v>
      </c>
      <c r="S11" s="628">
        <f t="shared" si="0"/>
        <v>100</v>
      </c>
      <c r="T11" s="627" t="s">
        <v>25</v>
      </c>
      <c r="U11" s="628">
        <f t="shared" si="1"/>
        <v>100</v>
      </c>
      <c r="V11" s="627" t="s">
        <v>25</v>
      </c>
      <c r="W11" s="628">
        <f t="shared" si="2"/>
        <v>100</v>
      </c>
      <c r="X11" s="629"/>
      <c r="Y11" s="37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90"/>
      <c r="Q12" s="1297">
        <f t="shared" si="6"/>
        <v>111</v>
      </c>
      <c r="R12" s="627" t="s">
        <v>25</v>
      </c>
      <c r="S12" s="628">
        <f t="shared" si="0"/>
        <v>100</v>
      </c>
      <c r="T12" s="627" t="s">
        <v>25</v>
      </c>
      <c r="U12" s="628">
        <f t="shared" si="1"/>
        <v>100</v>
      </c>
      <c r="V12" s="627" t="s">
        <v>25</v>
      </c>
      <c r="W12" s="628">
        <f t="shared" si="2"/>
        <v>100</v>
      </c>
      <c r="X12" s="629"/>
      <c r="Y12" s="37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90"/>
      <c r="Q13" s="1297">
        <f t="shared" si="6"/>
        <v>111</v>
      </c>
      <c r="R13" s="627" t="s">
        <v>25</v>
      </c>
      <c r="S13" s="628">
        <f t="shared" si="0"/>
        <v>100</v>
      </c>
      <c r="T13" s="627" t="s">
        <v>25</v>
      </c>
      <c r="U13" s="628">
        <f t="shared" si="1"/>
        <v>100</v>
      </c>
      <c r="V13" s="627" t="s">
        <v>25</v>
      </c>
      <c r="W13" s="628">
        <f t="shared" si="2"/>
        <v>100</v>
      </c>
      <c r="X13" s="629"/>
      <c r="Y13" s="3709"/>
      <c r="Z13" s="19">
        <f t="shared" si="7"/>
        <v>111</v>
      </c>
      <c r="AA13" s="630">
        <f t="shared" si="3"/>
        <v>1</v>
      </c>
      <c r="AB13" s="630">
        <f t="shared" si="4"/>
        <v>1</v>
      </c>
      <c r="AC13" s="630">
        <f t="shared" si="5"/>
        <v>1</v>
      </c>
    </row>
    <row r="14" spans="1:29" ht="99.75">
      <c r="A14" s="294" t="s">
        <v>2210</v>
      </c>
      <c r="B14" s="511" t="s">
        <v>2348</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707" t="s">
        <v>2211</v>
      </c>
      <c r="Q14" s="1304" t="str">
        <f t="shared" si="6"/>
        <v>交通便捷度</v>
      </c>
      <c r="R14" s="631" t="s">
        <v>25</v>
      </c>
      <c r="S14" s="632">
        <f t="shared" si="0"/>
        <v>100</v>
      </c>
      <c r="T14" s="631" t="s">
        <v>25</v>
      </c>
      <c r="U14" s="632">
        <f t="shared" si="1"/>
        <v>100</v>
      </c>
      <c r="V14" s="631" t="s">
        <v>25</v>
      </c>
      <c r="W14" s="632">
        <f t="shared" si="2"/>
        <v>100</v>
      </c>
      <c r="X14" s="1305"/>
      <c r="Y14" s="3707" t="s">
        <v>2211</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708"/>
      <c r="Q15" s="1304"/>
      <c r="R15" s="631"/>
      <c r="S15" s="632"/>
      <c r="T15" s="631"/>
      <c r="U15" s="632"/>
      <c r="V15" s="631"/>
      <c r="W15" s="632"/>
      <c r="X15" s="1305"/>
      <c r="Y15" s="3708"/>
      <c r="Z15" s="1306"/>
      <c r="AA15" s="1307">
        <v>1</v>
      </c>
      <c r="AB15" s="1307">
        <v>1</v>
      </c>
      <c r="AC15" s="1307">
        <v>1</v>
      </c>
    </row>
    <row r="16" spans="1:29" ht="85.5">
      <c r="A16" s="297"/>
      <c r="B16" s="513" t="s">
        <v>2326</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708"/>
      <c r="Q16" s="1304" t="str">
        <f>B16</f>
        <v>公共配套设施</v>
      </c>
      <c r="R16" s="631" t="s">
        <v>25</v>
      </c>
      <c r="S16" s="632">
        <f>F16</f>
        <v>100</v>
      </c>
      <c r="T16" s="631" t="s">
        <v>25</v>
      </c>
      <c r="U16" s="632">
        <f>H16</f>
        <v>100</v>
      </c>
      <c r="V16" s="631" t="s">
        <v>25</v>
      </c>
      <c r="W16" s="632">
        <f>J16</f>
        <v>100</v>
      </c>
      <c r="X16" s="1305"/>
      <c r="Y16" s="370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708"/>
      <c r="Q17" s="1304"/>
      <c r="R17" s="631"/>
      <c r="S17" s="632"/>
      <c r="T17" s="631"/>
      <c r="U17" s="632"/>
      <c r="V17" s="631"/>
      <c r="W17" s="632"/>
      <c r="X17" s="1305"/>
      <c r="Y17" s="3708"/>
      <c r="Z17" s="1306"/>
      <c r="AA17" s="1307">
        <v>1</v>
      </c>
      <c r="AB17" s="1307">
        <v>1</v>
      </c>
      <c r="AC17" s="1307">
        <v>1</v>
      </c>
    </row>
    <row r="18" spans="1:29" ht="42.75">
      <c r="A18" s="297"/>
      <c r="B18" s="515" t="s">
        <v>2327</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708"/>
      <c r="Q18" s="1304" t="str">
        <f>B18</f>
        <v>基础设施水平</v>
      </c>
      <c r="R18" s="631" t="s">
        <v>25</v>
      </c>
      <c r="S18" s="632">
        <f>F18</f>
        <v>100</v>
      </c>
      <c r="T18" s="631" t="s">
        <v>25</v>
      </c>
      <c r="U18" s="632">
        <f>H18</f>
        <v>100</v>
      </c>
      <c r="V18" s="631" t="s">
        <v>25</v>
      </c>
      <c r="W18" s="632">
        <f>J18</f>
        <v>100</v>
      </c>
      <c r="X18" s="1305"/>
      <c r="Y18" s="370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708"/>
      <c r="Q19" s="1304"/>
      <c r="R19" s="631"/>
      <c r="S19" s="632"/>
      <c r="T19" s="631"/>
      <c r="U19" s="632"/>
      <c r="V19" s="631"/>
      <c r="W19" s="632"/>
      <c r="X19" s="1305"/>
      <c r="Y19" s="3708"/>
      <c r="Z19" s="1306"/>
      <c r="AA19" s="1307">
        <v>1</v>
      </c>
      <c r="AB19" s="1307">
        <v>1</v>
      </c>
      <c r="AC19" s="1307">
        <v>1</v>
      </c>
    </row>
    <row r="20" spans="1:29" ht="99.75">
      <c r="A20" s="297"/>
      <c r="B20" s="513" t="s">
        <v>2349</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708"/>
      <c r="Q20" s="1304" t="str">
        <f>B20</f>
        <v>自然及人文环境</v>
      </c>
      <c r="R20" s="631" t="s">
        <v>25</v>
      </c>
      <c r="S20" s="632">
        <f>F20</f>
        <v>100</v>
      </c>
      <c r="T20" s="631" t="s">
        <v>25</v>
      </c>
      <c r="U20" s="632">
        <f>H20</f>
        <v>100</v>
      </c>
      <c r="V20" s="631" t="s">
        <v>25</v>
      </c>
      <c r="W20" s="632">
        <f>J20</f>
        <v>100</v>
      </c>
      <c r="X20" s="1305"/>
      <c r="Y20" s="370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708"/>
      <c r="Q21" s="1304"/>
      <c r="R21" s="631"/>
      <c r="S21" s="632"/>
      <c r="T21" s="631"/>
      <c r="U21" s="632"/>
      <c r="V21" s="631"/>
      <c r="W21" s="632"/>
      <c r="X21" s="1305"/>
      <c r="Y21" s="3708"/>
      <c r="Z21" s="1306"/>
      <c r="AA21" s="1307">
        <v>1</v>
      </c>
      <c r="AB21" s="1307">
        <v>1</v>
      </c>
      <c r="AC21" s="1307">
        <v>1</v>
      </c>
    </row>
    <row r="22" spans="1:29" ht="15">
      <c r="A22" s="297"/>
      <c r="B22" s="513" t="s">
        <v>2350</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708"/>
      <c r="Q22" s="1304" t="str">
        <f>B22</f>
        <v>楼层</v>
      </c>
      <c r="R22" s="631" t="s">
        <v>25</v>
      </c>
      <c r="S22" s="632">
        <f>F22</f>
        <v>100</v>
      </c>
      <c r="T22" s="631" t="s">
        <v>25</v>
      </c>
      <c r="U22" s="632">
        <f>H22</f>
        <v>100</v>
      </c>
      <c r="V22" s="631" t="s">
        <v>25</v>
      </c>
      <c r="W22" s="632">
        <f>J22</f>
        <v>100</v>
      </c>
      <c r="X22" s="1305"/>
      <c r="Y22" s="370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708"/>
      <c r="Q23" s="1304">
        <f>B23</f>
        <v>111</v>
      </c>
      <c r="R23" s="631" t="s">
        <v>25</v>
      </c>
      <c r="S23" s="632">
        <f>F23</f>
        <v>100</v>
      </c>
      <c r="T23" s="631" t="s">
        <v>25</v>
      </c>
      <c r="U23" s="632">
        <f>H23</f>
        <v>100</v>
      </c>
      <c r="V23" s="631" t="s">
        <v>25</v>
      </c>
      <c r="W23" s="632">
        <f>J23</f>
        <v>100</v>
      </c>
      <c r="X23" s="1305"/>
      <c r="Y23" s="370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708"/>
      <c r="Q24" s="1304">
        <f t="shared" ref="Q24:Q36" si="11">B24</f>
        <v>111</v>
      </c>
      <c r="R24" s="631" t="s">
        <v>25</v>
      </c>
      <c r="S24" s="632">
        <f>F24</f>
        <v>100</v>
      </c>
      <c r="T24" s="631" t="s">
        <v>25</v>
      </c>
      <c r="U24" s="632">
        <f>H24</f>
        <v>100</v>
      </c>
      <c r="V24" s="631" t="s">
        <v>25</v>
      </c>
      <c r="W24" s="632">
        <f>J24</f>
        <v>100</v>
      </c>
      <c r="X24" s="1305"/>
      <c r="Y24" s="370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708"/>
      <c r="Q25" s="1297">
        <f t="shared" si="11"/>
        <v>111</v>
      </c>
      <c r="R25" s="627" t="s">
        <v>25</v>
      </c>
      <c r="S25" s="628">
        <f>F25</f>
        <v>100</v>
      </c>
      <c r="T25" s="627" t="s">
        <v>25</v>
      </c>
      <c r="U25" s="628">
        <f>H25</f>
        <v>100</v>
      </c>
      <c r="V25" s="627" t="s">
        <v>25</v>
      </c>
      <c r="W25" s="628">
        <f>J25</f>
        <v>100</v>
      </c>
      <c r="X25" s="629"/>
      <c r="Y25" s="3708"/>
      <c r="Z25" s="19">
        <f>Q25</f>
        <v>111</v>
      </c>
      <c r="AA25" s="1307">
        <f>D25/F25</f>
        <v>1</v>
      </c>
      <c r="AB25" s="1307">
        <f>D25/H25</f>
        <v>1</v>
      </c>
      <c r="AC25" s="1307">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5" t="s">
        <v>2217</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6" t="s">
        <v>2217</v>
      </c>
      <c r="Z26" s="1306" t="str">
        <f t="shared" ref="Z26:Z36" si="15">Q26</f>
        <v>配套类型</v>
      </c>
      <c r="AA26" s="1307">
        <f t="shared" si="3"/>
        <v>1</v>
      </c>
      <c r="AB26" s="1307">
        <f t="shared" si="4"/>
        <v>1</v>
      </c>
      <c r="AC26" s="1307">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96"/>
      <c r="Q27" s="633" t="str">
        <f t="shared" si="11"/>
        <v>项目停车位配比</v>
      </c>
      <c r="R27" s="634" t="s">
        <v>25</v>
      </c>
      <c r="S27" s="635">
        <f t="shared" si="12"/>
        <v>100</v>
      </c>
      <c r="T27" s="634" t="s">
        <v>25</v>
      </c>
      <c r="U27" s="635">
        <f t="shared" si="13"/>
        <v>100</v>
      </c>
      <c r="V27" s="634" t="s">
        <v>25</v>
      </c>
      <c r="W27" s="635">
        <f t="shared" si="14"/>
        <v>100</v>
      </c>
      <c r="X27" s="636"/>
      <c r="Y27" s="3696"/>
      <c r="Z27" s="637" t="str">
        <f t="shared" si="15"/>
        <v>项目停车位配比</v>
      </c>
      <c r="AA27" s="1307">
        <f t="shared" si="3"/>
        <v>1</v>
      </c>
      <c r="AB27" s="1307">
        <f t="shared" si="4"/>
        <v>1</v>
      </c>
      <c r="AC27" s="1307">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96"/>
      <c r="Q28" s="1304" t="str">
        <f t="shared" si="11"/>
        <v>公共部分装修</v>
      </c>
      <c r="R28" s="631" t="s">
        <v>25</v>
      </c>
      <c r="S28" s="632">
        <f t="shared" si="12"/>
        <v>100</v>
      </c>
      <c r="T28" s="631" t="s">
        <v>25</v>
      </c>
      <c r="U28" s="632">
        <f t="shared" si="13"/>
        <v>100</v>
      </c>
      <c r="V28" s="631" t="s">
        <v>25</v>
      </c>
      <c r="W28" s="632">
        <f t="shared" si="14"/>
        <v>100</v>
      </c>
      <c r="X28" s="1305"/>
      <c r="Y28" s="3696"/>
      <c r="Z28" s="1306" t="str">
        <f t="shared" si="15"/>
        <v>公共部分装修</v>
      </c>
      <c r="AA28" s="1307">
        <f t="shared" si="3"/>
        <v>1</v>
      </c>
      <c r="AB28" s="1307">
        <f t="shared" si="4"/>
        <v>1</v>
      </c>
      <c r="AC28" s="1307">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96"/>
      <c r="Q29" s="1304" t="str">
        <f t="shared" si="11"/>
        <v>成新率</v>
      </c>
      <c r="R29" s="631" t="s">
        <v>25</v>
      </c>
      <c r="S29" s="632" t="e">
        <f t="shared" si="12"/>
        <v>#N/A</v>
      </c>
      <c r="T29" s="631" t="s">
        <v>25</v>
      </c>
      <c r="U29" s="632" t="e">
        <f t="shared" si="13"/>
        <v>#N/A</v>
      </c>
      <c r="V29" s="631" t="s">
        <v>25</v>
      </c>
      <c r="W29" s="632" t="e">
        <f t="shared" si="14"/>
        <v>#N/A</v>
      </c>
      <c r="X29" s="1305"/>
      <c r="Y29" s="3696"/>
      <c r="Z29" s="1306" t="str">
        <f t="shared" si="15"/>
        <v>成新率</v>
      </c>
      <c r="AA29" s="1307" t="e">
        <f t="shared" si="3"/>
        <v>#N/A</v>
      </c>
      <c r="AB29" s="1307" t="e">
        <f t="shared" si="4"/>
        <v>#N/A</v>
      </c>
      <c r="AC29" s="1307"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96"/>
      <c r="Q30" s="1304" t="str">
        <f t="shared" si="11"/>
        <v>物业等级</v>
      </c>
      <c r="R30" s="631" t="s">
        <v>25</v>
      </c>
      <c r="S30" s="632">
        <f t="shared" si="12"/>
        <v>100</v>
      </c>
      <c r="T30" s="631" t="s">
        <v>25</v>
      </c>
      <c r="U30" s="632">
        <f t="shared" si="13"/>
        <v>100</v>
      </c>
      <c r="V30" s="631" t="s">
        <v>25</v>
      </c>
      <c r="W30" s="632">
        <f t="shared" si="14"/>
        <v>100</v>
      </c>
      <c r="X30" s="1305"/>
      <c r="Y30" s="3696"/>
      <c r="Z30" s="1306" t="str">
        <f t="shared" si="15"/>
        <v>物业等级</v>
      </c>
      <c r="AA30" s="1307">
        <f t="shared" si="3"/>
        <v>1</v>
      </c>
      <c r="AB30" s="1307">
        <f t="shared" si="4"/>
        <v>1</v>
      </c>
      <c r="AC30" s="1307">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96"/>
      <c r="Q31" s="1297" t="str">
        <f t="shared" si="11"/>
        <v>停车位面积</v>
      </c>
      <c r="R31" s="627" t="s">
        <v>25</v>
      </c>
      <c r="S31" s="628" t="e">
        <f t="shared" si="12"/>
        <v>#N/A</v>
      </c>
      <c r="T31" s="627" t="s">
        <v>25</v>
      </c>
      <c r="U31" s="628" t="e">
        <f t="shared" si="13"/>
        <v>#N/A</v>
      </c>
      <c r="V31" s="627" t="s">
        <v>25</v>
      </c>
      <c r="W31" s="628" t="e">
        <f t="shared" si="14"/>
        <v>#N/A</v>
      </c>
      <c r="X31" s="629"/>
      <c r="Y31" s="3696"/>
      <c r="Z31" s="19" t="str">
        <f t="shared" si="15"/>
        <v>停车位面积</v>
      </c>
      <c r="AA31" s="630" t="e">
        <f t="shared" si="3"/>
        <v>#N/A</v>
      </c>
      <c r="AB31" s="630" t="e">
        <f t="shared" si="4"/>
        <v>#N/A</v>
      </c>
      <c r="AC31" s="630"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96" t="s">
        <v>2217</v>
      </c>
      <c r="Q32" s="1304" t="str">
        <f t="shared" si="11"/>
        <v>车位类型</v>
      </c>
      <c r="R32" s="631" t="s">
        <v>25</v>
      </c>
      <c r="S32" s="632">
        <f t="shared" si="12"/>
        <v>100</v>
      </c>
      <c r="T32" s="631" t="s">
        <v>25</v>
      </c>
      <c r="U32" s="632">
        <f t="shared" si="13"/>
        <v>100</v>
      </c>
      <c r="V32" s="631" t="s">
        <v>25</v>
      </c>
      <c r="W32" s="632">
        <f t="shared" si="14"/>
        <v>100</v>
      </c>
      <c r="X32" s="1305"/>
      <c r="Y32" s="3696" t="s">
        <v>2217</v>
      </c>
      <c r="Z32" s="1306" t="str">
        <f t="shared" si="15"/>
        <v>车位类型</v>
      </c>
      <c r="AA32" s="1307">
        <f t="shared" si="3"/>
        <v>1</v>
      </c>
      <c r="AB32" s="1307">
        <f t="shared" si="4"/>
        <v>1</v>
      </c>
      <c r="AC32" s="1307">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96"/>
      <c r="Q33" s="1304" t="str">
        <f t="shared" si="11"/>
        <v>是否直接入户</v>
      </c>
      <c r="R33" s="631" t="s">
        <v>25</v>
      </c>
      <c r="S33" s="632">
        <f t="shared" si="12"/>
        <v>100</v>
      </c>
      <c r="T33" s="631" t="s">
        <v>25</v>
      </c>
      <c r="U33" s="632">
        <f t="shared" si="13"/>
        <v>100</v>
      </c>
      <c r="V33" s="631" t="s">
        <v>25</v>
      </c>
      <c r="W33" s="632">
        <f t="shared" si="14"/>
        <v>100</v>
      </c>
      <c r="X33" s="1305"/>
      <c r="Y33" s="369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96"/>
      <c r="Q34" s="1304">
        <f t="shared" si="11"/>
        <v>111</v>
      </c>
      <c r="R34" s="631" t="s">
        <v>25</v>
      </c>
      <c r="S34" s="632">
        <f t="shared" si="12"/>
        <v>100</v>
      </c>
      <c r="T34" s="631" t="s">
        <v>25</v>
      </c>
      <c r="U34" s="632">
        <f t="shared" si="13"/>
        <v>100</v>
      </c>
      <c r="V34" s="631" t="s">
        <v>25</v>
      </c>
      <c r="W34" s="632">
        <f t="shared" si="14"/>
        <v>100</v>
      </c>
      <c r="X34" s="1305"/>
      <c r="Y34" s="369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96"/>
      <c r="Q35" s="633">
        <f t="shared" si="11"/>
        <v>111</v>
      </c>
      <c r="R35" s="634" t="s">
        <v>25</v>
      </c>
      <c r="S35" s="635">
        <f t="shared" si="12"/>
        <v>100</v>
      </c>
      <c r="T35" s="634" t="s">
        <v>25</v>
      </c>
      <c r="U35" s="635">
        <f t="shared" si="13"/>
        <v>100</v>
      </c>
      <c r="V35" s="634" t="s">
        <v>25</v>
      </c>
      <c r="W35" s="635">
        <f t="shared" si="14"/>
        <v>100</v>
      </c>
      <c r="X35" s="636"/>
      <c r="Y35" s="369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96"/>
      <c r="Q36" s="1304">
        <f t="shared" si="11"/>
        <v>111</v>
      </c>
      <c r="R36" s="631" t="s">
        <v>25</v>
      </c>
      <c r="S36" s="632">
        <f t="shared" si="12"/>
        <v>100</v>
      </c>
      <c r="T36" s="631" t="s">
        <v>25</v>
      </c>
      <c r="U36" s="632">
        <f t="shared" si="13"/>
        <v>100</v>
      </c>
      <c r="V36" s="631" t="s">
        <v>25</v>
      </c>
      <c r="W36" s="632">
        <f t="shared" si="14"/>
        <v>100</v>
      </c>
      <c r="X36" s="1305"/>
      <c r="Y36" s="3696"/>
      <c r="Z36" s="1306">
        <f t="shared" si="15"/>
        <v>111</v>
      </c>
      <c r="AA36" s="1307">
        <f t="shared" si="3"/>
        <v>1</v>
      </c>
      <c r="AB36" s="1307">
        <f t="shared" si="4"/>
        <v>1</v>
      </c>
      <c r="AC36" s="1307">
        <f t="shared" si="5"/>
        <v>1</v>
      </c>
    </row>
    <row r="37" spans="1:29" ht="15">
      <c r="A37" s="367" t="s">
        <v>2359</v>
      </c>
      <c r="B37" s="840" t="s">
        <v>2360</v>
      </c>
      <c r="C37" s="1124" t="s">
        <v>1</v>
      </c>
      <c r="D37" s="1125"/>
      <c r="E37" s="1126"/>
      <c r="F37" s="1127"/>
      <c r="G37" s="1128"/>
      <c r="H37" s="1129"/>
      <c r="I37" s="1126"/>
      <c r="J37" s="1129"/>
      <c r="K37" s="503"/>
      <c r="L37" s="3001"/>
      <c r="N37" s="2990"/>
      <c r="P37" s="3690" t="str">
        <f>A37</f>
        <v>成交单价</v>
      </c>
      <c r="Q37" s="3690"/>
      <c r="R37" s="3691">
        <f>E37</f>
        <v>0</v>
      </c>
      <c r="S37" s="3691"/>
      <c r="T37" s="3691">
        <f>G37</f>
        <v>0</v>
      </c>
      <c r="U37" s="3691"/>
      <c r="V37" s="3691">
        <f>I37</f>
        <v>0</v>
      </c>
      <c r="W37" s="3691"/>
      <c r="X37" s="618"/>
      <c r="Y37" s="638"/>
      <c r="Z37" s="618"/>
      <c r="AA37" s="618"/>
      <c r="AB37" s="618"/>
      <c r="AC37" s="618"/>
    </row>
    <row r="38" spans="1:29" ht="15.75" thickBot="1">
      <c r="A38" s="374" t="s">
        <v>2361</v>
      </c>
      <c r="B38" s="375" t="str">
        <f>B37</f>
        <v>元/平方米</v>
      </c>
      <c r="C38" s="1130" t="e">
        <f>R39</f>
        <v>#DIV/0!</v>
      </c>
      <c r="D38" s="1764" t="s">
        <v>2681</v>
      </c>
      <c r="E38" s="1131" t="e">
        <f>R38</f>
        <v>#DIV/0!</v>
      </c>
      <c r="F38" s="1766"/>
      <c r="G38" s="1130" t="e">
        <f>T38</f>
        <v>#DIV/0!</v>
      </c>
      <c r="H38" s="1766"/>
      <c r="I38" s="1131" t="e">
        <f>V38</f>
        <v>#DIV/0!</v>
      </c>
      <c r="J38" s="1766"/>
      <c r="K38" s="2477">
        <f>F38+H38+J38</f>
        <v>0</v>
      </c>
      <c r="L38" s="3001"/>
      <c r="P38" s="3690" t="str">
        <f>A38</f>
        <v>比较价值</v>
      </c>
      <c r="Q38" s="3690"/>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2362</v>
      </c>
      <c r="B39" s="379"/>
      <c r="C39" s="1132" t="e">
        <f>R39</f>
        <v>#DIV/0!</v>
      </c>
      <c r="D39" s="1132"/>
      <c r="E39" s="1132"/>
      <c r="F39" s="1132"/>
      <c r="G39" s="1132"/>
      <c r="H39" s="1132"/>
      <c r="I39" s="1132"/>
      <c r="J39" s="1132"/>
      <c r="K39" s="504"/>
      <c r="L39" s="3001"/>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2366</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2367</v>
      </c>
      <c r="B48" s="392"/>
      <c r="C48" s="1158" t="str">
        <f>YEAR(C7)&amp;"-"&amp;MONTH(C7)</f>
        <v>2022-6</v>
      </c>
      <c r="D48" s="1159">
        <f>EDATE(C48,-1)</f>
        <v>44682</v>
      </c>
      <c r="E48" s="1159">
        <f t="shared" ref="E48:O48" si="16">EDATE(D48,-1)</f>
        <v>44652</v>
      </c>
      <c r="F48" s="1159">
        <f t="shared" si="16"/>
        <v>44621</v>
      </c>
      <c r="G48" s="1159">
        <f t="shared" si="16"/>
        <v>44593</v>
      </c>
      <c r="H48" s="1159">
        <f t="shared" si="16"/>
        <v>44562</v>
      </c>
      <c r="I48" s="1159">
        <f t="shared" si="16"/>
        <v>44531</v>
      </c>
      <c r="J48" s="1159">
        <f t="shared" si="16"/>
        <v>44501</v>
      </c>
      <c r="K48" s="1159">
        <f t="shared" si="16"/>
        <v>44470</v>
      </c>
      <c r="L48" s="1159">
        <f t="shared" si="16"/>
        <v>44440</v>
      </c>
      <c r="M48" s="1159">
        <f t="shared" si="16"/>
        <v>44409</v>
      </c>
      <c r="N48" s="1159">
        <f t="shared" si="16"/>
        <v>44378</v>
      </c>
      <c r="O48" s="1159">
        <f t="shared" si="16"/>
        <v>44348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202"/>
      <c r="E1" s="1526" t="s">
        <v>2682</v>
      </c>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7"/>
      <c r="E2" s="1201"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2185</v>
      </c>
      <c r="D3" s="292">
        <f>IF(C1="仅计算典型户型",'数据-取费表'!E5,'数据-取费表'!B5)</f>
        <v>189.52</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3" t="s">
        <v>2187</v>
      </c>
      <c r="D4" s="3714"/>
      <c r="E4" s="3715" t="s">
        <v>2188</v>
      </c>
      <c r="F4" s="3716"/>
      <c r="G4" s="3713" t="s">
        <v>2189</v>
      </c>
      <c r="H4" s="3714"/>
      <c r="I4" s="3713" t="s">
        <v>2190</v>
      </c>
      <c r="J4" s="3714"/>
      <c r="K4" s="496" t="s">
        <v>2191</v>
      </c>
      <c r="L4" s="2989"/>
      <c r="M4" s="2990"/>
      <c r="N4" s="2990"/>
      <c r="O4" s="2990"/>
      <c r="P4" s="3717" t="s">
        <v>2192</v>
      </c>
      <c r="Q4" s="3718"/>
      <c r="R4" s="3700" t="s">
        <v>2188</v>
      </c>
      <c r="S4" s="3701"/>
      <c r="T4" s="3700" t="s">
        <v>2189</v>
      </c>
      <c r="U4" s="3701"/>
      <c r="V4" s="3723" t="s">
        <v>2190</v>
      </c>
      <c r="W4" s="3723"/>
      <c r="X4" s="1305"/>
      <c r="Y4" s="3700" t="s">
        <v>2192</v>
      </c>
      <c r="Z4" s="3701"/>
      <c r="AA4" s="3710" t="s">
        <v>2188</v>
      </c>
      <c r="AB4" s="3711" t="s">
        <v>2189</v>
      </c>
      <c r="AC4" s="3710" t="s">
        <v>2190</v>
      </c>
    </row>
    <row r="5" spans="1:29" ht="15">
      <c r="A5" s="297"/>
      <c r="B5" s="298"/>
      <c r="C5" s="3726" t="s">
        <v>2193</v>
      </c>
      <c r="D5" s="3727"/>
      <c r="E5" s="3724" t="s">
        <v>2194</v>
      </c>
      <c r="F5" s="3725"/>
      <c r="G5" s="3726" t="s">
        <v>2195</v>
      </c>
      <c r="H5" s="3727"/>
      <c r="I5" s="3726" t="s">
        <v>2196</v>
      </c>
      <c r="J5" s="3727"/>
      <c r="K5" s="496"/>
      <c r="L5" s="2989"/>
      <c r="M5" s="2990"/>
      <c r="N5" s="2990"/>
      <c r="O5" s="2990"/>
      <c r="P5" s="3719"/>
      <c r="Q5" s="3720"/>
      <c r="R5" s="3702"/>
      <c r="S5" s="3703"/>
      <c r="T5" s="3702"/>
      <c r="U5" s="3703"/>
      <c r="V5" s="3723"/>
      <c r="W5" s="3723"/>
      <c r="X5" s="1305"/>
      <c r="Y5" s="3702"/>
      <c r="Z5" s="3703"/>
      <c r="AA5" s="3711"/>
      <c r="AB5" s="3711"/>
      <c r="AC5" s="3711"/>
    </row>
    <row r="6" spans="1:29" ht="15.75" thickBot="1">
      <c r="A6" s="299"/>
      <c r="B6" s="300"/>
      <c r="C6" s="3728" t="s">
        <v>2197</v>
      </c>
      <c r="D6" s="3729"/>
      <c r="E6" s="3730" t="s">
        <v>2197</v>
      </c>
      <c r="F6" s="3731"/>
      <c r="G6" s="3728" t="s">
        <v>2197</v>
      </c>
      <c r="H6" s="3729"/>
      <c r="I6" s="3728" t="s">
        <v>2197</v>
      </c>
      <c r="J6" s="3729"/>
      <c r="K6" s="496" t="s">
        <v>2198</v>
      </c>
      <c r="L6" s="2989"/>
      <c r="M6" s="2990"/>
      <c r="N6" s="2990"/>
      <c r="O6" s="2990"/>
      <c r="P6" s="3721"/>
      <c r="Q6" s="3722"/>
      <c r="R6" s="3702"/>
      <c r="S6" s="3703"/>
      <c r="T6" s="3704"/>
      <c r="U6" s="3705"/>
      <c r="V6" s="3723"/>
      <c r="W6" s="3723"/>
      <c r="X6" s="1305"/>
      <c r="Y6" s="3704"/>
      <c r="Z6" s="3705"/>
      <c r="AA6" s="3712"/>
      <c r="AB6" s="3712"/>
      <c r="AC6" s="3712"/>
    </row>
    <row r="7" spans="1:29" s="25" customFormat="1" ht="15.75" thickBot="1">
      <c r="A7" s="301" t="s">
        <v>2199</v>
      </c>
      <c r="B7" s="302"/>
      <c r="C7" s="303">
        <f>'数据-取费表'!B2</f>
        <v>44727</v>
      </c>
      <c r="D7" s="304">
        <v>100</v>
      </c>
      <c r="E7" s="1542"/>
      <c r="F7" s="304">
        <f>SUMIF(46:46,YEAR(E7)&amp;"-"&amp;MONTH(E7),47:47)</f>
        <v>0</v>
      </c>
      <c r="G7" s="305"/>
      <c r="H7" s="304">
        <f>SUMIF(46:46,YEAR(G7)&amp;"-"&amp;MONTH(G7),47:47)</f>
        <v>0</v>
      </c>
      <c r="I7" s="305"/>
      <c r="J7" s="304">
        <f>SUMIF(46:46,YEAR(I7)&amp;"-"&amp;MONTH(I7),47:47)</f>
        <v>0</v>
      </c>
      <c r="K7" s="497"/>
      <c r="L7" s="2991"/>
      <c r="M7" s="2992"/>
      <c r="N7" s="2992"/>
      <c r="O7" s="2992"/>
      <c r="P7" s="3698" t="s">
        <v>2200</v>
      </c>
      <c r="Q7" s="3706"/>
      <c r="R7" s="627" t="s">
        <v>25</v>
      </c>
      <c r="S7" s="628">
        <f t="shared" ref="S7:S14" si="0">F7</f>
        <v>0</v>
      </c>
      <c r="T7" s="627" t="s">
        <v>25</v>
      </c>
      <c r="U7" s="628">
        <f t="shared" ref="U7:U14" si="1">H7</f>
        <v>0</v>
      </c>
      <c r="V7" s="627" t="s">
        <v>25</v>
      </c>
      <c r="W7" s="628">
        <f t="shared" ref="W7:W14" si="2">J7</f>
        <v>0</v>
      </c>
      <c r="X7" s="629"/>
      <c r="Y7" s="3698" t="s">
        <v>2200</v>
      </c>
      <c r="Z7" s="3699"/>
      <c r="AA7" s="630" t="e">
        <f>D7/F7</f>
        <v>#DIV/0!</v>
      </c>
      <c r="AB7" s="630" t="e">
        <f>D7/H7</f>
        <v>#DIV/0!</v>
      </c>
      <c r="AC7" s="630"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98" t="s">
        <v>2203</v>
      </c>
      <c r="Q8" s="3699"/>
      <c r="R8" s="627" t="s">
        <v>25</v>
      </c>
      <c r="S8" s="628">
        <f t="shared" si="0"/>
        <v>0</v>
      </c>
      <c r="T8" s="627" t="s">
        <v>25</v>
      </c>
      <c r="U8" s="628">
        <f t="shared" si="1"/>
        <v>0</v>
      </c>
      <c r="V8" s="627" t="s">
        <v>25</v>
      </c>
      <c r="W8" s="628">
        <f t="shared" si="2"/>
        <v>0</v>
      </c>
      <c r="X8" s="629"/>
      <c r="Y8" s="3698" t="s">
        <v>2203</v>
      </c>
      <c r="Z8" s="3699"/>
      <c r="AA8" s="630" t="e">
        <f t="shared" ref="AA8:AA34" si="3">D8/F8</f>
        <v>#DIV/0!</v>
      </c>
      <c r="AB8" s="630" t="e">
        <f t="shared" ref="AB8:AB34" si="4">D8/H8</f>
        <v>#DIV/0!</v>
      </c>
      <c r="AC8" s="630"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90" t="s">
        <v>2206</v>
      </c>
      <c r="Q9" s="1297" t="str">
        <f t="shared" ref="Q9:Q14" si="6">B9</f>
        <v>用途</v>
      </c>
      <c r="R9" s="627" t="s">
        <v>25</v>
      </c>
      <c r="S9" s="628">
        <f t="shared" si="0"/>
        <v>100</v>
      </c>
      <c r="T9" s="627" t="s">
        <v>25</v>
      </c>
      <c r="U9" s="628">
        <f t="shared" si="1"/>
        <v>100</v>
      </c>
      <c r="V9" s="627" t="s">
        <v>25</v>
      </c>
      <c r="W9" s="628">
        <f t="shared" si="2"/>
        <v>100</v>
      </c>
      <c r="X9" s="629"/>
      <c r="Y9" s="3709" t="s">
        <v>2207</v>
      </c>
      <c r="Z9" s="19" t="str">
        <f t="shared" ref="Z9:Z14" si="7">Q9</f>
        <v>用途</v>
      </c>
      <c r="AA9" s="630">
        <f t="shared" si="3"/>
        <v>1</v>
      </c>
      <c r="AB9" s="630">
        <f t="shared" si="4"/>
        <v>1</v>
      </c>
      <c r="AC9" s="630">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90"/>
      <c r="Q10" s="1297" t="str">
        <f t="shared" si="6"/>
        <v>土地使用年限（年）</v>
      </c>
      <c r="R10" s="627" t="s">
        <v>25</v>
      </c>
      <c r="S10" s="628">
        <f t="shared" si="0"/>
        <v>100</v>
      </c>
      <c r="T10" s="627" t="s">
        <v>25</v>
      </c>
      <c r="U10" s="628">
        <f t="shared" si="1"/>
        <v>100</v>
      </c>
      <c r="V10" s="627" t="s">
        <v>25</v>
      </c>
      <c r="W10" s="628">
        <f t="shared" si="2"/>
        <v>100</v>
      </c>
      <c r="X10" s="629"/>
      <c r="Y10" s="3709"/>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90"/>
      <c r="Q11" s="1297">
        <f t="shared" si="6"/>
        <v>111</v>
      </c>
      <c r="R11" s="627" t="s">
        <v>25</v>
      </c>
      <c r="S11" s="628">
        <f t="shared" si="0"/>
        <v>100</v>
      </c>
      <c r="T11" s="627" t="s">
        <v>25</v>
      </c>
      <c r="U11" s="628">
        <f t="shared" si="1"/>
        <v>100</v>
      </c>
      <c r="V11" s="627" t="s">
        <v>25</v>
      </c>
      <c r="W11" s="628">
        <f t="shared" si="2"/>
        <v>100</v>
      </c>
      <c r="X11" s="629"/>
      <c r="Y11" s="3709"/>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90"/>
      <c r="Q12" s="1297">
        <f t="shared" si="6"/>
        <v>111</v>
      </c>
      <c r="R12" s="627" t="s">
        <v>25</v>
      </c>
      <c r="S12" s="628">
        <f t="shared" si="0"/>
        <v>100</v>
      </c>
      <c r="T12" s="627" t="s">
        <v>25</v>
      </c>
      <c r="U12" s="628">
        <f t="shared" si="1"/>
        <v>100</v>
      </c>
      <c r="V12" s="627" t="s">
        <v>25</v>
      </c>
      <c r="W12" s="628">
        <f t="shared" si="2"/>
        <v>100</v>
      </c>
      <c r="X12" s="629"/>
      <c r="Y12" s="3709"/>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90"/>
      <c r="Q13" s="1297">
        <f t="shared" si="6"/>
        <v>111</v>
      </c>
      <c r="R13" s="627" t="s">
        <v>25</v>
      </c>
      <c r="S13" s="628">
        <f t="shared" si="0"/>
        <v>100</v>
      </c>
      <c r="T13" s="627" t="s">
        <v>25</v>
      </c>
      <c r="U13" s="628">
        <f t="shared" si="1"/>
        <v>100</v>
      </c>
      <c r="V13" s="627" t="s">
        <v>25</v>
      </c>
      <c r="W13" s="628">
        <f t="shared" si="2"/>
        <v>100</v>
      </c>
      <c r="X13" s="629"/>
      <c r="Y13" s="3709"/>
      <c r="Z13" s="19">
        <f t="shared" si="7"/>
        <v>111</v>
      </c>
      <c r="AA13" s="630">
        <f t="shared" si="3"/>
        <v>1</v>
      </c>
      <c r="AB13" s="630">
        <f t="shared" si="4"/>
        <v>1</v>
      </c>
      <c r="AC13" s="630">
        <f t="shared" si="5"/>
        <v>1</v>
      </c>
    </row>
    <row r="14" spans="1:29" ht="99.75">
      <c r="A14" s="329" t="s">
        <v>2210</v>
      </c>
      <c r="B14" s="22" t="s">
        <v>2348</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707" t="s">
        <v>2211</v>
      </c>
      <c r="Q14" s="1304" t="str">
        <f t="shared" si="6"/>
        <v>交通便捷度</v>
      </c>
      <c r="R14" s="631" t="s">
        <v>25</v>
      </c>
      <c r="S14" s="632">
        <f t="shared" si="0"/>
        <v>100</v>
      </c>
      <c r="T14" s="631" t="s">
        <v>25</v>
      </c>
      <c r="U14" s="632">
        <f t="shared" si="1"/>
        <v>100</v>
      </c>
      <c r="V14" s="631" t="s">
        <v>25</v>
      </c>
      <c r="W14" s="632">
        <f t="shared" si="2"/>
        <v>100</v>
      </c>
      <c r="X14" s="1305"/>
      <c r="Y14" s="3707" t="s">
        <v>2211</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708"/>
      <c r="Q15" s="1304"/>
      <c r="R15" s="631"/>
      <c r="S15" s="632"/>
      <c r="T15" s="631"/>
      <c r="U15" s="632"/>
      <c r="V15" s="631"/>
      <c r="W15" s="632"/>
      <c r="X15" s="1305"/>
      <c r="Y15" s="3708"/>
      <c r="Z15" s="1306"/>
      <c r="AA15" s="1307">
        <v>1</v>
      </c>
      <c r="AB15" s="1307">
        <v>1</v>
      </c>
      <c r="AC15" s="1307">
        <v>1</v>
      </c>
    </row>
    <row r="16" spans="1:29" ht="85.5">
      <c r="A16" s="318"/>
      <c r="B16" s="513" t="s">
        <v>2326</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708"/>
      <c r="Q16" s="1304" t="str">
        <f>B16</f>
        <v>公共配套设施</v>
      </c>
      <c r="R16" s="631" t="s">
        <v>25</v>
      </c>
      <c r="S16" s="632">
        <f>F16</f>
        <v>100</v>
      </c>
      <c r="T16" s="631" t="s">
        <v>25</v>
      </c>
      <c r="U16" s="632">
        <f>H16</f>
        <v>100</v>
      </c>
      <c r="V16" s="631" t="s">
        <v>25</v>
      </c>
      <c r="W16" s="632">
        <f>J16</f>
        <v>100</v>
      </c>
      <c r="X16" s="1305"/>
      <c r="Y16" s="370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708"/>
      <c r="Q17" s="1304"/>
      <c r="R17" s="631"/>
      <c r="S17" s="632"/>
      <c r="T17" s="631"/>
      <c r="U17" s="632"/>
      <c r="V17" s="631"/>
      <c r="W17" s="632"/>
      <c r="X17" s="1305"/>
      <c r="Y17" s="3708"/>
      <c r="Z17" s="1306"/>
      <c r="AA17" s="1307">
        <v>1</v>
      </c>
      <c r="AB17" s="1307">
        <v>1</v>
      </c>
      <c r="AC17" s="1307">
        <v>1</v>
      </c>
    </row>
    <row r="18" spans="1:29" ht="42.75">
      <c r="A18" s="318"/>
      <c r="B18" s="515" t="s">
        <v>2327</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708"/>
      <c r="Q18" s="1304" t="str">
        <f>B18</f>
        <v>基础设施水平</v>
      </c>
      <c r="R18" s="631" t="s">
        <v>25</v>
      </c>
      <c r="S18" s="632">
        <f>F18</f>
        <v>100</v>
      </c>
      <c r="T18" s="631" t="s">
        <v>25</v>
      </c>
      <c r="U18" s="632">
        <f>H18</f>
        <v>100</v>
      </c>
      <c r="V18" s="631" t="s">
        <v>25</v>
      </c>
      <c r="W18" s="632">
        <f>J18</f>
        <v>100</v>
      </c>
      <c r="X18" s="1305"/>
      <c r="Y18" s="370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708"/>
      <c r="Q19" s="1304"/>
      <c r="R19" s="631"/>
      <c r="S19" s="632"/>
      <c r="T19" s="631"/>
      <c r="U19" s="632"/>
      <c r="V19" s="631"/>
      <c r="W19" s="632"/>
      <c r="X19" s="1305"/>
      <c r="Y19" s="3708"/>
      <c r="Z19" s="1306"/>
      <c r="AA19" s="1307">
        <v>1</v>
      </c>
      <c r="AB19" s="1307">
        <v>1</v>
      </c>
      <c r="AC19" s="1307">
        <v>1</v>
      </c>
    </row>
    <row r="20" spans="1:29" ht="99.75">
      <c r="A20" s="318"/>
      <c r="B20" s="340" t="s">
        <v>2349</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708"/>
      <c r="Q20" s="1304" t="str">
        <f>B20</f>
        <v>自然及人文环境</v>
      </c>
      <c r="R20" s="631" t="s">
        <v>25</v>
      </c>
      <c r="S20" s="632">
        <f>F20</f>
        <v>100</v>
      </c>
      <c r="T20" s="631" t="s">
        <v>25</v>
      </c>
      <c r="U20" s="632">
        <f>H20</f>
        <v>100</v>
      </c>
      <c r="V20" s="631" t="s">
        <v>25</v>
      </c>
      <c r="W20" s="632">
        <f>J20</f>
        <v>100</v>
      </c>
      <c r="X20" s="1305"/>
      <c r="Y20" s="370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708"/>
      <c r="Q21" s="1304"/>
      <c r="R21" s="631"/>
      <c r="S21" s="632"/>
      <c r="T21" s="631"/>
      <c r="U21" s="632"/>
      <c r="V21" s="631"/>
      <c r="W21" s="632"/>
      <c r="X21" s="1305"/>
      <c r="Y21" s="3708"/>
      <c r="Z21" s="1306"/>
      <c r="AA21" s="1307">
        <v>1</v>
      </c>
      <c r="AB21" s="1307">
        <v>1</v>
      </c>
      <c r="AC21" s="1307">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708"/>
      <c r="Q22" s="1304" t="str">
        <f>B22</f>
        <v>楼层</v>
      </c>
      <c r="R22" s="631" t="s">
        <v>25</v>
      </c>
      <c r="S22" s="632">
        <f>F22</f>
        <v>100</v>
      </c>
      <c r="T22" s="631" t="s">
        <v>25</v>
      </c>
      <c r="U22" s="632">
        <f>H22</f>
        <v>100</v>
      </c>
      <c r="V22" s="631" t="s">
        <v>25</v>
      </c>
      <c r="W22" s="632">
        <f>J22</f>
        <v>100</v>
      </c>
      <c r="X22" s="1305"/>
      <c r="Y22" s="3708"/>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708"/>
      <c r="Q23" s="1304">
        <f>B23</f>
        <v>111</v>
      </c>
      <c r="R23" s="631" t="s">
        <v>25</v>
      </c>
      <c r="S23" s="632">
        <f>F23</f>
        <v>100</v>
      </c>
      <c r="T23" s="631" t="s">
        <v>25</v>
      </c>
      <c r="U23" s="632">
        <f>H23</f>
        <v>100</v>
      </c>
      <c r="V23" s="631" t="s">
        <v>25</v>
      </c>
      <c r="W23" s="632">
        <f>J23</f>
        <v>100</v>
      </c>
      <c r="X23" s="1305"/>
      <c r="Y23" s="3708"/>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708"/>
      <c r="Q24" s="1304">
        <f t="shared" ref="Q24:Q34" si="11">B24</f>
        <v>111</v>
      </c>
      <c r="R24" s="631" t="s">
        <v>25</v>
      </c>
      <c r="S24" s="632">
        <f>F24</f>
        <v>100</v>
      </c>
      <c r="T24" s="631" t="s">
        <v>25</v>
      </c>
      <c r="U24" s="632">
        <f>H24</f>
        <v>100</v>
      </c>
      <c r="V24" s="631" t="s">
        <v>25</v>
      </c>
      <c r="W24" s="632">
        <f>J24</f>
        <v>100</v>
      </c>
      <c r="X24" s="1305"/>
      <c r="Y24" s="3708"/>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1"/>
      <c r="M25" s="2992"/>
      <c r="N25" s="2992"/>
      <c r="O25" s="2993"/>
      <c r="P25" s="3708"/>
      <c r="Q25" s="1297">
        <f t="shared" si="11"/>
        <v>111</v>
      </c>
      <c r="R25" s="627" t="s">
        <v>25</v>
      </c>
      <c r="S25" s="628">
        <f>F25</f>
        <v>100</v>
      </c>
      <c r="T25" s="627" t="s">
        <v>25</v>
      </c>
      <c r="U25" s="628">
        <f>H25</f>
        <v>100</v>
      </c>
      <c r="V25" s="627" t="s">
        <v>25</v>
      </c>
      <c r="W25" s="628">
        <f>J25</f>
        <v>100</v>
      </c>
      <c r="X25" s="629"/>
      <c r="Y25" s="3708"/>
      <c r="Z25" s="19">
        <f>Q25</f>
        <v>111</v>
      </c>
      <c r="AA25" s="1307">
        <f>D25/F25</f>
        <v>1</v>
      </c>
      <c r="AB25" s="1307">
        <f>D25/H25</f>
        <v>1</v>
      </c>
      <c r="AC25" s="1307">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2999"/>
      <c r="M26" s="2990"/>
      <c r="N26" s="2990"/>
      <c r="O26" s="2998"/>
      <c r="P26" s="3695" t="s">
        <v>2217</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6" t="s">
        <v>2217</v>
      </c>
      <c r="Z26" s="1306" t="str">
        <f t="shared" ref="Z26:Z34" si="15">Q26</f>
        <v>公共部分装修</v>
      </c>
      <c r="AA26" s="1307">
        <f t="shared" si="3"/>
        <v>1</v>
      </c>
      <c r="AB26" s="1307">
        <f t="shared" si="4"/>
        <v>1</v>
      </c>
      <c r="AC26" s="1307">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96"/>
      <c r="Q27" s="633" t="str">
        <f t="shared" si="11"/>
        <v>成新率</v>
      </c>
      <c r="R27" s="634" t="s">
        <v>25</v>
      </c>
      <c r="S27" s="635" t="e">
        <f t="shared" si="12"/>
        <v>#N/A</v>
      </c>
      <c r="T27" s="634" t="s">
        <v>25</v>
      </c>
      <c r="U27" s="635" t="e">
        <f t="shared" si="13"/>
        <v>#N/A</v>
      </c>
      <c r="V27" s="634" t="s">
        <v>25</v>
      </c>
      <c r="W27" s="635" t="e">
        <f t="shared" si="14"/>
        <v>#N/A</v>
      </c>
      <c r="X27" s="636"/>
      <c r="Y27" s="3696"/>
      <c r="Z27" s="637" t="str">
        <f t="shared" si="15"/>
        <v>成新率</v>
      </c>
      <c r="AA27" s="1307" t="e">
        <f t="shared" si="3"/>
        <v>#N/A</v>
      </c>
      <c r="AB27" s="1307" t="e">
        <f t="shared" si="4"/>
        <v>#N/A</v>
      </c>
      <c r="AC27" s="1307"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96"/>
      <c r="Q28" s="1304" t="str">
        <f t="shared" si="11"/>
        <v>物业等级</v>
      </c>
      <c r="R28" s="631" t="s">
        <v>25</v>
      </c>
      <c r="S28" s="632">
        <f t="shared" si="12"/>
        <v>100</v>
      </c>
      <c r="T28" s="631" t="s">
        <v>25</v>
      </c>
      <c r="U28" s="632">
        <f t="shared" si="13"/>
        <v>100</v>
      </c>
      <c r="V28" s="631" t="s">
        <v>25</v>
      </c>
      <c r="W28" s="632">
        <f t="shared" si="14"/>
        <v>100</v>
      </c>
      <c r="X28" s="1305"/>
      <c r="Y28" s="3696"/>
      <c r="Z28" s="1306" t="str">
        <f t="shared" si="15"/>
        <v>物业等级</v>
      </c>
      <c r="AA28" s="1307">
        <f t="shared" si="3"/>
        <v>1</v>
      </c>
      <c r="AB28" s="1307">
        <f t="shared" si="4"/>
        <v>1</v>
      </c>
      <c r="AC28" s="1307">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96"/>
      <c r="Q29" s="1304" t="str">
        <f t="shared" si="11"/>
        <v>有无电梯</v>
      </c>
      <c r="R29" s="631" t="s">
        <v>25</v>
      </c>
      <c r="S29" s="632">
        <f t="shared" si="12"/>
        <v>100</v>
      </c>
      <c r="T29" s="631" t="s">
        <v>25</v>
      </c>
      <c r="U29" s="632">
        <f t="shared" si="13"/>
        <v>100</v>
      </c>
      <c r="V29" s="631" t="s">
        <v>25</v>
      </c>
      <c r="W29" s="632">
        <f t="shared" si="14"/>
        <v>100</v>
      </c>
      <c r="X29" s="1305"/>
      <c r="Y29" s="3696"/>
      <c r="Z29" s="1306" t="str">
        <f t="shared" si="15"/>
        <v>有无电梯</v>
      </c>
      <c r="AA29" s="1307">
        <f t="shared" si="3"/>
        <v>1</v>
      </c>
      <c r="AB29" s="1307">
        <f t="shared" si="4"/>
        <v>1</v>
      </c>
      <c r="AC29" s="1307">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96"/>
      <c r="Q30" s="1304" t="str">
        <f t="shared" si="11"/>
        <v>建筑面积</v>
      </c>
      <c r="R30" s="631" t="s">
        <v>25</v>
      </c>
      <c r="S30" s="632" t="e">
        <f t="shared" si="12"/>
        <v>#N/A</v>
      </c>
      <c r="T30" s="631" t="s">
        <v>25</v>
      </c>
      <c r="U30" s="632" t="e">
        <f t="shared" si="13"/>
        <v>#N/A</v>
      </c>
      <c r="V30" s="631" t="s">
        <v>25</v>
      </c>
      <c r="W30" s="632" t="e">
        <f t="shared" si="14"/>
        <v>#N/A</v>
      </c>
      <c r="X30" s="1305"/>
      <c r="Y30" s="3696"/>
      <c r="Z30" s="1306" t="str">
        <f t="shared" si="15"/>
        <v>建筑面积</v>
      </c>
      <c r="AA30" s="1307" t="e">
        <f t="shared" si="3"/>
        <v>#N/A</v>
      </c>
      <c r="AB30" s="1307" t="e">
        <f t="shared" si="4"/>
        <v>#N/A</v>
      </c>
      <c r="AC30" s="1307"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96"/>
      <c r="Q31" s="1297" t="str">
        <f t="shared" si="11"/>
        <v>是否封闭</v>
      </c>
      <c r="R31" s="627" t="s">
        <v>25</v>
      </c>
      <c r="S31" s="628">
        <f t="shared" si="12"/>
        <v>100</v>
      </c>
      <c r="T31" s="627" t="s">
        <v>25</v>
      </c>
      <c r="U31" s="628">
        <f t="shared" si="13"/>
        <v>100</v>
      </c>
      <c r="V31" s="627" t="s">
        <v>25</v>
      </c>
      <c r="W31" s="628">
        <f t="shared" si="14"/>
        <v>100</v>
      </c>
      <c r="X31" s="629"/>
      <c r="Y31" s="3696"/>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96" t="s">
        <v>2217</v>
      </c>
      <c r="Q32" s="1304">
        <f t="shared" si="11"/>
        <v>111</v>
      </c>
      <c r="R32" s="631" t="s">
        <v>25</v>
      </c>
      <c r="S32" s="632">
        <f t="shared" si="12"/>
        <v>100</v>
      </c>
      <c r="T32" s="631" t="s">
        <v>25</v>
      </c>
      <c r="U32" s="632">
        <f t="shared" si="13"/>
        <v>100</v>
      </c>
      <c r="V32" s="631" t="s">
        <v>25</v>
      </c>
      <c r="W32" s="632">
        <f t="shared" si="14"/>
        <v>100</v>
      </c>
      <c r="X32" s="1305"/>
      <c r="Y32" s="3696" t="s">
        <v>2217</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96"/>
      <c r="Q33" s="1304">
        <f t="shared" si="11"/>
        <v>111</v>
      </c>
      <c r="R33" s="631" t="s">
        <v>25</v>
      </c>
      <c r="S33" s="632">
        <f t="shared" si="12"/>
        <v>100</v>
      </c>
      <c r="T33" s="631" t="s">
        <v>25</v>
      </c>
      <c r="U33" s="632">
        <f t="shared" si="13"/>
        <v>100</v>
      </c>
      <c r="V33" s="631" t="s">
        <v>25</v>
      </c>
      <c r="W33" s="632">
        <f t="shared" si="14"/>
        <v>100</v>
      </c>
      <c r="X33" s="1305"/>
      <c r="Y33" s="3696"/>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9"/>
      <c r="M34" s="2990"/>
      <c r="N34" s="2990"/>
      <c r="O34" s="2998"/>
      <c r="P34" s="3696"/>
      <c r="Q34" s="1304">
        <f t="shared" si="11"/>
        <v>111</v>
      </c>
      <c r="R34" s="631" t="s">
        <v>25</v>
      </c>
      <c r="S34" s="632">
        <f t="shared" si="12"/>
        <v>100</v>
      </c>
      <c r="T34" s="631" t="s">
        <v>25</v>
      </c>
      <c r="U34" s="632">
        <f t="shared" si="13"/>
        <v>100</v>
      </c>
      <c r="V34" s="631" t="s">
        <v>25</v>
      </c>
      <c r="W34" s="632">
        <f t="shared" si="14"/>
        <v>100</v>
      </c>
      <c r="X34" s="1305"/>
      <c r="Y34" s="3696"/>
      <c r="Z34" s="1306">
        <f t="shared" si="15"/>
        <v>111</v>
      </c>
      <c r="AA34" s="1307">
        <f t="shared" si="3"/>
        <v>1</v>
      </c>
      <c r="AB34" s="1307">
        <f t="shared" si="4"/>
        <v>1</v>
      </c>
      <c r="AC34" s="1307">
        <f t="shared" si="5"/>
        <v>1</v>
      </c>
    </row>
    <row r="35" spans="1:29" ht="15">
      <c r="A35" s="367" t="s">
        <v>2229</v>
      </c>
      <c r="B35" s="368"/>
      <c r="C35" s="1124" t="s">
        <v>1</v>
      </c>
      <c r="D35" s="1125"/>
      <c r="E35" s="1126"/>
      <c r="F35" s="1127"/>
      <c r="G35" s="1128"/>
      <c r="H35" s="1129"/>
      <c r="I35" s="1126"/>
      <c r="J35" s="1129"/>
      <c r="K35" s="640"/>
      <c r="L35" s="3001"/>
      <c r="N35" s="2990"/>
      <c r="P35" s="3690" t="str">
        <f>A35</f>
        <v>成交单价（元/平方米）</v>
      </c>
      <c r="Q35" s="3690"/>
      <c r="R35" s="3691">
        <f>E35</f>
        <v>0</v>
      </c>
      <c r="S35" s="3691"/>
      <c r="T35" s="3691">
        <f>G35</f>
        <v>0</v>
      </c>
      <c r="U35" s="3691"/>
      <c r="V35" s="3691">
        <f>I35</f>
        <v>0</v>
      </c>
      <c r="W35" s="3691"/>
      <c r="X35" s="618"/>
      <c r="Y35" s="638"/>
      <c r="Z35" s="618"/>
      <c r="AA35" s="618"/>
      <c r="AB35" s="618"/>
      <c r="AC35" s="618"/>
    </row>
    <row r="36" spans="1:29" ht="15.75" thickBot="1">
      <c r="A36" s="374" t="s">
        <v>2312</v>
      </c>
      <c r="B36" s="375"/>
      <c r="C36" s="1130" t="e">
        <f>R37</f>
        <v>#DIV/0!</v>
      </c>
      <c r="D36" s="1764" t="s">
        <v>2681</v>
      </c>
      <c r="E36" s="1131" t="e">
        <f>R36</f>
        <v>#DIV/0!</v>
      </c>
      <c r="F36" s="1766"/>
      <c r="G36" s="1130" t="e">
        <f>T36</f>
        <v>#DIV/0!</v>
      </c>
      <c r="H36" s="1766"/>
      <c r="I36" s="1131" t="e">
        <f>V36</f>
        <v>#DIV/0!</v>
      </c>
      <c r="J36" s="1766"/>
      <c r="K36" s="2477">
        <f>F36+H36+J36</f>
        <v>0</v>
      </c>
      <c r="L36" s="3001"/>
      <c r="N36" s="2990"/>
      <c r="P36" s="3690" t="str">
        <f>A36</f>
        <v>比较价值（元/平方米）</v>
      </c>
      <c r="Q36" s="3690"/>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2335</v>
      </c>
      <c r="B37" s="379"/>
      <c r="C37" s="1132" t="e">
        <f>R37</f>
        <v>#DIV/0!</v>
      </c>
      <c r="D37" s="1132"/>
      <c r="E37" s="1132"/>
      <c r="F37" s="1132"/>
      <c r="G37" s="1132"/>
      <c r="H37" s="1132"/>
      <c r="I37" s="1132"/>
      <c r="J37" s="1132"/>
      <c r="K37" s="641"/>
      <c r="L37" s="3001"/>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3004"/>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2317</v>
      </c>
      <c r="B45" s="618"/>
      <c r="C45" s="621"/>
      <c r="D45" s="621"/>
      <c r="E45" s="621"/>
      <c r="F45" s="622"/>
      <c r="G45" s="622"/>
      <c r="H45" s="621"/>
      <c r="I45" s="621"/>
      <c r="J45" s="621"/>
      <c r="K45" s="623"/>
      <c r="L45" s="624"/>
      <c r="M45" s="621"/>
      <c r="N45" s="3007"/>
      <c r="O45" s="3007"/>
      <c r="P45" s="389"/>
      <c r="Q45" s="390"/>
    </row>
    <row r="46" spans="1:29" s="394" customFormat="1" ht="15">
      <c r="A46" s="391" t="s">
        <v>2199</v>
      </c>
      <c r="B46" s="392"/>
      <c r="C46" s="1158" t="str">
        <f>YEAR(C7)&amp;"-"&amp;MONTH(C7)</f>
        <v>2022-6</v>
      </c>
      <c r="D46" s="1159">
        <f>EDATE(C46,-1)</f>
        <v>44682</v>
      </c>
      <c r="E46" s="1159">
        <f t="shared" ref="E46:O46" si="16">EDATE(D46,-1)</f>
        <v>44652</v>
      </c>
      <c r="F46" s="1159">
        <f t="shared" si="16"/>
        <v>44621</v>
      </c>
      <c r="G46" s="1159">
        <f t="shared" si="16"/>
        <v>44593</v>
      </c>
      <c r="H46" s="1159">
        <f t="shared" si="16"/>
        <v>44562</v>
      </c>
      <c r="I46" s="1159">
        <f t="shared" si="16"/>
        <v>44531</v>
      </c>
      <c r="J46" s="1159">
        <f t="shared" si="16"/>
        <v>44501</v>
      </c>
      <c r="K46" s="1159">
        <f t="shared" si="16"/>
        <v>44470</v>
      </c>
      <c r="L46" s="1159">
        <f t="shared" si="16"/>
        <v>44440</v>
      </c>
      <c r="M46" s="1159">
        <f t="shared" si="16"/>
        <v>44409</v>
      </c>
      <c r="N46" s="1159">
        <f t="shared" si="16"/>
        <v>44378</v>
      </c>
      <c r="O46" s="1159">
        <f t="shared" si="16"/>
        <v>44348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6"/>
      <c r="E2" s="2976"/>
      <c r="F2" s="2975"/>
      <c r="G2" s="2976"/>
      <c r="H2" s="2976"/>
      <c r="I2" s="2976"/>
      <c r="J2" s="2976"/>
      <c r="K2" s="2977"/>
      <c r="L2" s="2978"/>
      <c r="M2" s="2976"/>
      <c r="N2" s="2976"/>
      <c r="O2" s="2976"/>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6"/>
      <c r="E3" s="2976"/>
      <c r="F3" s="2975"/>
      <c r="G3" s="2976"/>
      <c r="H3" s="2976"/>
      <c r="I3" s="2976"/>
      <c r="J3" s="2976"/>
      <c r="K3" s="2977"/>
      <c r="L3" s="2978"/>
      <c r="M3" s="2976"/>
      <c r="N3" s="2976"/>
      <c r="O3" s="2976"/>
      <c r="P3" s="1924"/>
      <c r="Q3" s="1924"/>
      <c r="R3" s="1924"/>
      <c r="S3" s="1924"/>
      <c r="T3" s="1924"/>
      <c r="U3" s="1924"/>
      <c r="V3" s="1924"/>
      <c r="W3" s="1924"/>
      <c r="X3" s="1924"/>
      <c r="Y3" s="1924"/>
      <c r="Z3" s="1924"/>
      <c r="AA3" s="1924"/>
      <c r="AB3" s="1931"/>
      <c r="AC3" s="1932"/>
    </row>
    <row r="4" spans="1:30" ht="15">
      <c r="A4" s="1630" t="s">
        <v>2186</v>
      </c>
      <c r="B4" s="1631"/>
      <c r="C4" s="3645" t="s">
        <v>2187</v>
      </c>
      <c r="D4" s="3646"/>
      <c r="E4" s="3647" t="s">
        <v>2188</v>
      </c>
      <c r="F4" s="3648"/>
      <c r="G4" s="3645" t="s">
        <v>2189</v>
      </c>
      <c r="H4" s="3646"/>
      <c r="I4" s="3645" t="s">
        <v>2190</v>
      </c>
      <c r="J4" s="3646"/>
      <c r="K4" s="1933" t="s">
        <v>2191</v>
      </c>
      <c r="L4" s="2961"/>
      <c r="M4" s="2962"/>
      <c r="N4" s="2962"/>
      <c r="O4" s="2962"/>
      <c r="P4" s="3649" t="s">
        <v>2192</v>
      </c>
      <c r="Q4" s="3650"/>
      <c r="R4" s="3631" t="s">
        <v>2188</v>
      </c>
      <c r="S4" s="3632"/>
      <c r="T4" s="3631" t="s">
        <v>2189</v>
      </c>
      <c r="U4" s="3632"/>
      <c r="V4" s="3655" t="s">
        <v>2190</v>
      </c>
      <c r="W4" s="3655"/>
      <c r="X4" s="1633"/>
      <c r="Y4" s="3631" t="s">
        <v>2192</v>
      </c>
      <c r="Z4" s="3632"/>
      <c r="AA4" s="3642" t="s">
        <v>2188</v>
      </c>
      <c r="AB4" s="3643" t="s">
        <v>2189</v>
      </c>
      <c r="AC4" s="3642" t="s">
        <v>2190</v>
      </c>
    </row>
    <row r="5" spans="1:30" ht="15">
      <c r="A5" s="1635"/>
      <c r="B5" s="1636"/>
      <c r="C5" s="3658" t="s">
        <v>2193</v>
      </c>
      <c r="D5" s="3659"/>
      <c r="E5" s="3656" t="s">
        <v>2194</v>
      </c>
      <c r="F5" s="3657"/>
      <c r="G5" s="3658" t="s">
        <v>2195</v>
      </c>
      <c r="H5" s="3659"/>
      <c r="I5" s="3658" t="s">
        <v>2196</v>
      </c>
      <c r="J5" s="3659"/>
      <c r="K5" s="1933"/>
      <c r="L5" s="2961"/>
      <c r="M5" s="2962"/>
      <c r="N5" s="2962"/>
      <c r="O5" s="2962"/>
      <c r="P5" s="3651"/>
      <c r="Q5" s="3652"/>
      <c r="R5" s="3633"/>
      <c r="S5" s="3634"/>
      <c r="T5" s="3633"/>
      <c r="U5" s="3634"/>
      <c r="V5" s="3655"/>
      <c r="W5" s="3655"/>
      <c r="X5" s="1633"/>
      <c r="Y5" s="3633"/>
      <c r="Z5" s="3634"/>
      <c r="AA5" s="3643"/>
      <c r="AB5" s="3643"/>
      <c r="AC5" s="3643"/>
    </row>
    <row r="6" spans="1:30" ht="15.75" thickBot="1">
      <c r="A6" s="1638"/>
      <c r="B6" s="1639"/>
      <c r="C6" s="3660" t="s">
        <v>2197</v>
      </c>
      <c r="D6" s="3661"/>
      <c r="E6" s="3662" t="s">
        <v>2197</v>
      </c>
      <c r="F6" s="3663"/>
      <c r="G6" s="3660" t="s">
        <v>2197</v>
      </c>
      <c r="H6" s="3661"/>
      <c r="I6" s="3660" t="s">
        <v>2197</v>
      </c>
      <c r="J6" s="3661"/>
      <c r="K6" s="1933" t="s">
        <v>2198</v>
      </c>
      <c r="L6" s="2961"/>
      <c r="M6" s="2962"/>
      <c r="N6" s="2962"/>
      <c r="O6" s="2962"/>
      <c r="P6" s="3653"/>
      <c r="Q6" s="3654"/>
      <c r="R6" s="3633"/>
      <c r="S6" s="3634"/>
      <c r="T6" s="3635"/>
      <c r="U6" s="3636"/>
      <c r="V6" s="3655"/>
      <c r="W6" s="3655"/>
      <c r="X6" s="1633"/>
      <c r="Y6" s="3635"/>
      <c r="Z6" s="3636"/>
      <c r="AA6" s="3644"/>
      <c r="AB6" s="3644"/>
      <c r="AC6" s="3644"/>
    </row>
    <row r="7" spans="1:30" s="1652" customFormat="1" ht="15.75" thickBot="1">
      <c r="A7" s="1640" t="s">
        <v>2199</v>
      </c>
      <c r="B7" s="1641"/>
      <c r="C7" s="1642">
        <f>'数据-取费表'!B2</f>
        <v>44727</v>
      </c>
      <c r="D7" s="1643">
        <v>100</v>
      </c>
      <c r="E7" s="1644"/>
      <c r="F7" s="1645">
        <f>SUMIF(70:70,YEAR(E7)&amp;"-"&amp;INT((MONTH(E7)+2)/3),71:71)</f>
        <v>0</v>
      </c>
      <c r="G7" s="1934"/>
      <c r="H7" s="1643">
        <f>SUMIF(70:70,YEAR(G7)&amp;"-"&amp;INT((MONTH(G7)+2)/3),71:71)</f>
        <v>0</v>
      </c>
      <c r="I7" s="1934"/>
      <c r="J7" s="1643">
        <f>SUMIF(70:70,YEAR(I7)&amp;"-"&amp;INT((MONTH(I7)+2)/3),71:71)</f>
        <v>0</v>
      </c>
      <c r="K7" s="1935"/>
      <c r="L7" s="2961"/>
      <c r="M7" s="2934"/>
      <c r="N7" s="2934"/>
      <c r="O7" s="2934"/>
      <c r="P7" s="3629" t="s">
        <v>2200</v>
      </c>
      <c r="Q7" s="3637"/>
      <c r="R7" s="1648" t="s">
        <v>25</v>
      </c>
      <c r="S7" s="1649">
        <f t="shared" ref="S7:S15" si="0">F7</f>
        <v>0</v>
      </c>
      <c r="T7" s="1648" t="s">
        <v>25</v>
      </c>
      <c r="U7" s="1649">
        <f t="shared" ref="U7:U15" si="1">H7</f>
        <v>0</v>
      </c>
      <c r="V7" s="1648" t="s">
        <v>25</v>
      </c>
      <c r="W7" s="1649">
        <f t="shared" ref="W7:W15" si="2">J7</f>
        <v>0</v>
      </c>
      <c r="X7" s="1650"/>
      <c r="Y7" s="3629" t="s">
        <v>2200</v>
      </c>
      <c r="Z7" s="3630"/>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1"/>
      <c r="M8" s="2934"/>
      <c r="N8" s="2934"/>
      <c r="O8" s="2934"/>
      <c r="P8" s="3629" t="s">
        <v>2203</v>
      </c>
      <c r="Q8" s="3630"/>
      <c r="R8" s="1648" t="s">
        <v>25</v>
      </c>
      <c r="S8" s="1649">
        <f t="shared" si="0"/>
        <v>0</v>
      </c>
      <c r="T8" s="1648" t="s">
        <v>25</v>
      </c>
      <c r="U8" s="1649">
        <f t="shared" si="1"/>
        <v>0</v>
      </c>
      <c r="V8" s="1648" t="s">
        <v>25</v>
      </c>
      <c r="W8" s="1649">
        <f t="shared" si="2"/>
        <v>0</v>
      </c>
      <c r="X8" s="1650"/>
      <c r="Y8" s="3629" t="s">
        <v>2203</v>
      </c>
      <c r="Z8" s="3630"/>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1"/>
      <c r="M9" s="2934"/>
      <c r="N9" s="2934"/>
      <c r="O9" s="3008"/>
      <c r="P9" s="3619" t="s">
        <v>2206</v>
      </c>
      <c r="Q9" s="1602" t="str">
        <f t="shared" ref="Q9:Q15" si="6">B9</f>
        <v>用途</v>
      </c>
      <c r="R9" s="1648" t="s">
        <v>25</v>
      </c>
      <c r="S9" s="1649">
        <f t="shared" si="0"/>
        <v>100</v>
      </c>
      <c r="T9" s="1648" t="s">
        <v>25</v>
      </c>
      <c r="U9" s="1649">
        <f t="shared" si="1"/>
        <v>100</v>
      </c>
      <c r="V9" s="1648" t="s">
        <v>25</v>
      </c>
      <c r="W9" s="1649">
        <f t="shared" si="2"/>
        <v>100</v>
      </c>
      <c r="X9" s="1650"/>
      <c r="Y9" s="3475"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127</v>
      </c>
      <c r="G10" s="1725"/>
      <c r="H10" s="1665">
        <f>ROUND(100/'数据-取费表'!B14,0)</f>
        <v>127</v>
      </c>
      <c r="I10" s="1725"/>
      <c r="J10" s="1665">
        <f>ROUND(100/'数据-取费表'!B14,0)</f>
        <v>127</v>
      </c>
      <c r="K10" s="1937"/>
      <c r="L10" s="2963"/>
      <c r="M10" s="2964"/>
      <c r="N10" s="2964"/>
      <c r="O10" s="3009"/>
      <c r="P10" s="3619"/>
      <c r="Q10" s="1602" t="str">
        <f t="shared" si="6"/>
        <v>土地使用年限（年）</v>
      </c>
      <c r="R10" s="1648" t="s">
        <v>25</v>
      </c>
      <c r="S10" s="1649">
        <f t="shared" si="0"/>
        <v>127</v>
      </c>
      <c r="T10" s="1648" t="s">
        <v>25</v>
      </c>
      <c r="U10" s="1649">
        <f t="shared" si="1"/>
        <v>127</v>
      </c>
      <c r="V10" s="1648" t="s">
        <v>25</v>
      </c>
      <c r="W10" s="1649">
        <f t="shared" si="2"/>
        <v>127</v>
      </c>
      <c r="X10" s="1650"/>
      <c r="Y10" s="3475"/>
      <c r="Z10" s="1661" t="str">
        <f t="shared" si="7"/>
        <v>土地使用年限（年）</v>
      </c>
      <c r="AA10" s="1651">
        <f t="shared" si="3"/>
        <v>0.78740157480314965</v>
      </c>
      <c r="AB10" s="1651">
        <f t="shared" si="4"/>
        <v>0.78740157480314965</v>
      </c>
      <c r="AC10" s="1651">
        <f t="shared" si="5"/>
        <v>0.78740157480314965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5"/>
      <c r="M11" s="2962"/>
      <c r="N11" s="2962"/>
      <c r="O11" s="3010"/>
      <c r="P11" s="3619"/>
      <c r="Q11" s="1602" t="str">
        <f t="shared" si="6"/>
        <v>容积率</v>
      </c>
      <c r="R11" s="1648" t="s">
        <v>25</v>
      </c>
      <c r="S11" s="1649" t="e">
        <f t="shared" si="0"/>
        <v>#N/A</v>
      </c>
      <c r="T11" s="1648" t="s">
        <v>25</v>
      </c>
      <c r="U11" s="1649" t="e">
        <f t="shared" si="1"/>
        <v>#N/A</v>
      </c>
      <c r="V11" s="1648" t="s">
        <v>25</v>
      </c>
      <c r="W11" s="1649" t="e">
        <f t="shared" si="2"/>
        <v>#N/A</v>
      </c>
      <c r="X11" s="1650"/>
      <c r="Y11" s="3475"/>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1"/>
      <c r="M12" s="2934"/>
      <c r="N12" s="2934"/>
      <c r="O12" s="3008"/>
      <c r="P12" s="3619"/>
      <c r="Q12" s="1602" t="str">
        <f t="shared" si="6"/>
        <v>配建</v>
      </c>
      <c r="R12" s="1648" t="s">
        <v>25</v>
      </c>
      <c r="S12" s="1649">
        <f t="shared" si="0"/>
        <v>100</v>
      </c>
      <c r="T12" s="1648" t="s">
        <v>25</v>
      </c>
      <c r="U12" s="1649">
        <f t="shared" si="1"/>
        <v>100</v>
      </c>
      <c r="V12" s="1648" t="s">
        <v>25</v>
      </c>
      <c r="W12" s="1649">
        <f t="shared" si="2"/>
        <v>100</v>
      </c>
      <c r="X12" s="1650"/>
      <c r="Y12" s="347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6"/>
      <c r="M13" s="2962"/>
      <c r="N13" s="2962"/>
      <c r="O13" s="3010"/>
      <c r="P13" s="3619"/>
      <c r="Q13" s="1602">
        <f t="shared" si="6"/>
        <v>111</v>
      </c>
      <c r="R13" s="1648" t="s">
        <v>25</v>
      </c>
      <c r="S13" s="1649">
        <f t="shared" si="0"/>
        <v>100</v>
      </c>
      <c r="T13" s="1648" t="s">
        <v>25</v>
      </c>
      <c r="U13" s="1649">
        <f t="shared" si="1"/>
        <v>100</v>
      </c>
      <c r="V13" s="1648" t="s">
        <v>25</v>
      </c>
      <c r="W13" s="1649">
        <f t="shared" si="2"/>
        <v>100</v>
      </c>
      <c r="X13" s="1650"/>
      <c r="Y13" s="3475"/>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6"/>
      <c r="M14" s="2962"/>
      <c r="N14" s="2962"/>
      <c r="O14" s="3010"/>
      <c r="P14" s="3619"/>
      <c r="Q14" s="1602">
        <f t="shared" si="6"/>
        <v>111</v>
      </c>
      <c r="R14" s="1648" t="s">
        <v>25</v>
      </c>
      <c r="S14" s="1649">
        <f t="shared" si="0"/>
        <v>100</v>
      </c>
      <c r="T14" s="1648" t="s">
        <v>25</v>
      </c>
      <c r="U14" s="1649">
        <f t="shared" si="1"/>
        <v>100</v>
      </c>
      <c r="V14" s="1648" t="s">
        <v>25</v>
      </c>
      <c r="W14" s="1649">
        <f t="shared" si="2"/>
        <v>100</v>
      </c>
      <c r="X14" s="1650"/>
      <c r="Y14" s="3475"/>
      <c r="Z14" s="1661">
        <f t="shared" si="7"/>
        <v>111</v>
      </c>
      <c r="AA14" s="1651">
        <f>D14/F14</f>
        <v>1</v>
      </c>
      <c r="AB14" s="1651">
        <f>D14/H14</f>
        <v>1</v>
      </c>
      <c r="AC14" s="1651">
        <f>D14/J14</f>
        <v>1</v>
      </c>
    </row>
    <row r="15" spans="1:30" ht="15">
      <c r="A15" s="1630" t="s">
        <v>2210</v>
      </c>
      <c r="B15" s="1940" t="s">
        <v>1646</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6"/>
      <c r="M15" s="2962"/>
      <c r="N15" s="2962"/>
      <c r="O15" s="3010"/>
      <c r="P15" s="3640" t="s">
        <v>2211</v>
      </c>
      <c r="Q15" s="1583" t="str">
        <f t="shared" si="6"/>
        <v>居住社区成熟度</v>
      </c>
      <c r="R15" s="1693" t="s">
        <v>25</v>
      </c>
      <c r="S15" s="1694">
        <f t="shared" si="0"/>
        <v>100</v>
      </c>
      <c r="T15" s="1693" t="s">
        <v>25</v>
      </c>
      <c r="U15" s="1694">
        <f t="shared" si="1"/>
        <v>100</v>
      </c>
      <c r="V15" s="1693" t="s">
        <v>25</v>
      </c>
      <c r="W15" s="1694">
        <f t="shared" si="2"/>
        <v>100</v>
      </c>
      <c r="X15" s="1633"/>
      <c r="Y15" s="3640"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6"/>
      <c r="M16" s="2962"/>
      <c r="N16" s="2962"/>
      <c r="O16" s="3010"/>
      <c r="P16" s="3641"/>
      <c r="Q16" s="1583"/>
      <c r="R16" s="1693"/>
      <c r="S16" s="1694"/>
      <c r="T16" s="1693"/>
      <c r="U16" s="1694"/>
      <c r="V16" s="1693"/>
      <c r="W16" s="1694"/>
      <c r="X16" s="1633"/>
      <c r="Y16" s="3641"/>
      <c r="Z16" s="1695"/>
      <c r="AA16" s="1696">
        <v>1</v>
      </c>
      <c r="AB16" s="1696">
        <v>1</v>
      </c>
      <c r="AC16" s="1696">
        <v>1</v>
      </c>
    </row>
    <row r="17" spans="1:29" ht="15">
      <c r="A17" s="1635"/>
      <c r="B17" s="1944" t="s">
        <v>2296</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6"/>
      <c r="M17" s="2962"/>
      <c r="N17" s="2962"/>
      <c r="O17" s="3010"/>
      <c r="P17" s="3641"/>
      <c r="Q17" s="1583" t="str">
        <f>B17</f>
        <v>商业繁华度</v>
      </c>
      <c r="R17" s="1693" t="s">
        <v>25</v>
      </c>
      <c r="S17" s="1694">
        <f>F17</f>
        <v>100</v>
      </c>
      <c r="T17" s="1693" t="s">
        <v>25</v>
      </c>
      <c r="U17" s="1694">
        <f>H17</f>
        <v>100</v>
      </c>
      <c r="V17" s="1693" t="s">
        <v>25</v>
      </c>
      <c r="W17" s="1694">
        <f>J17</f>
        <v>100</v>
      </c>
      <c r="X17" s="1633"/>
      <c r="Y17" s="3641"/>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6"/>
      <c r="M18" s="2962"/>
      <c r="N18" s="2962"/>
      <c r="O18" s="3010"/>
      <c r="P18" s="3641"/>
      <c r="Q18" s="1583"/>
      <c r="R18" s="1693"/>
      <c r="S18" s="1694"/>
      <c r="T18" s="1693"/>
      <c r="U18" s="1694"/>
      <c r="V18" s="1693"/>
      <c r="W18" s="1694"/>
      <c r="X18" s="1633"/>
      <c r="Y18" s="3641"/>
      <c r="Z18" s="1695"/>
      <c r="AA18" s="1696">
        <v>1</v>
      </c>
      <c r="AB18" s="1696">
        <v>1</v>
      </c>
      <c r="AC18" s="1696">
        <v>1</v>
      </c>
    </row>
    <row r="19" spans="1:29" ht="114">
      <c r="A19" s="1635"/>
      <c r="B19" s="1944" t="s">
        <v>2325</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6"/>
      <c r="M19" s="2962"/>
      <c r="N19" s="2962"/>
      <c r="O19" s="3010"/>
      <c r="P19" s="3641"/>
      <c r="Q19" s="1583" t="str">
        <f>B19</f>
        <v>办公集聚程度</v>
      </c>
      <c r="R19" s="1693" t="s">
        <v>25</v>
      </c>
      <c r="S19" s="1694">
        <f>F19</f>
        <v>100</v>
      </c>
      <c r="T19" s="1693" t="s">
        <v>25</v>
      </c>
      <c r="U19" s="1694">
        <f>H19</f>
        <v>100</v>
      </c>
      <c r="V19" s="1693" t="s">
        <v>25</v>
      </c>
      <c r="W19" s="1694">
        <f>J19</f>
        <v>100</v>
      </c>
      <c r="X19" s="1633"/>
      <c r="Y19" s="3641"/>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6"/>
      <c r="M20" s="2962"/>
      <c r="N20" s="2962"/>
      <c r="O20" s="3010"/>
      <c r="P20" s="3641"/>
      <c r="Q20" s="1583"/>
      <c r="R20" s="1693"/>
      <c r="S20" s="1694"/>
      <c r="T20" s="1693"/>
      <c r="U20" s="1694"/>
      <c r="V20" s="1693"/>
      <c r="W20" s="1694"/>
      <c r="X20" s="1633"/>
      <c r="Y20" s="3641"/>
      <c r="Z20" s="1695"/>
      <c r="AA20" s="1696">
        <v>1</v>
      </c>
      <c r="AB20" s="1696">
        <v>1</v>
      </c>
      <c r="AC20" s="1696">
        <v>1</v>
      </c>
    </row>
    <row r="21" spans="1:29" ht="99.75">
      <c r="A21" s="1635"/>
      <c r="B21" s="1944" t="s">
        <v>2348</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6"/>
      <c r="M21" s="2962"/>
      <c r="N21" s="2962"/>
      <c r="O21" s="3010"/>
      <c r="P21" s="3641"/>
      <c r="Q21" s="1583" t="str">
        <f>B21</f>
        <v>交通便捷度</v>
      </c>
      <c r="R21" s="1693" t="s">
        <v>25</v>
      </c>
      <c r="S21" s="1694">
        <f>F21</f>
        <v>100</v>
      </c>
      <c r="T21" s="1693" t="s">
        <v>25</v>
      </c>
      <c r="U21" s="1694">
        <f>H21</f>
        <v>100</v>
      </c>
      <c r="V21" s="1693" t="s">
        <v>25</v>
      </c>
      <c r="W21" s="1694">
        <f>J21</f>
        <v>100</v>
      </c>
      <c r="X21" s="1633"/>
      <c r="Y21" s="3641"/>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6"/>
      <c r="M22" s="2962"/>
      <c r="N22" s="2962"/>
      <c r="O22" s="3010"/>
      <c r="P22" s="3641"/>
      <c r="Q22" s="1583"/>
      <c r="R22" s="1693"/>
      <c r="S22" s="1694"/>
      <c r="T22" s="1693"/>
      <c r="U22" s="1694"/>
      <c r="V22" s="1693"/>
      <c r="W22" s="1694"/>
      <c r="X22" s="1633"/>
      <c r="Y22" s="3641"/>
      <c r="Z22" s="1695"/>
      <c r="AA22" s="1696">
        <v>1</v>
      </c>
      <c r="AB22" s="1696">
        <v>1</v>
      </c>
      <c r="AC22" s="1696">
        <v>1</v>
      </c>
    </row>
    <row r="23" spans="1:29" ht="15">
      <c r="A23" s="1635"/>
      <c r="B23" s="1425" t="s">
        <v>2388</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6"/>
      <c r="M23" s="2962"/>
      <c r="N23" s="2962"/>
      <c r="O23" s="3010"/>
      <c r="P23" s="3641"/>
      <c r="Q23" s="1583" t="str">
        <f t="shared" ref="Q23:Q37" si="8">B23</f>
        <v>区域土地利用方向</v>
      </c>
      <c r="R23" s="1693" t="s">
        <v>25</v>
      </c>
      <c r="S23" s="1694">
        <f>F23</f>
        <v>100</v>
      </c>
      <c r="T23" s="1693" t="s">
        <v>25</v>
      </c>
      <c r="U23" s="1694">
        <f>H23</f>
        <v>100</v>
      </c>
      <c r="V23" s="1693" t="s">
        <v>25</v>
      </c>
      <c r="W23" s="1694">
        <f>J23</f>
        <v>100</v>
      </c>
      <c r="X23" s="1633"/>
      <c r="Y23" s="3641"/>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6"/>
      <c r="M24" s="2962"/>
      <c r="N24" s="2962"/>
      <c r="O24" s="3010"/>
      <c r="P24" s="3641"/>
      <c r="Q24" s="1583"/>
      <c r="R24" s="1693"/>
      <c r="S24" s="1694"/>
      <c r="T24" s="1693"/>
      <c r="U24" s="1694"/>
      <c r="V24" s="1693"/>
      <c r="W24" s="1694"/>
      <c r="X24" s="1633"/>
      <c r="Y24" s="3641"/>
      <c r="Z24" s="1695"/>
      <c r="AA24" s="1696"/>
      <c r="AB24" s="1696"/>
      <c r="AC24" s="1696"/>
    </row>
    <row r="25" spans="1:29" ht="99.75">
      <c r="A25" s="1635"/>
      <c r="B25" s="1949" t="s">
        <v>2389</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6"/>
      <c r="M25" s="2962"/>
      <c r="N25" s="2962"/>
      <c r="O25" s="3010"/>
      <c r="P25" s="3641"/>
      <c r="Q25" s="1583" t="str">
        <f t="shared" si="8"/>
        <v>自然及人文环境状况</v>
      </c>
      <c r="R25" s="1693" t="s">
        <v>25</v>
      </c>
      <c r="S25" s="1694">
        <f>F25</f>
        <v>100</v>
      </c>
      <c r="T25" s="1693" t="s">
        <v>25</v>
      </c>
      <c r="U25" s="1694">
        <f>H25</f>
        <v>100</v>
      </c>
      <c r="V25" s="1693" t="s">
        <v>25</v>
      </c>
      <c r="W25" s="1694">
        <f>J25</f>
        <v>100</v>
      </c>
      <c r="X25" s="1633"/>
      <c r="Y25" s="3641"/>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6"/>
      <c r="M26" s="2962"/>
      <c r="N26" s="2962"/>
      <c r="O26" s="3010"/>
      <c r="P26" s="3641"/>
      <c r="Q26" s="1583"/>
      <c r="R26" s="1693"/>
      <c r="S26" s="1694"/>
      <c r="T26" s="1693"/>
      <c r="U26" s="1694"/>
      <c r="V26" s="1693"/>
      <c r="W26" s="1694"/>
      <c r="X26" s="1633"/>
      <c r="Y26" s="3641"/>
      <c r="Z26" s="1695"/>
      <c r="AA26" s="1696">
        <v>1</v>
      </c>
      <c r="AB26" s="1696">
        <v>1</v>
      </c>
      <c r="AC26" s="1696">
        <v>1</v>
      </c>
    </row>
    <row r="27" spans="1:29" ht="85.5">
      <c r="A27" s="1635"/>
      <c r="B27" s="1949" t="s">
        <v>2297</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6"/>
      <c r="M27" s="2962"/>
      <c r="N27" s="2962"/>
      <c r="O27" s="3010"/>
      <c r="P27" s="3641"/>
      <c r="Q27" s="1602" t="str">
        <f t="shared" ref="Q27" si="9">B27</f>
        <v>公共配套设施</v>
      </c>
      <c r="R27" s="1648" t="s">
        <v>25</v>
      </c>
      <c r="S27" s="1649">
        <f>F27</f>
        <v>100</v>
      </c>
      <c r="T27" s="1648" t="s">
        <v>25</v>
      </c>
      <c r="U27" s="1649">
        <f>H27</f>
        <v>100</v>
      </c>
      <c r="V27" s="1648" t="s">
        <v>25</v>
      </c>
      <c r="W27" s="1649">
        <f>J27</f>
        <v>100</v>
      </c>
      <c r="X27" s="1633"/>
      <c r="Y27" s="3641"/>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6"/>
      <c r="M28" s="2962"/>
      <c r="N28" s="2962"/>
      <c r="O28" s="3010"/>
      <c r="P28" s="3641"/>
      <c r="Q28" s="1583"/>
      <c r="R28" s="1693"/>
      <c r="S28" s="1694"/>
      <c r="T28" s="1693"/>
      <c r="U28" s="1694"/>
      <c r="V28" s="1693"/>
      <c r="W28" s="1694"/>
      <c r="X28" s="1633"/>
      <c r="Y28" s="3641"/>
      <c r="Z28" s="1661"/>
      <c r="AA28" s="1696">
        <v>1</v>
      </c>
      <c r="AB28" s="1696">
        <v>1</v>
      </c>
      <c r="AC28" s="1696">
        <v>1</v>
      </c>
    </row>
    <row r="29" spans="1:29" s="1652" customFormat="1" ht="42.75">
      <c r="A29" s="1955"/>
      <c r="B29" s="1949" t="s">
        <v>2298</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1"/>
      <c r="M29" s="2934"/>
      <c r="N29" s="2934"/>
      <c r="O29" s="3008"/>
      <c r="P29" s="3641"/>
      <c r="Q29" s="1602" t="str">
        <f t="shared" si="8"/>
        <v>基础设施水平</v>
      </c>
      <c r="R29" s="1648" t="s">
        <v>25</v>
      </c>
      <c r="S29" s="1649">
        <f>F29</f>
        <v>100</v>
      </c>
      <c r="T29" s="1648" t="s">
        <v>25</v>
      </c>
      <c r="U29" s="1649">
        <f>H29</f>
        <v>100</v>
      </c>
      <c r="V29" s="1648" t="s">
        <v>25</v>
      </c>
      <c r="W29" s="1649">
        <f>J29</f>
        <v>100</v>
      </c>
      <c r="X29" s="1650"/>
      <c r="Y29" s="3641"/>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1"/>
      <c r="M30" s="2934"/>
      <c r="N30" s="2934"/>
      <c r="O30" s="3008"/>
      <c r="P30" s="3641"/>
      <c r="Q30" s="1602"/>
      <c r="R30" s="1648"/>
      <c r="S30" s="1649"/>
      <c r="T30" s="1648"/>
      <c r="U30" s="1649"/>
      <c r="V30" s="1648"/>
      <c r="W30" s="1649"/>
      <c r="X30" s="1650"/>
      <c r="Y30" s="3641"/>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6"/>
      <c r="M31" s="2962"/>
      <c r="N31" s="2962"/>
      <c r="O31" s="3010"/>
      <c r="P31" s="3641"/>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41"/>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6"/>
      <c r="M32" s="2962"/>
      <c r="N32" s="2962"/>
      <c r="O32" s="3010"/>
      <c r="P32" s="3641"/>
      <c r="Q32" s="1583" t="str">
        <f t="shared" si="8"/>
        <v>毗邻道路的类型与等级</v>
      </c>
      <c r="R32" s="1693" t="s">
        <v>25</v>
      </c>
      <c r="S32" s="1694">
        <f t="shared" si="10"/>
        <v>100</v>
      </c>
      <c r="T32" s="1693" t="s">
        <v>25</v>
      </c>
      <c r="U32" s="1694">
        <f t="shared" si="11"/>
        <v>100</v>
      </c>
      <c r="V32" s="1693" t="s">
        <v>25</v>
      </c>
      <c r="W32" s="1694">
        <f t="shared" si="12"/>
        <v>100</v>
      </c>
      <c r="X32" s="1633"/>
      <c r="Y32" s="3641"/>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6"/>
      <c r="M33" s="2962"/>
      <c r="N33" s="2962"/>
      <c r="O33" s="3010"/>
      <c r="P33" s="3641"/>
      <c r="Q33" s="1583"/>
      <c r="R33" s="1693"/>
      <c r="S33" s="1694"/>
      <c r="T33" s="1693"/>
      <c r="U33" s="1694"/>
      <c r="V33" s="1693"/>
      <c r="W33" s="1694"/>
      <c r="X33" s="1633"/>
      <c r="Y33" s="3641"/>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6"/>
      <c r="M34" s="2962"/>
      <c r="N34" s="2962"/>
      <c r="O34" s="3010"/>
      <c r="P34" s="3641"/>
      <c r="Q34" s="1583" t="str">
        <f t="shared" si="8"/>
        <v>土地级别</v>
      </c>
      <c r="R34" s="1693" t="s">
        <v>25</v>
      </c>
      <c r="S34" s="1694">
        <f t="shared" si="10"/>
        <v>100</v>
      </c>
      <c r="T34" s="1693" t="s">
        <v>25</v>
      </c>
      <c r="U34" s="1694">
        <f t="shared" si="11"/>
        <v>100</v>
      </c>
      <c r="V34" s="1693" t="s">
        <v>25</v>
      </c>
      <c r="W34" s="1694">
        <f t="shared" si="12"/>
        <v>100</v>
      </c>
      <c r="X34" s="1633"/>
      <c r="Y34" s="3641"/>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6"/>
      <c r="M35" s="2962"/>
      <c r="N35" s="2962"/>
      <c r="O35" s="3010"/>
      <c r="P35" s="3641"/>
      <c r="Q35" s="1583">
        <f t="shared" si="8"/>
        <v>111</v>
      </c>
      <c r="R35" s="1693" t="s">
        <v>25</v>
      </c>
      <c r="S35" s="1694">
        <f t="shared" si="10"/>
        <v>100</v>
      </c>
      <c r="T35" s="1693" t="s">
        <v>25</v>
      </c>
      <c r="U35" s="1694">
        <f t="shared" si="11"/>
        <v>100</v>
      </c>
      <c r="V35" s="1693" t="s">
        <v>25</v>
      </c>
      <c r="W35" s="1694">
        <f t="shared" si="12"/>
        <v>100</v>
      </c>
      <c r="X35" s="1633"/>
      <c r="Y35" s="3641"/>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6"/>
      <c r="M36" s="2962"/>
      <c r="N36" s="2962"/>
      <c r="O36" s="3010"/>
      <c r="P36" s="3667" t="s">
        <v>2217</v>
      </c>
      <c r="Q36" s="1583">
        <f t="shared" si="8"/>
        <v>111</v>
      </c>
      <c r="R36" s="1693" t="s">
        <v>25</v>
      </c>
      <c r="S36" s="1694">
        <f t="shared" si="10"/>
        <v>100</v>
      </c>
      <c r="T36" s="1693" t="s">
        <v>25</v>
      </c>
      <c r="U36" s="1694">
        <f t="shared" si="11"/>
        <v>100</v>
      </c>
      <c r="V36" s="1693" t="s">
        <v>25</v>
      </c>
      <c r="W36" s="1694">
        <f t="shared" si="12"/>
        <v>100</v>
      </c>
      <c r="X36" s="1633"/>
      <c r="Y36" s="3627"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5"/>
      <c r="M37" s="2027"/>
      <c r="N37" s="2027"/>
      <c r="O37" s="3011"/>
      <c r="P37" s="3627"/>
      <c r="Q37" s="1583">
        <f t="shared" si="8"/>
        <v>111</v>
      </c>
      <c r="R37" s="1735" t="s">
        <v>25</v>
      </c>
      <c r="S37" s="1736">
        <f t="shared" si="10"/>
        <v>100</v>
      </c>
      <c r="T37" s="1735" t="s">
        <v>25</v>
      </c>
      <c r="U37" s="1736">
        <f t="shared" si="11"/>
        <v>100</v>
      </c>
      <c r="V37" s="1735" t="s">
        <v>25</v>
      </c>
      <c r="W37" s="1736">
        <f t="shared" si="12"/>
        <v>100</v>
      </c>
      <c r="X37" s="1737"/>
      <c r="Y37" s="3627"/>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6"/>
      <c r="M38" s="2962"/>
      <c r="N38" s="2962"/>
      <c r="O38" s="3010"/>
      <c r="P38" s="3627"/>
      <c r="Q38" s="1583" t="str">
        <f>B38</f>
        <v>宗地面积</v>
      </c>
      <c r="R38" s="1693" t="s">
        <v>25</v>
      </c>
      <c r="S38" s="1694" t="e">
        <f t="shared" si="10"/>
        <v>#N/A</v>
      </c>
      <c r="T38" s="1693" t="s">
        <v>25</v>
      </c>
      <c r="U38" s="1694" t="e">
        <f t="shared" si="11"/>
        <v>#N/A</v>
      </c>
      <c r="V38" s="1693" t="s">
        <v>25</v>
      </c>
      <c r="W38" s="1694" t="e">
        <f t="shared" si="12"/>
        <v>#N/A</v>
      </c>
      <c r="X38" s="1633"/>
      <c r="Y38" s="3627"/>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6"/>
      <c r="M39" s="2962"/>
      <c r="N39" s="2962"/>
      <c r="O39" s="3010"/>
      <c r="P39" s="3627"/>
      <c r="Q39" s="1583" t="str">
        <f t="shared" ref="Q39:Q45" si="14">B39</f>
        <v>宗地形状</v>
      </c>
      <c r="R39" s="1693" t="s">
        <v>25</v>
      </c>
      <c r="S39" s="1694">
        <f t="shared" si="10"/>
        <v>100</v>
      </c>
      <c r="T39" s="1693" t="s">
        <v>25</v>
      </c>
      <c r="U39" s="1694">
        <f t="shared" si="11"/>
        <v>100</v>
      </c>
      <c r="V39" s="1693" t="s">
        <v>25</v>
      </c>
      <c r="W39" s="1694">
        <f t="shared" si="12"/>
        <v>100</v>
      </c>
      <c r="X39" s="1633"/>
      <c r="Y39" s="3627"/>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6"/>
      <c r="M40" s="2962"/>
      <c r="N40" s="2962"/>
      <c r="O40" s="3010"/>
      <c r="P40" s="3627"/>
      <c r="Q40" s="1583" t="str">
        <f t="shared" si="14"/>
        <v>临街宽度及深度</v>
      </c>
      <c r="R40" s="1693" t="s">
        <v>25</v>
      </c>
      <c r="S40" s="1694">
        <f t="shared" si="10"/>
        <v>100</v>
      </c>
      <c r="T40" s="1693" t="s">
        <v>25</v>
      </c>
      <c r="U40" s="1694">
        <f t="shared" si="11"/>
        <v>100</v>
      </c>
      <c r="V40" s="1693" t="s">
        <v>25</v>
      </c>
      <c r="W40" s="1694">
        <f t="shared" si="12"/>
        <v>100</v>
      </c>
      <c r="X40" s="1633"/>
      <c r="Y40" s="3627"/>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1"/>
      <c r="M41" s="2934"/>
      <c r="N41" s="2934"/>
      <c r="O41" s="3008"/>
      <c r="P41" s="3627"/>
      <c r="Q41" s="1583" t="str">
        <f t="shared" si="14"/>
        <v>宗地开发程度</v>
      </c>
      <c r="R41" s="1648" t="s">
        <v>25</v>
      </c>
      <c r="S41" s="1649">
        <f t="shared" si="10"/>
        <v>100</v>
      </c>
      <c r="T41" s="1648" t="s">
        <v>25</v>
      </c>
      <c r="U41" s="1649">
        <f t="shared" si="11"/>
        <v>100</v>
      </c>
      <c r="V41" s="1648" t="s">
        <v>25</v>
      </c>
      <c r="W41" s="1649">
        <f t="shared" si="12"/>
        <v>100</v>
      </c>
      <c r="X41" s="1650"/>
      <c r="Y41" s="3627"/>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6"/>
      <c r="M42" s="2962"/>
      <c r="N42" s="2962"/>
      <c r="O42" s="3010"/>
      <c r="P42" s="3627" t="s">
        <v>2217</v>
      </c>
      <c r="Q42" s="1583" t="str">
        <f t="shared" si="14"/>
        <v>工程地质条件</v>
      </c>
      <c r="R42" s="1693" t="s">
        <v>25</v>
      </c>
      <c r="S42" s="1694">
        <f t="shared" si="10"/>
        <v>100</v>
      </c>
      <c r="T42" s="1693" t="s">
        <v>25</v>
      </c>
      <c r="U42" s="1694">
        <f t="shared" si="11"/>
        <v>100</v>
      </c>
      <c r="V42" s="1693" t="s">
        <v>25</v>
      </c>
      <c r="W42" s="1694">
        <f t="shared" si="12"/>
        <v>100</v>
      </c>
      <c r="X42" s="1633"/>
      <c r="Y42" s="3627"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6"/>
      <c r="M43" s="2962"/>
      <c r="N43" s="2962"/>
      <c r="O43" s="3010"/>
      <c r="P43" s="3627"/>
      <c r="Q43" s="1583">
        <f t="shared" si="14"/>
        <v>111</v>
      </c>
      <c r="R43" s="1693" t="s">
        <v>25</v>
      </c>
      <c r="S43" s="1694">
        <f t="shared" si="10"/>
        <v>100</v>
      </c>
      <c r="T43" s="1693" t="s">
        <v>25</v>
      </c>
      <c r="U43" s="1694">
        <f t="shared" si="11"/>
        <v>100</v>
      </c>
      <c r="V43" s="1693" t="s">
        <v>25</v>
      </c>
      <c r="W43" s="1694">
        <f t="shared" si="12"/>
        <v>100</v>
      </c>
      <c r="X43" s="1633"/>
      <c r="Y43" s="3627"/>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6"/>
      <c r="M44" s="2962"/>
      <c r="N44" s="2962"/>
      <c r="O44" s="3010"/>
      <c r="P44" s="3627"/>
      <c r="Q44" s="1583">
        <f t="shared" si="14"/>
        <v>111</v>
      </c>
      <c r="R44" s="1693" t="s">
        <v>25</v>
      </c>
      <c r="S44" s="1694">
        <f t="shared" si="10"/>
        <v>100</v>
      </c>
      <c r="T44" s="1693" t="s">
        <v>25</v>
      </c>
      <c r="U44" s="1694">
        <f t="shared" si="11"/>
        <v>100</v>
      </c>
      <c r="V44" s="1693" t="s">
        <v>25</v>
      </c>
      <c r="W44" s="1694">
        <f t="shared" si="12"/>
        <v>100</v>
      </c>
      <c r="X44" s="1633"/>
      <c r="Y44" s="3627"/>
      <c r="Z44" s="1695">
        <f t="shared" si="13"/>
        <v>111</v>
      </c>
      <c r="AA44" s="1696">
        <f t="shared" si="3"/>
        <v>1</v>
      </c>
      <c r="AB44" s="1696">
        <f t="shared" si="4"/>
        <v>1</v>
      </c>
      <c r="AC44" s="1696">
        <f t="shared" si="5"/>
        <v>1</v>
      </c>
    </row>
    <row r="45" spans="1:29" s="1739" customFormat="1" ht="15.75" thickBot="1">
      <c r="A45" s="1732"/>
      <c r="B45" s="1971">
        <v>111</v>
      </c>
      <c r="C45" s="1972"/>
      <c r="D45" s="3112">
        <v>100</v>
      </c>
      <c r="E45" s="1939"/>
      <c r="F45" s="1683">
        <f>SUMIF(131:131,E45,132:132)-SUMIF(131:131,C45,132:132)+100</f>
        <v>100</v>
      </c>
      <c r="G45" s="1939"/>
      <c r="H45" s="1683">
        <f>SUMIF(131:131,G45,132:132)-SUMIF(131:131,C45,132:132)+100</f>
        <v>100</v>
      </c>
      <c r="I45" s="1939"/>
      <c r="J45" s="1683">
        <f>SUMIF(131:131,I45,132:132)-SUMIF(131:131,C45,132:132)+100</f>
        <v>100</v>
      </c>
      <c r="K45" s="1973"/>
      <c r="L45" s="2965"/>
      <c r="M45" s="2027"/>
      <c r="N45" s="2027"/>
      <c r="O45" s="3011"/>
      <c r="P45" s="3627"/>
      <c r="Q45" s="1583">
        <f t="shared" si="14"/>
        <v>111</v>
      </c>
      <c r="R45" s="1735" t="s">
        <v>25</v>
      </c>
      <c r="S45" s="1736">
        <f t="shared" si="10"/>
        <v>100</v>
      </c>
      <c r="T45" s="1735" t="s">
        <v>25</v>
      </c>
      <c r="U45" s="1736">
        <f t="shared" si="11"/>
        <v>100</v>
      </c>
      <c r="V45" s="1735" t="s">
        <v>25</v>
      </c>
      <c r="W45" s="1736">
        <f t="shared" si="12"/>
        <v>100</v>
      </c>
      <c r="X45" s="1737"/>
      <c r="Y45" s="3627"/>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7"/>
      <c r="N46" s="2962"/>
      <c r="P46" s="3619" t="str">
        <f>A46</f>
        <v>成交单价</v>
      </c>
      <c r="Q46" s="3619"/>
      <c r="R46" s="3655">
        <f>E46</f>
        <v>0</v>
      </c>
      <c r="S46" s="3655"/>
      <c r="T46" s="3655">
        <f>G46</f>
        <v>0</v>
      </c>
      <c r="U46" s="3655"/>
      <c r="V46" s="3655">
        <f>I46</f>
        <v>0</v>
      </c>
      <c r="W46" s="3655"/>
      <c r="X46" s="1759"/>
      <c r="Y46" s="1760"/>
      <c r="Z46" s="1759"/>
      <c r="AA46" s="1759"/>
      <c r="AB46" s="1759"/>
      <c r="AC46" s="1759"/>
    </row>
    <row r="47" spans="1:29" ht="15.75" thickBot="1">
      <c r="A47" s="1761" t="s">
        <v>2312</v>
      </c>
      <c r="B47" s="1982"/>
      <c r="C47" s="1983" t="e">
        <f>R48</f>
        <v>#DIV/0!</v>
      </c>
      <c r="D47" s="1764" t="s">
        <v>2681</v>
      </c>
      <c r="E47" s="1983" t="e">
        <f>R47</f>
        <v>#DIV/0!</v>
      </c>
      <c r="F47" s="1766"/>
      <c r="G47" s="1984" t="e">
        <f>T47</f>
        <v>#DIV/0!</v>
      </c>
      <c r="H47" s="1766"/>
      <c r="I47" s="1983" t="e">
        <f>V47</f>
        <v>#DIV/0!</v>
      </c>
      <c r="J47" s="1766"/>
      <c r="K47" s="2477">
        <f>F47+H47+J47</f>
        <v>0</v>
      </c>
      <c r="L47" s="2967"/>
      <c r="P47" s="3619" t="str">
        <f>A47</f>
        <v>比较价值（元/平方米）</v>
      </c>
      <c r="Q47" s="3619"/>
      <c r="R47" s="3732" t="e">
        <f>ROUND(PRODUCT(R46,AA7:AA45),0)</f>
        <v>#DIV/0!</v>
      </c>
      <c r="S47" s="3732"/>
      <c r="T47" s="3732" t="e">
        <f>ROUND(PRODUCT(T46,AB7:AB45),0)</f>
        <v>#DIV/0!</v>
      </c>
      <c r="U47" s="3732"/>
      <c r="V47" s="3732" t="e">
        <f>ROUND(PRODUCT(V46,AC7:AC45),0)</f>
        <v>#DIV/0!</v>
      </c>
      <c r="W47" s="3732"/>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7"/>
      <c r="P48" s="3621" t="str">
        <f>A48</f>
        <v>估价对象XX用房的比较价值（楼面单价，元/平方米）</v>
      </c>
      <c r="Q48" s="3622"/>
      <c r="R48" s="3733" t="e">
        <f>ROUND(IF(D47="简单平均",AVERAGE(R47:W47),R47*F47+T47*H47+V47*J47),0)</f>
        <v>#DIV/0!</v>
      </c>
      <c r="S48" s="3733"/>
      <c r="T48" s="3733"/>
      <c r="U48" s="3733"/>
      <c r="V48" s="3733"/>
      <c r="W48" s="3733"/>
      <c r="X48" s="1759"/>
      <c r="Y48" s="1759"/>
      <c r="Z48" s="1759"/>
      <c r="AA48" s="1759"/>
      <c r="AB48" s="1759"/>
      <c r="AC48" s="1759"/>
    </row>
    <row r="49" spans="1:14">
      <c r="G49" s="2971"/>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4"/>
      <c r="L53" s="2968"/>
    </row>
    <row r="54" spans="1:14" s="1781" customFormat="1" ht="15" thickBot="1">
      <c r="B54" s="2972"/>
      <c r="C54" s="2973"/>
      <c r="K54" s="2974"/>
      <c r="L54" s="2968"/>
    </row>
    <row r="55" spans="1:14" ht="27">
      <c r="A55" s="564" t="s">
        <v>2397</v>
      </c>
      <c r="B55" s="1987" t="s">
        <v>2398</v>
      </c>
      <c r="C55" s="1988" t="s">
        <v>2399</v>
      </c>
      <c r="D55" s="1989" t="s">
        <v>2400</v>
      </c>
      <c r="E55" s="1990" t="s">
        <v>2401</v>
      </c>
      <c r="F55" s="1991" t="s">
        <v>2402</v>
      </c>
      <c r="G55" s="1886" t="s">
        <v>2403</v>
      </c>
      <c r="H55" s="1886">
        <f>项目基本情况!G8</f>
        <v>0</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4"/>
      <c r="L56" s="2968"/>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4"/>
      <c r="L58" s="2968"/>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4"/>
      <c r="L60" s="2968"/>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4"/>
      <c r="L62" s="2968"/>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4"/>
      <c r="L64" s="2968"/>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2"/>
      <c r="J66" s="3012"/>
      <c r="K66" s="3012"/>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2022-6-1</v>
      </c>
      <c r="D68" s="2008">
        <f>EDATE(C68,-3)</f>
        <v>44621</v>
      </c>
      <c r="E68" s="2008">
        <f t="shared" ref="E68:O68" si="18">EDATE(D68,-3)</f>
        <v>44531</v>
      </c>
      <c r="F68" s="2008">
        <f t="shared" si="18"/>
        <v>44440</v>
      </c>
      <c r="G68" s="2008">
        <f t="shared" si="18"/>
        <v>44348</v>
      </c>
      <c r="H68" s="2008">
        <f t="shared" si="18"/>
        <v>44256</v>
      </c>
      <c r="I68" s="2008">
        <f t="shared" si="18"/>
        <v>44166</v>
      </c>
      <c r="J68" s="2008">
        <f t="shared" si="18"/>
        <v>44075</v>
      </c>
      <c r="K68" s="2008">
        <f t="shared" si="18"/>
        <v>43983</v>
      </c>
      <c r="L68" s="2008">
        <f t="shared" si="18"/>
        <v>43891</v>
      </c>
      <c r="M68" s="2008">
        <f t="shared" si="18"/>
        <v>43800</v>
      </c>
      <c r="N68" s="2008">
        <f t="shared" si="18"/>
        <v>43709</v>
      </c>
      <c r="O68" s="2008">
        <f t="shared" si="18"/>
        <v>43617</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2417</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79"/>
      <c r="O73" s="2979"/>
      <c r="P73" s="2024"/>
      <c r="Q73" s="1789"/>
    </row>
    <row r="74" spans="1:17" s="1652" customFormat="1" ht="15.75" thickBot="1">
      <c r="A74" s="1807"/>
      <c r="B74" s="1797"/>
      <c r="C74" s="1798">
        <v>100</v>
      </c>
      <c r="D74" s="1799"/>
      <c r="E74" s="1799"/>
      <c r="F74" s="1799"/>
      <c r="G74" s="1799"/>
      <c r="H74" s="1799"/>
      <c r="I74" s="1799"/>
      <c r="J74" s="1799"/>
      <c r="K74" s="1799"/>
      <c r="L74" s="1799"/>
      <c r="M74" s="1813"/>
      <c r="N74" s="2979"/>
      <c r="O74" s="2979"/>
      <c r="P74" s="1789"/>
      <c r="Q74" s="1789"/>
    </row>
    <row r="75" spans="1:17">
      <c r="A75" s="1814" t="s">
        <v>2240</v>
      </c>
      <c r="B75" s="1815" t="s">
        <v>2205</v>
      </c>
      <c r="C75" s="1817"/>
      <c r="D75" s="1817"/>
      <c r="E75" s="1817"/>
      <c r="F75" s="1817"/>
      <c r="G75" s="1817"/>
      <c r="H75" s="1817"/>
      <c r="I75" s="1817"/>
      <c r="J75" s="1817"/>
      <c r="K75" s="417"/>
      <c r="L75" s="417"/>
      <c r="M75" s="1818"/>
      <c r="N75" s="2980"/>
      <c r="O75" s="2980"/>
      <c r="P75" s="2025"/>
      <c r="Q75" s="1789"/>
    </row>
    <row r="76" spans="1:17" ht="15.75" thickBot="1">
      <c r="A76" s="1821"/>
      <c r="B76" s="1822"/>
      <c r="C76" s="1823"/>
      <c r="D76" s="1823"/>
      <c r="E76" s="1823"/>
      <c r="F76" s="1823"/>
      <c r="G76" s="1823"/>
      <c r="H76" s="1823"/>
      <c r="I76" s="1823"/>
      <c r="J76" s="1823"/>
      <c r="K76" s="1823"/>
      <c r="L76" s="1823"/>
      <c r="M76" s="1824"/>
      <c r="N76" s="2981"/>
      <c r="O76" s="2981"/>
      <c r="P76" s="2025"/>
      <c r="Q76" s="1789"/>
    </row>
    <row r="77" spans="1:17" ht="27.75" thickTop="1">
      <c r="A77" s="1821"/>
      <c r="B77" s="1826" t="s">
        <v>2208</v>
      </c>
      <c r="C77" s="1827"/>
      <c r="D77" s="1827"/>
      <c r="E77" s="1827"/>
      <c r="F77" s="1827"/>
      <c r="G77" s="1827"/>
      <c r="H77" s="1827"/>
      <c r="I77" s="1827"/>
      <c r="J77" s="1827"/>
      <c r="K77" s="428"/>
      <c r="L77" s="428"/>
      <c r="M77" s="1828"/>
      <c r="N77" s="2980"/>
      <c r="O77" s="2980"/>
      <c r="P77" s="2025"/>
      <c r="Q77" s="1789"/>
    </row>
    <row r="78" spans="1:17" ht="15.75" thickBot="1">
      <c r="A78" s="1821"/>
      <c r="B78" s="1829"/>
      <c r="C78" s="1830"/>
      <c r="D78" s="1830"/>
      <c r="E78" s="1830"/>
      <c r="F78" s="1830"/>
      <c r="G78" s="1830"/>
      <c r="H78" s="1830"/>
      <c r="I78" s="1830"/>
      <c r="J78" s="1830"/>
      <c r="K78" s="1830"/>
      <c r="L78" s="1830"/>
      <c r="M78" s="1831"/>
      <c r="N78" s="2981"/>
      <c r="O78" s="2981"/>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1"/>
      <c r="O79" s="2981"/>
      <c r="P79" s="2025"/>
      <c r="Q79" s="1789"/>
    </row>
    <row r="80" spans="1:17" ht="15">
      <c r="A80" s="1821"/>
      <c r="B80" s="1834"/>
      <c r="C80" s="1835"/>
      <c r="D80" s="1835"/>
      <c r="E80" s="1835"/>
      <c r="F80" s="1835"/>
      <c r="G80" s="1835"/>
      <c r="H80" s="1835"/>
      <c r="I80" s="1835"/>
      <c r="J80" s="1835"/>
      <c r="K80" s="438"/>
      <c r="L80" s="438"/>
      <c r="M80" s="1836"/>
      <c r="N80" s="2980"/>
      <c r="O80" s="2980"/>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1"/>
      <c r="O81" s="2981"/>
      <c r="P81" s="2025"/>
      <c r="Q81" s="1789"/>
    </row>
    <row r="82" spans="1:17" s="1739" customFormat="1" ht="15.75" thickTop="1">
      <c r="A82" s="1837"/>
      <c r="B82" s="1826" t="str">
        <f>B12</f>
        <v>配建</v>
      </c>
      <c r="C82" s="468"/>
      <c r="D82" s="468"/>
      <c r="E82" s="468"/>
      <c r="F82" s="468"/>
      <c r="G82" s="468"/>
      <c r="H82" s="443"/>
      <c r="I82" s="443"/>
      <c r="J82" s="443"/>
      <c r="K82" s="443"/>
      <c r="L82" s="443"/>
      <c r="M82" s="1838"/>
      <c r="N82" s="2982"/>
      <c r="O82" s="2982"/>
      <c r="P82" s="2026"/>
      <c r="Q82" s="1841"/>
    </row>
    <row r="83" spans="1:17" s="1739" customFormat="1" ht="15.75" thickBot="1">
      <c r="A83" s="1837"/>
      <c r="B83" s="1829"/>
      <c r="C83" s="1842"/>
      <c r="D83" s="1823"/>
      <c r="E83" s="1823"/>
      <c r="F83" s="1823"/>
      <c r="G83" s="1823"/>
      <c r="H83" s="1823"/>
      <c r="I83" s="1823"/>
      <c r="J83" s="1823"/>
      <c r="K83" s="1823"/>
      <c r="L83" s="1823"/>
      <c r="M83" s="1824"/>
      <c r="N83" s="2981"/>
      <c r="O83" s="2981"/>
      <c r="P83" s="2026"/>
      <c r="Q83" s="1841"/>
    </row>
    <row r="84" spans="1:17" s="1739" customFormat="1" ht="15.75" thickTop="1">
      <c r="A84" s="1837"/>
      <c r="B84" s="1826">
        <f>B13</f>
        <v>111</v>
      </c>
      <c r="C84" s="468"/>
      <c r="D84" s="468"/>
      <c r="E84" s="468"/>
      <c r="F84" s="468"/>
      <c r="G84" s="468"/>
      <c r="H84" s="443"/>
      <c r="I84" s="443"/>
      <c r="J84" s="443"/>
      <c r="K84" s="443"/>
      <c r="L84" s="443"/>
      <c r="M84" s="1838"/>
      <c r="N84" s="2982"/>
      <c r="O84" s="2982"/>
      <c r="P84" s="2027"/>
      <c r="Q84" s="1844"/>
    </row>
    <row r="85" spans="1:17" s="1739" customFormat="1" ht="15.75" thickBot="1">
      <c r="A85" s="1837"/>
      <c r="B85" s="1829"/>
      <c r="C85" s="1842"/>
      <c r="D85" s="1842"/>
      <c r="E85" s="1842"/>
      <c r="F85" s="1842"/>
      <c r="G85" s="1842"/>
      <c r="H85" s="1845"/>
      <c r="I85" s="1845"/>
      <c r="J85" s="1845"/>
      <c r="K85" s="1845"/>
      <c r="L85" s="1845"/>
      <c r="M85" s="1846"/>
      <c r="N85" s="2982"/>
      <c r="O85" s="2982"/>
      <c r="P85" s="2026"/>
      <c r="Q85" s="1841"/>
    </row>
    <row r="86" spans="1:17" s="1739" customFormat="1" ht="15.75" thickTop="1">
      <c r="A86" s="1837"/>
      <c r="B86" s="1832">
        <f>B14</f>
        <v>111</v>
      </c>
      <c r="C86" s="409"/>
      <c r="D86" s="409"/>
      <c r="E86" s="409"/>
      <c r="F86" s="409"/>
      <c r="G86" s="409"/>
      <c r="H86" s="453"/>
      <c r="I86" s="453"/>
      <c r="J86" s="453"/>
      <c r="K86" s="453"/>
      <c r="L86" s="453"/>
      <c r="M86" s="1847"/>
      <c r="N86" s="2982"/>
      <c r="O86" s="2982"/>
      <c r="P86" s="2026"/>
      <c r="Q86" s="1841"/>
    </row>
    <row r="87" spans="1:17" s="1739" customFormat="1" ht="15.75" thickBot="1">
      <c r="A87" s="1848"/>
      <c r="B87" s="1849"/>
      <c r="C87" s="1850"/>
      <c r="D87" s="1850"/>
      <c r="E87" s="1850"/>
      <c r="F87" s="1850"/>
      <c r="G87" s="1850"/>
      <c r="H87" s="1851"/>
      <c r="I87" s="1851"/>
      <c r="J87" s="1851"/>
      <c r="K87" s="1851"/>
      <c r="L87" s="1851"/>
      <c r="M87" s="1852"/>
      <c r="N87" s="2982"/>
      <c r="O87" s="2982"/>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0"/>
      <c r="O88" s="2980"/>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1"/>
      <c r="O89" s="2981"/>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0"/>
      <c r="O90" s="2980"/>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1"/>
      <c r="O91" s="2981"/>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0"/>
      <c r="O92" s="2980"/>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1"/>
      <c r="O93" s="2981"/>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0"/>
      <c r="O94" s="2980"/>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1"/>
      <c r="O95" s="2981"/>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79"/>
      <c r="O96" s="2979"/>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1"/>
      <c r="O97" s="2981"/>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79"/>
      <c r="O98" s="2979"/>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1"/>
      <c r="O99" s="2981"/>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1"/>
      <c r="O100" s="2981"/>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1"/>
      <c r="O101" s="2981"/>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2"/>
      <c r="O102" s="2982"/>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2"/>
      <c r="O103" s="2982"/>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0"/>
      <c r="O104" s="2980"/>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1"/>
      <c r="O105" s="2981"/>
      <c r="P105" s="2025"/>
      <c r="Q105" s="1789"/>
    </row>
    <row r="106" spans="1:17" ht="27.75" thickTop="1">
      <c r="A106" s="1821"/>
      <c r="B106" s="1826" t="s">
        <v>2329</v>
      </c>
      <c r="C106" s="468"/>
      <c r="D106" s="468"/>
      <c r="E106" s="468"/>
      <c r="F106" s="468"/>
      <c r="G106" s="468"/>
      <c r="H106" s="1545"/>
      <c r="I106" s="1545"/>
      <c r="J106" s="1545"/>
      <c r="K106" s="473"/>
      <c r="L106" s="473"/>
      <c r="M106" s="1861"/>
      <c r="N106" s="2980"/>
      <c r="O106" s="2980"/>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1"/>
      <c r="O107" s="2981"/>
      <c r="P107" s="2025"/>
      <c r="Q107" s="1789"/>
    </row>
    <row r="108" spans="1:17" ht="15.75" thickTop="1">
      <c r="A108" s="1821"/>
      <c r="B108" s="1826" t="s">
        <v>2390</v>
      </c>
      <c r="C108" s="1545"/>
      <c r="D108" s="1545"/>
      <c r="E108" s="1545"/>
      <c r="F108" s="1545"/>
      <c r="G108" s="1545"/>
      <c r="H108" s="1545"/>
      <c r="I108" s="1545"/>
      <c r="J108" s="1545"/>
      <c r="K108" s="473"/>
      <c r="L108" s="473"/>
      <c r="M108" s="1861"/>
      <c r="N108" s="2980"/>
      <c r="O108" s="2980"/>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1"/>
      <c r="O109" s="2981"/>
      <c r="P109" s="2025"/>
      <c r="Q109" s="1789"/>
    </row>
    <row r="110" spans="1:17" ht="15.75" thickTop="1">
      <c r="A110" s="1821"/>
      <c r="B110" s="1832">
        <f>B35</f>
        <v>111</v>
      </c>
      <c r="C110" s="468"/>
      <c r="D110" s="468"/>
      <c r="E110" s="468"/>
      <c r="F110" s="468"/>
      <c r="G110" s="1862"/>
      <c r="H110" s="1862"/>
      <c r="I110" s="1862"/>
      <c r="J110" s="1862"/>
      <c r="K110" s="477"/>
      <c r="L110" s="477"/>
      <c r="M110" s="1863"/>
      <c r="N110" s="2980"/>
      <c r="O110" s="2980"/>
      <c r="P110" s="2025"/>
      <c r="Q110" s="1789"/>
    </row>
    <row r="111" spans="1:17" ht="15.75" thickBot="1">
      <c r="A111" s="1821"/>
      <c r="B111" s="1849"/>
      <c r="C111" s="1842"/>
      <c r="D111" s="1842"/>
      <c r="E111" s="1842"/>
      <c r="F111" s="1842"/>
      <c r="G111" s="1865"/>
      <c r="H111" s="1865"/>
      <c r="I111" s="1865"/>
      <c r="J111" s="1865"/>
      <c r="K111" s="1865"/>
      <c r="L111" s="1865"/>
      <c r="M111" s="1866"/>
      <c r="N111" s="2981"/>
      <c r="O111" s="2981"/>
      <c r="P111" s="2025"/>
      <c r="Q111" s="1789"/>
    </row>
    <row r="112" spans="1:17" ht="15" thickTop="1">
      <c r="A112" s="1962"/>
      <c r="B112" s="1826">
        <f>B36</f>
        <v>111</v>
      </c>
      <c r="C112" s="409"/>
      <c r="D112" s="409"/>
      <c r="E112" s="409"/>
      <c r="F112" s="409"/>
      <c r="G112" s="1545"/>
      <c r="H112" s="1545"/>
      <c r="I112" s="1545"/>
      <c r="J112" s="1545"/>
      <c r="K112" s="473"/>
      <c r="L112" s="473"/>
      <c r="M112" s="1861"/>
      <c r="N112" s="2980"/>
      <c r="O112" s="2980"/>
      <c r="P112" s="2025"/>
      <c r="Q112" s="1789"/>
    </row>
    <row r="113" spans="1:17" ht="15.75" thickBot="1">
      <c r="A113" s="1821"/>
      <c r="B113" s="1829"/>
      <c r="C113" s="1850"/>
      <c r="D113" s="1850"/>
      <c r="E113" s="1850"/>
      <c r="F113" s="1850"/>
      <c r="G113" s="1823"/>
      <c r="H113" s="1823"/>
      <c r="I113" s="1823"/>
      <c r="J113" s="1823"/>
      <c r="K113" s="1823"/>
      <c r="L113" s="1823"/>
      <c r="M113" s="1824"/>
      <c r="N113" s="2981"/>
      <c r="O113" s="2981"/>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2"/>
      <c r="O114" s="2982"/>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1"/>
      <c r="O115" s="2981"/>
      <c r="P115" s="2026"/>
      <c r="Q115" s="1841"/>
    </row>
    <row r="116" spans="1:17">
      <c r="A116" s="1814" t="s">
        <v>2215</v>
      </c>
      <c r="B116" s="1815" t="s">
        <v>2425</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0"/>
      <c r="O116" s="2980"/>
      <c r="P116" s="2025"/>
      <c r="Q116" s="1789"/>
    </row>
    <row r="117" spans="1:17" ht="15">
      <c r="A117" s="1821"/>
      <c r="B117" s="1832"/>
      <c r="C117" s="1869"/>
      <c r="D117" s="1869"/>
      <c r="E117" s="1869"/>
      <c r="F117" s="1869"/>
      <c r="G117" s="1869"/>
      <c r="H117" s="1869"/>
      <c r="I117" s="1869"/>
      <c r="J117" s="485"/>
      <c r="K117" s="485"/>
      <c r="L117" s="485"/>
      <c r="M117" s="1870"/>
      <c r="N117" s="2980"/>
      <c r="O117" s="2980"/>
      <c r="P117" s="2025"/>
      <c r="Q117" s="1789"/>
    </row>
    <row r="118" spans="1:17" ht="15.75" thickBot="1">
      <c r="A118" s="1821"/>
      <c r="B118" s="1829"/>
      <c r="C118" s="1850"/>
      <c r="D118" s="1865"/>
      <c r="E118" s="1865"/>
      <c r="F118" s="1865"/>
      <c r="G118" s="1865"/>
      <c r="H118" s="1865"/>
      <c r="I118" s="1865"/>
      <c r="J118" s="1865"/>
      <c r="K118" s="1865"/>
      <c r="L118" s="1865"/>
      <c r="M118" s="1866"/>
      <c r="N118" s="2981"/>
      <c r="O118" s="2981"/>
      <c r="P118" s="2025"/>
      <c r="Q118" s="1789"/>
    </row>
    <row r="119" spans="1:17" ht="15" thickTop="1">
      <c r="A119" s="1871"/>
      <c r="B119" s="1826" t="s">
        <v>2426</v>
      </c>
      <c r="C119" s="1545"/>
      <c r="D119" s="1545"/>
      <c r="E119" s="1545"/>
      <c r="F119" s="1545"/>
      <c r="G119" s="1545"/>
      <c r="H119" s="1545"/>
      <c r="I119" s="1545"/>
      <c r="J119" s="1545"/>
      <c r="K119" s="473"/>
      <c r="L119" s="473"/>
      <c r="M119" s="1861"/>
      <c r="N119" s="2980"/>
      <c r="O119" s="2980"/>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1"/>
      <c r="O120" s="2981"/>
      <c r="P120" s="2025"/>
      <c r="Q120" s="1789"/>
    </row>
    <row r="121" spans="1:17" ht="15" thickTop="1">
      <c r="A121" s="1871"/>
      <c r="B121" s="1826" t="s">
        <v>2427</v>
      </c>
      <c r="C121" s="468"/>
      <c r="D121" s="468"/>
      <c r="E121" s="468"/>
      <c r="F121" s="1545"/>
      <c r="G121" s="1545"/>
      <c r="H121" s="1545"/>
      <c r="I121" s="1545"/>
      <c r="J121" s="1545"/>
      <c r="K121" s="473"/>
      <c r="L121" s="473"/>
      <c r="M121" s="1861"/>
      <c r="N121" s="2980"/>
      <c r="O121" s="2980"/>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1"/>
      <c r="O122" s="2981"/>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2"/>
      <c r="O123" s="2982"/>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2"/>
      <c r="O124" s="2982"/>
      <c r="P124" s="2026"/>
      <c r="Q124" s="1841"/>
    </row>
    <row r="125" spans="1:17" ht="15" thickTop="1">
      <c r="A125" s="1871"/>
      <c r="B125" s="1826" t="s">
        <v>2429</v>
      </c>
      <c r="C125" s="468"/>
      <c r="D125" s="468"/>
      <c r="E125" s="1545"/>
      <c r="F125" s="1545"/>
      <c r="G125" s="1545"/>
      <c r="H125" s="1545"/>
      <c r="I125" s="1545"/>
      <c r="J125" s="1545"/>
      <c r="K125" s="473"/>
      <c r="L125" s="473"/>
      <c r="M125" s="1861"/>
      <c r="N125" s="2980"/>
      <c r="O125" s="2980"/>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1"/>
      <c r="O126" s="2981"/>
      <c r="P126" s="2025"/>
      <c r="Q126" s="1789"/>
    </row>
    <row r="127" spans="1:17" ht="15" thickTop="1">
      <c r="A127" s="1871"/>
      <c r="B127" s="1826">
        <f>B43</f>
        <v>111</v>
      </c>
      <c r="C127" s="468"/>
      <c r="D127" s="468"/>
      <c r="E127" s="468"/>
      <c r="F127" s="468"/>
      <c r="G127" s="468"/>
      <c r="H127" s="1545"/>
      <c r="I127" s="1545"/>
      <c r="J127" s="1545"/>
      <c r="K127" s="473"/>
      <c r="L127" s="473"/>
      <c r="M127" s="1861"/>
      <c r="N127" s="2980"/>
      <c r="O127" s="2980"/>
      <c r="P127" s="2025"/>
      <c r="Q127" s="1789"/>
    </row>
    <row r="128" spans="1:17" ht="15.75" thickBot="1">
      <c r="A128" s="1821"/>
      <c r="B128" s="1829"/>
      <c r="C128" s="1842"/>
      <c r="D128" s="1842"/>
      <c r="E128" s="1842"/>
      <c r="F128" s="1842"/>
      <c r="G128" s="1823"/>
      <c r="H128" s="1823"/>
      <c r="I128" s="1823"/>
      <c r="J128" s="1823"/>
      <c r="K128" s="1823"/>
      <c r="L128" s="1823"/>
      <c r="M128" s="1824"/>
      <c r="N128" s="2981"/>
      <c r="O128" s="2981"/>
      <c r="P128" s="2025"/>
      <c r="Q128" s="1789"/>
    </row>
    <row r="129" spans="1:17" ht="15" thickTop="1">
      <c r="A129" s="1871"/>
      <c r="B129" s="1826">
        <f>B44</f>
        <v>111</v>
      </c>
      <c r="C129" s="409"/>
      <c r="D129" s="409"/>
      <c r="E129" s="409"/>
      <c r="F129" s="409"/>
      <c r="G129" s="1545"/>
      <c r="H129" s="1545"/>
      <c r="I129" s="1545"/>
      <c r="J129" s="1545"/>
      <c r="K129" s="473"/>
      <c r="L129" s="473"/>
      <c r="M129" s="1861"/>
      <c r="N129" s="2980"/>
      <c r="O129" s="2980"/>
      <c r="P129" s="2025"/>
      <c r="Q129" s="1789"/>
    </row>
    <row r="130" spans="1:17" ht="15.75" thickBot="1">
      <c r="A130" s="1821"/>
      <c r="B130" s="1829"/>
      <c r="C130" s="1850"/>
      <c r="D130" s="1850"/>
      <c r="E130" s="1850"/>
      <c r="F130" s="1850"/>
      <c r="G130" s="1823"/>
      <c r="H130" s="1823"/>
      <c r="I130" s="1823"/>
      <c r="J130" s="1823"/>
      <c r="K130" s="1823"/>
      <c r="L130" s="1823"/>
      <c r="M130" s="1824"/>
      <c r="N130" s="2981"/>
      <c r="O130" s="2981"/>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2"/>
      <c r="O131" s="2982"/>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2"/>
      <c r="O132" s="2982"/>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估价对象为北京市房地产，为所有。根据《》[]，估价对象建筑面积为189.52平方米。根据《》[]，估价对象（分摊）出让国有建设用地使用权面积为平方米。估价对象用途为。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2022年6月15日（评估专业人员实地查勘之日）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本次估价的“房地产价值”是指在正常市场情况下，在价值时点2022年6月15日，估价对象规划用途为，假定未设立法定优先受偿款下的房地产市场价值。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4"/>
      <c r="E1" s="614"/>
      <c r="F1" s="613" t="s">
        <v>2184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2384</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2385</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3" t="s">
        <v>2187</v>
      </c>
      <c r="D4" s="3714"/>
      <c r="E4" s="3715" t="s">
        <v>2188</v>
      </c>
      <c r="F4" s="3716"/>
      <c r="G4" s="3713" t="s">
        <v>2189</v>
      </c>
      <c r="H4" s="3714"/>
      <c r="I4" s="3713" t="s">
        <v>2190</v>
      </c>
      <c r="J4" s="3714"/>
      <c r="K4" s="496" t="s">
        <v>2191</v>
      </c>
      <c r="L4" s="2989"/>
      <c r="M4" s="2990"/>
      <c r="N4" s="2990"/>
      <c r="O4" s="2990"/>
      <c r="P4" s="3717" t="s">
        <v>2192</v>
      </c>
      <c r="Q4" s="3718"/>
      <c r="R4" s="3700" t="s">
        <v>2188</v>
      </c>
      <c r="S4" s="3701"/>
      <c r="T4" s="3700" t="s">
        <v>2189</v>
      </c>
      <c r="U4" s="3701"/>
      <c r="V4" s="3723" t="s">
        <v>2190</v>
      </c>
      <c r="W4" s="3723"/>
      <c r="X4" s="1305"/>
      <c r="Y4" s="3700" t="s">
        <v>2192</v>
      </c>
      <c r="Z4" s="3701"/>
      <c r="AA4" s="3710" t="s">
        <v>2188</v>
      </c>
      <c r="AB4" s="3711" t="s">
        <v>2189</v>
      </c>
      <c r="AC4" s="3710" t="s">
        <v>2190</v>
      </c>
    </row>
    <row r="5" spans="1:29" ht="15">
      <c r="A5" s="297"/>
      <c r="B5" s="298"/>
      <c r="C5" s="3726" t="s">
        <v>2193</v>
      </c>
      <c r="D5" s="3727"/>
      <c r="E5" s="3724" t="s">
        <v>2194</v>
      </c>
      <c r="F5" s="3725"/>
      <c r="G5" s="3726" t="s">
        <v>2195</v>
      </c>
      <c r="H5" s="3727"/>
      <c r="I5" s="3726" t="s">
        <v>2196</v>
      </c>
      <c r="J5" s="3727"/>
      <c r="K5" s="496"/>
      <c r="L5" s="2989"/>
      <c r="M5" s="2990"/>
      <c r="N5" s="2990"/>
      <c r="O5" s="2990"/>
      <c r="P5" s="3719"/>
      <c r="Q5" s="3720"/>
      <c r="R5" s="3702"/>
      <c r="S5" s="3703"/>
      <c r="T5" s="3702"/>
      <c r="U5" s="3703"/>
      <c r="V5" s="3723"/>
      <c r="W5" s="3723"/>
      <c r="X5" s="1305"/>
      <c r="Y5" s="3702"/>
      <c r="Z5" s="3703"/>
      <c r="AA5" s="3711"/>
      <c r="AB5" s="3711"/>
      <c r="AC5" s="3711"/>
    </row>
    <row r="6" spans="1:29" ht="15.75" thickBot="1">
      <c r="A6" s="299"/>
      <c r="B6" s="300"/>
      <c r="C6" s="3728" t="s">
        <v>2197</v>
      </c>
      <c r="D6" s="3729"/>
      <c r="E6" s="3730" t="s">
        <v>2197</v>
      </c>
      <c r="F6" s="3731"/>
      <c r="G6" s="3728" t="s">
        <v>2197</v>
      </c>
      <c r="H6" s="3729"/>
      <c r="I6" s="3728" t="s">
        <v>2197</v>
      </c>
      <c r="J6" s="3729"/>
      <c r="K6" s="496" t="s">
        <v>2198</v>
      </c>
      <c r="L6" s="2989"/>
      <c r="M6" s="2990"/>
      <c r="N6" s="2990"/>
      <c r="O6" s="2990"/>
      <c r="P6" s="3721"/>
      <c r="Q6" s="3722"/>
      <c r="R6" s="3702"/>
      <c r="S6" s="3703"/>
      <c r="T6" s="3704"/>
      <c r="U6" s="3705"/>
      <c r="V6" s="3723"/>
      <c r="W6" s="3723"/>
      <c r="X6" s="1305"/>
      <c r="Y6" s="3704"/>
      <c r="Z6" s="3705"/>
      <c r="AA6" s="3712"/>
      <c r="AB6" s="3712"/>
      <c r="AC6" s="3712"/>
    </row>
    <row r="7" spans="1:29" s="25" customFormat="1" ht="15.75" thickBot="1">
      <c r="A7" s="301" t="s">
        <v>2199</v>
      </c>
      <c r="B7" s="302"/>
      <c r="C7" s="303">
        <f>'数据-取费表'!B2</f>
        <v>44727</v>
      </c>
      <c r="D7" s="304">
        <v>100</v>
      </c>
      <c r="E7" s="305"/>
      <c r="F7" s="306">
        <f>SUMIF(65:65,YEAR(E7)&amp;"-"&amp;INT((MONTH(E7)+2)/3),66:66)</f>
        <v>0</v>
      </c>
      <c r="G7" s="1542"/>
      <c r="H7" s="304">
        <f>SUMIF(65:65,YEAR(G7)&amp;"-"&amp;INT((MONTH(G7)+2)/3),66:66)</f>
        <v>0</v>
      </c>
      <c r="I7" s="1542"/>
      <c r="J7" s="304">
        <f>SUMIF(65:65,YEAR(I7)&amp;"-"&amp;INT((MONTH(I7)+2)/3),66:66)</f>
        <v>0</v>
      </c>
      <c r="K7" s="497"/>
      <c r="L7" s="2991"/>
      <c r="M7" s="2992"/>
      <c r="N7" s="2992"/>
      <c r="O7" s="2992"/>
      <c r="P7" s="3698" t="s">
        <v>2200</v>
      </c>
      <c r="Q7" s="3706"/>
      <c r="R7" s="627" t="s">
        <v>25</v>
      </c>
      <c r="S7" s="628">
        <f t="shared" ref="S7:S15" si="0">F7</f>
        <v>0</v>
      </c>
      <c r="T7" s="627" t="s">
        <v>25</v>
      </c>
      <c r="U7" s="628">
        <f t="shared" ref="U7:U15" si="1">H7</f>
        <v>0</v>
      </c>
      <c r="V7" s="627" t="s">
        <v>25</v>
      </c>
      <c r="W7" s="628">
        <f t="shared" ref="W7:W15" si="2">J7</f>
        <v>0</v>
      </c>
      <c r="X7" s="629"/>
      <c r="Y7" s="3698" t="s">
        <v>2200</v>
      </c>
      <c r="Z7" s="3699"/>
      <c r="AA7" s="630" t="e">
        <f>D7/F7</f>
        <v>#DIV/0!</v>
      </c>
      <c r="AB7" s="630" t="e">
        <f>D7/H7</f>
        <v>#DIV/0!</v>
      </c>
      <c r="AC7" s="630"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98" t="s">
        <v>2203</v>
      </c>
      <c r="Q8" s="3699"/>
      <c r="R8" s="627" t="s">
        <v>25</v>
      </c>
      <c r="S8" s="628">
        <f t="shared" si="0"/>
        <v>0</v>
      </c>
      <c r="T8" s="627" t="s">
        <v>25</v>
      </c>
      <c r="U8" s="628">
        <f t="shared" si="1"/>
        <v>0</v>
      </c>
      <c r="V8" s="627" t="s">
        <v>25</v>
      </c>
      <c r="W8" s="628">
        <f t="shared" si="2"/>
        <v>0</v>
      </c>
      <c r="X8" s="629"/>
      <c r="Y8" s="3698" t="s">
        <v>2203</v>
      </c>
      <c r="Z8" s="3699"/>
      <c r="AA8" s="630" t="e">
        <f t="shared" ref="AA8:AA40" si="3">D8/F8</f>
        <v>#DIV/0!</v>
      </c>
      <c r="AB8" s="630" t="e">
        <f t="shared" ref="AB8:AB40" si="4">D8/H8</f>
        <v>#DIV/0!</v>
      </c>
      <c r="AC8" s="630"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1"/>
      <c r="M9" s="2992"/>
      <c r="N9" s="2992"/>
      <c r="O9" s="2993"/>
      <c r="P9" s="3690" t="s">
        <v>2206</v>
      </c>
      <c r="Q9" s="1297" t="str">
        <f t="shared" ref="Q9:Q15" si="6">B9</f>
        <v>用途</v>
      </c>
      <c r="R9" s="627" t="s">
        <v>25</v>
      </c>
      <c r="S9" s="628">
        <f t="shared" si="0"/>
        <v>100</v>
      </c>
      <c r="T9" s="627" t="s">
        <v>25</v>
      </c>
      <c r="U9" s="628">
        <f t="shared" si="1"/>
        <v>100</v>
      </c>
      <c r="V9" s="627" t="s">
        <v>25</v>
      </c>
      <c r="W9" s="628">
        <f t="shared" si="2"/>
        <v>100</v>
      </c>
      <c r="X9" s="629"/>
      <c r="Y9" s="3709" t="s">
        <v>2207</v>
      </c>
      <c r="Z9" s="19" t="str">
        <f t="shared" ref="Z9:Z15" si="7">Q9</f>
        <v>用途</v>
      </c>
      <c r="AA9" s="630">
        <f t="shared" si="3"/>
        <v>1</v>
      </c>
      <c r="AB9" s="630">
        <f t="shared" si="4"/>
        <v>1</v>
      </c>
      <c r="AC9" s="630">
        <f t="shared" si="5"/>
        <v>1</v>
      </c>
    </row>
    <row r="10" spans="1:29" s="317" customFormat="1" ht="27">
      <c r="A10" s="312"/>
      <c r="B10" s="313" t="s">
        <v>2208</v>
      </c>
      <c r="C10" s="322"/>
      <c r="D10" s="29">
        <v>100</v>
      </c>
      <c r="E10" s="322"/>
      <c r="F10" s="29">
        <f>ROUND(100/'数据-取费表'!B14,0)</f>
        <v>127</v>
      </c>
      <c r="G10" s="322"/>
      <c r="H10" s="29">
        <f>ROUND(100/'数据-取费表'!B14,0)</f>
        <v>127</v>
      </c>
      <c r="I10" s="322"/>
      <c r="J10" s="29">
        <f>ROUND(100/'数据-取费表'!B14,0)</f>
        <v>127</v>
      </c>
      <c r="K10" s="553"/>
      <c r="L10" s="2994"/>
      <c r="M10" s="2995"/>
      <c r="N10" s="2995"/>
      <c r="O10" s="2996"/>
      <c r="P10" s="3690"/>
      <c r="Q10" s="1297" t="str">
        <f t="shared" si="6"/>
        <v>土地使用年限（年）</v>
      </c>
      <c r="R10" s="627" t="s">
        <v>25</v>
      </c>
      <c r="S10" s="628">
        <f t="shared" si="0"/>
        <v>127</v>
      </c>
      <c r="T10" s="627" t="s">
        <v>25</v>
      </c>
      <c r="U10" s="628">
        <f t="shared" si="1"/>
        <v>127</v>
      </c>
      <c r="V10" s="627" t="s">
        <v>25</v>
      </c>
      <c r="W10" s="628">
        <f t="shared" si="2"/>
        <v>127</v>
      </c>
      <c r="X10" s="629"/>
      <c r="Y10" s="3709"/>
      <c r="Z10" s="19" t="str">
        <f t="shared" si="7"/>
        <v>土地使用年限（年）</v>
      </c>
      <c r="AA10" s="630">
        <f t="shared" si="3"/>
        <v>0.78740157480314965</v>
      </c>
      <c r="AB10" s="630">
        <f t="shared" si="4"/>
        <v>0.78740157480314965</v>
      </c>
      <c r="AC10" s="630">
        <f t="shared" si="5"/>
        <v>0.78740157480314965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90"/>
      <c r="Q11" s="1297" t="str">
        <f t="shared" si="6"/>
        <v>容积率</v>
      </c>
      <c r="R11" s="627" t="s">
        <v>25</v>
      </c>
      <c r="S11" s="628" t="e">
        <f t="shared" si="0"/>
        <v>#N/A</v>
      </c>
      <c r="T11" s="627" t="s">
        <v>25</v>
      </c>
      <c r="U11" s="628" t="e">
        <f t="shared" si="1"/>
        <v>#N/A</v>
      </c>
      <c r="V11" s="627" t="s">
        <v>25</v>
      </c>
      <c r="W11" s="628" t="e">
        <f t="shared" si="2"/>
        <v>#N/A</v>
      </c>
      <c r="X11" s="629"/>
      <c r="Y11" s="3709"/>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90"/>
      <c r="Q12" s="1297">
        <f t="shared" si="6"/>
        <v>111</v>
      </c>
      <c r="R12" s="627" t="s">
        <v>25</v>
      </c>
      <c r="S12" s="628">
        <f t="shared" si="0"/>
        <v>100</v>
      </c>
      <c r="T12" s="627" t="s">
        <v>25</v>
      </c>
      <c r="U12" s="628">
        <f t="shared" si="1"/>
        <v>100</v>
      </c>
      <c r="V12" s="627" t="s">
        <v>25</v>
      </c>
      <c r="W12" s="628">
        <f t="shared" si="2"/>
        <v>100</v>
      </c>
      <c r="X12" s="629"/>
      <c r="Y12" s="3709"/>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90"/>
      <c r="Q13" s="1297">
        <f t="shared" si="6"/>
        <v>111</v>
      </c>
      <c r="R13" s="627" t="s">
        <v>25</v>
      </c>
      <c r="S13" s="628">
        <f t="shared" si="0"/>
        <v>100</v>
      </c>
      <c r="T13" s="627" t="s">
        <v>25</v>
      </c>
      <c r="U13" s="628">
        <f t="shared" si="1"/>
        <v>100</v>
      </c>
      <c r="V13" s="627" t="s">
        <v>25</v>
      </c>
      <c r="W13" s="628">
        <f t="shared" si="2"/>
        <v>100</v>
      </c>
      <c r="X13" s="629"/>
      <c r="Y13" s="3709"/>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90"/>
      <c r="Q14" s="1297">
        <f t="shared" si="6"/>
        <v>111</v>
      </c>
      <c r="R14" s="627" t="s">
        <v>25</v>
      </c>
      <c r="S14" s="628">
        <f t="shared" si="0"/>
        <v>100</v>
      </c>
      <c r="T14" s="627" t="s">
        <v>25</v>
      </c>
      <c r="U14" s="628">
        <f t="shared" si="1"/>
        <v>100</v>
      </c>
      <c r="V14" s="627" t="s">
        <v>25</v>
      </c>
      <c r="W14" s="628">
        <f t="shared" si="2"/>
        <v>100</v>
      </c>
      <c r="X14" s="629"/>
      <c r="Y14" s="3709"/>
      <c r="Z14" s="19">
        <f t="shared" si="7"/>
        <v>111</v>
      </c>
      <c r="AA14" s="630">
        <f t="shared" si="3"/>
        <v>1</v>
      </c>
      <c r="AB14" s="630">
        <f t="shared" si="4"/>
        <v>1</v>
      </c>
      <c r="AC14" s="630">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707" t="s">
        <v>2211</v>
      </c>
      <c r="Q15" s="1304" t="str">
        <f t="shared" si="6"/>
        <v>产业集聚程度</v>
      </c>
      <c r="R15" s="631" t="s">
        <v>25</v>
      </c>
      <c r="S15" s="632">
        <f t="shared" si="0"/>
        <v>100</v>
      </c>
      <c r="T15" s="631" t="s">
        <v>25</v>
      </c>
      <c r="U15" s="632">
        <f t="shared" si="1"/>
        <v>100</v>
      </c>
      <c r="V15" s="631" t="s">
        <v>25</v>
      </c>
      <c r="W15" s="632">
        <f t="shared" si="2"/>
        <v>100</v>
      </c>
      <c r="X15" s="1305"/>
      <c r="Y15" s="3707" t="s">
        <v>2211</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708"/>
      <c r="Q16" s="1304"/>
      <c r="R16" s="631"/>
      <c r="S16" s="632"/>
      <c r="T16" s="631"/>
      <c r="U16" s="632"/>
      <c r="V16" s="631"/>
      <c r="W16" s="632"/>
      <c r="X16" s="1305"/>
      <c r="Y16" s="3708"/>
      <c r="Z16" s="1306"/>
      <c r="AA16" s="1307">
        <v>1</v>
      </c>
      <c r="AB16" s="1307">
        <v>1</v>
      </c>
      <c r="AC16" s="1307">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708"/>
      <c r="Q17" s="1304" t="str">
        <f>B17</f>
        <v>交通便捷度</v>
      </c>
      <c r="R17" s="631" t="s">
        <v>25</v>
      </c>
      <c r="S17" s="632">
        <f>F17</f>
        <v>100</v>
      </c>
      <c r="T17" s="631" t="s">
        <v>25</v>
      </c>
      <c r="U17" s="632">
        <f>H17</f>
        <v>100</v>
      </c>
      <c r="V17" s="631" t="s">
        <v>25</v>
      </c>
      <c r="W17" s="632">
        <f>J17</f>
        <v>100</v>
      </c>
      <c r="X17" s="1305"/>
      <c r="Y17" s="370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2999"/>
      <c r="M18" s="2990"/>
      <c r="N18" s="2990"/>
      <c r="O18" s="2998"/>
      <c r="P18" s="3708"/>
      <c r="Q18" s="1304"/>
      <c r="R18" s="631"/>
      <c r="S18" s="632"/>
      <c r="T18" s="631"/>
      <c r="U18" s="632"/>
      <c r="V18" s="631"/>
      <c r="W18" s="632"/>
      <c r="X18" s="1305"/>
      <c r="Y18" s="3708"/>
      <c r="Z18" s="1306"/>
      <c r="AA18" s="1307">
        <v>1</v>
      </c>
      <c r="AB18" s="1307">
        <v>1</v>
      </c>
      <c r="AC18" s="1307">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708"/>
      <c r="Q19" s="1304" t="str">
        <f t="shared" ref="Q19:Q33" si="8">B19</f>
        <v>区域土地利用方向</v>
      </c>
      <c r="R19" s="631" t="s">
        <v>25</v>
      </c>
      <c r="S19" s="632">
        <f>F19</f>
        <v>100</v>
      </c>
      <c r="T19" s="631" t="s">
        <v>25</v>
      </c>
      <c r="U19" s="632">
        <f>H19</f>
        <v>100</v>
      </c>
      <c r="V19" s="631" t="s">
        <v>25</v>
      </c>
      <c r="W19" s="632">
        <f>J19</f>
        <v>100</v>
      </c>
      <c r="X19" s="1305"/>
      <c r="Y19" s="370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708"/>
      <c r="Q20" s="1304"/>
      <c r="R20" s="631"/>
      <c r="S20" s="632"/>
      <c r="T20" s="631"/>
      <c r="U20" s="632"/>
      <c r="V20" s="631"/>
      <c r="W20" s="632"/>
      <c r="X20" s="1305"/>
      <c r="Y20" s="3708"/>
      <c r="Z20" s="1306"/>
      <c r="AA20" s="1307"/>
      <c r="AB20" s="1307"/>
      <c r="AC20" s="1307"/>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708"/>
      <c r="Q21" s="1304" t="str">
        <f t="shared" si="8"/>
        <v>环境状况</v>
      </c>
      <c r="R21" s="631" t="s">
        <v>25</v>
      </c>
      <c r="S21" s="632">
        <f>F21</f>
        <v>100</v>
      </c>
      <c r="T21" s="631" t="s">
        <v>25</v>
      </c>
      <c r="U21" s="632">
        <f>H21</f>
        <v>100</v>
      </c>
      <c r="V21" s="631" t="s">
        <v>25</v>
      </c>
      <c r="W21" s="632">
        <f>J21</f>
        <v>100</v>
      </c>
      <c r="X21" s="1305"/>
      <c r="Y21" s="370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708"/>
      <c r="Q22" s="1304"/>
      <c r="R22" s="631"/>
      <c r="S22" s="632"/>
      <c r="T22" s="631"/>
      <c r="U22" s="632"/>
      <c r="V22" s="631"/>
      <c r="W22" s="632"/>
      <c r="X22" s="1305"/>
      <c r="Y22" s="3708"/>
      <c r="Z22" s="1306"/>
      <c r="AA22" s="1307">
        <v>1</v>
      </c>
      <c r="AB22" s="1307">
        <v>1</v>
      </c>
      <c r="AC22" s="1307">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708"/>
      <c r="Q23" s="1297" t="str">
        <f t="shared" si="8"/>
        <v>公共配套设施</v>
      </c>
      <c r="R23" s="627" t="s">
        <v>25</v>
      </c>
      <c r="S23" s="628">
        <f>F23</f>
        <v>100</v>
      </c>
      <c r="T23" s="627" t="s">
        <v>25</v>
      </c>
      <c r="U23" s="628">
        <f>H23</f>
        <v>100</v>
      </c>
      <c r="V23" s="627" t="s">
        <v>25</v>
      </c>
      <c r="W23" s="628">
        <f>J23</f>
        <v>100</v>
      </c>
      <c r="X23" s="629"/>
      <c r="Y23" s="3708"/>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1"/>
      <c r="M24" s="2992"/>
      <c r="N24" s="2992"/>
      <c r="O24" s="2993"/>
      <c r="P24" s="3708"/>
      <c r="Q24" s="1297"/>
      <c r="R24" s="627"/>
      <c r="S24" s="628"/>
      <c r="T24" s="627"/>
      <c r="U24" s="628"/>
      <c r="V24" s="627"/>
      <c r="W24" s="628"/>
      <c r="X24" s="629"/>
      <c r="Y24" s="3708"/>
      <c r="Z24" s="19"/>
      <c r="AA24" s="630">
        <v>1</v>
      </c>
      <c r="AB24" s="630">
        <v>1</v>
      </c>
      <c r="AC24" s="630">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708"/>
      <c r="Q25" s="1297" t="str">
        <f t="shared" ref="Q25" si="9">B25</f>
        <v>基础设施水平</v>
      </c>
      <c r="R25" s="627" t="s">
        <v>25</v>
      </c>
      <c r="S25" s="628">
        <f>F25</f>
        <v>100</v>
      </c>
      <c r="T25" s="627" t="s">
        <v>25</v>
      </c>
      <c r="U25" s="628">
        <f>H25</f>
        <v>100</v>
      </c>
      <c r="V25" s="627" t="s">
        <v>25</v>
      </c>
      <c r="W25" s="628">
        <f>J25</f>
        <v>100</v>
      </c>
      <c r="X25" s="629"/>
      <c r="Y25" s="3708"/>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1"/>
      <c r="M26" s="2992"/>
      <c r="N26" s="2992"/>
      <c r="O26" s="2993"/>
      <c r="P26" s="3708"/>
      <c r="Q26" s="1297"/>
      <c r="R26" s="627"/>
      <c r="S26" s="628"/>
      <c r="T26" s="627"/>
      <c r="U26" s="628"/>
      <c r="V26" s="627"/>
      <c r="W26" s="628"/>
      <c r="X26" s="629"/>
      <c r="Y26" s="3708"/>
      <c r="Z26" s="19"/>
      <c r="AA26" s="630">
        <v>1</v>
      </c>
      <c r="AB26" s="630">
        <v>1</v>
      </c>
      <c r="AC26" s="630">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70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8"/>
      <c r="Z27" s="1306" t="str">
        <f t="shared" ref="Z27:Z40" si="13">Q27</f>
        <v>临街状况</v>
      </c>
      <c r="AA27" s="1307">
        <f t="shared" si="3"/>
        <v>1</v>
      </c>
      <c r="AB27" s="1307">
        <f t="shared" si="4"/>
        <v>1</v>
      </c>
      <c r="AC27" s="1307">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708"/>
      <c r="Q28" s="1304" t="str">
        <f t="shared" si="8"/>
        <v>毗邻道路的类型与等级</v>
      </c>
      <c r="R28" s="631" t="s">
        <v>25</v>
      </c>
      <c r="S28" s="632">
        <f t="shared" si="10"/>
        <v>100</v>
      </c>
      <c r="T28" s="631" t="s">
        <v>25</v>
      </c>
      <c r="U28" s="632">
        <f t="shared" si="11"/>
        <v>100</v>
      </c>
      <c r="V28" s="631" t="s">
        <v>25</v>
      </c>
      <c r="W28" s="632">
        <f t="shared" si="12"/>
        <v>100</v>
      </c>
      <c r="X28" s="1305"/>
      <c r="Y28" s="370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708"/>
      <c r="Q29" s="1304"/>
      <c r="R29" s="631"/>
      <c r="S29" s="632"/>
      <c r="T29" s="631"/>
      <c r="U29" s="632"/>
      <c r="V29" s="631"/>
      <c r="W29" s="632"/>
      <c r="X29" s="1305"/>
      <c r="Y29" s="3708"/>
      <c r="Z29" s="1306"/>
      <c r="AA29" s="1307">
        <v>1</v>
      </c>
      <c r="AB29" s="1307">
        <v>1</v>
      </c>
      <c r="AC29" s="1307">
        <v>1</v>
      </c>
    </row>
    <row r="30" spans="1:29" ht="15">
      <c r="A30" s="318"/>
      <c r="B30" s="535" t="s">
        <v>2390</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708"/>
      <c r="Q30" s="1304" t="str">
        <f t="shared" si="8"/>
        <v>土地级别</v>
      </c>
      <c r="R30" s="631" t="s">
        <v>25</v>
      </c>
      <c r="S30" s="632">
        <f t="shared" si="10"/>
        <v>100</v>
      </c>
      <c r="T30" s="631" t="s">
        <v>25</v>
      </c>
      <c r="U30" s="632">
        <f t="shared" si="11"/>
        <v>100</v>
      </c>
      <c r="V30" s="631" t="s">
        <v>25</v>
      </c>
      <c r="W30" s="632">
        <f t="shared" si="12"/>
        <v>100</v>
      </c>
      <c r="X30" s="1305"/>
      <c r="Y30" s="3708"/>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708"/>
      <c r="Q31" s="1304">
        <f t="shared" si="8"/>
        <v>111</v>
      </c>
      <c r="R31" s="631" t="s">
        <v>25</v>
      </c>
      <c r="S31" s="632">
        <f t="shared" si="10"/>
        <v>100</v>
      </c>
      <c r="T31" s="631" t="s">
        <v>25</v>
      </c>
      <c r="U31" s="632">
        <f t="shared" si="11"/>
        <v>100</v>
      </c>
      <c r="V31" s="631" t="s">
        <v>25</v>
      </c>
      <c r="W31" s="632">
        <f t="shared" si="12"/>
        <v>100</v>
      </c>
      <c r="X31" s="1305"/>
      <c r="Y31" s="3708"/>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5" t="s">
        <v>2217</v>
      </c>
      <c r="Q32" s="1304">
        <f t="shared" si="8"/>
        <v>111</v>
      </c>
      <c r="R32" s="631" t="s">
        <v>25</v>
      </c>
      <c r="S32" s="632">
        <f t="shared" si="10"/>
        <v>100</v>
      </c>
      <c r="T32" s="631" t="s">
        <v>25</v>
      </c>
      <c r="U32" s="632">
        <f t="shared" si="11"/>
        <v>100</v>
      </c>
      <c r="V32" s="631" t="s">
        <v>25</v>
      </c>
      <c r="W32" s="632">
        <f t="shared" si="12"/>
        <v>100</v>
      </c>
      <c r="X32" s="1305"/>
      <c r="Y32" s="3696" t="s">
        <v>2217</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96"/>
      <c r="Q33" s="1304">
        <f t="shared" si="8"/>
        <v>111</v>
      </c>
      <c r="R33" s="634" t="s">
        <v>25</v>
      </c>
      <c r="S33" s="635">
        <f t="shared" si="10"/>
        <v>100</v>
      </c>
      <c r="T33" s="634" t="s">
        <v>25</v>
      </c>
      <c r="U33" s="635">
        <f t="shared" si="11"/>
        <v>100</v>
      </c>
      <c r="V33" s="634" t="s">
        <v>25</v>
      </c>
      <c r="W33" s="635">
        <f t="shared" si="12"/>
        <v>100</v>
      </c>
      <c r="X33" s="636"/>
      <c r="Y33" s="3696"/>
      <c r="Z33" s="637">
        <f t="shared" si="13"/>
        <v>111</v>
      </c>
      <c r="AA33" s="1307">
        <f t="shared" si="3"/>
        <v>1</v>
      </c>
      <c r="AB33" s="1307">
        <f t="shared" si="4"/>
        <v>1</v>
      </c>
      <c r="AC33" s="1307">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96"/>
      <c r="Q34" s="1304" t="str">
        <f>B34</f>
        <v>宗地面积</v>
      </c>
      <c r="R34" s="631" t="s">
        <v>25</v>
      </c>
      <c r="S34" s="632" t="e">
        <f t="shared" si="10"/>
        <v>#N/A</v>
      </c>
      <c r="T34" s="631" t="s">
        <v>25</v>
      </c>
      <c r="U34" s="632" t="e">
        <f t="shared" si="11"/>
        <v>#N/A</v>
      </c>
      <c r="V34" s="631" t="s">
        <v>25</v>
      </c>
      <c r="W34" s="632" t="e">
        <f t="shared" si="12"/>
        <v>#N/A</v>
      </c>
      <c r="X34" s="1305"/>
      <c r="Y34" s="3696"/>
      <c r="Z34" s="1306" t="str">
        <f t="shared" si="13"/>
        <v>宗地面积</v>
      </c>
      <c r="AA34" s="1307" t="e">
        <f t="shared" si="3"/>
        <v>#N/A</v>
      </c>
      <c r="AB34" s="1307" t="e">
        <f t="shared" si="4"/>
        <v>#N/A</v>
      </c>
      <c r="AC34" s="1307"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9"/>
      <c r="M35" s="2990"/>
      <c r="N35" s="2990"/>
      <c r="O35" s="2998"/>
      <c r="P35" s="3696"/>
      <c r="Q35" s="1304" t="str">
        <f t="shared" ref="Q35:Q40" si="14">B35</f>
        <v>宗地形状</v>
      </c>
      <c r="R35" s="631" t="s">
        <v>25</v>
      </c>
      <c r="S35" s="632">
        <f t="shared" si="10"/>
        <v>100</v>
      </c>
      <c r="T35" s="631" t="s">
        <v>25</v>
      </c>
      <c r="U35" s="632">
        <f t="shared" si="11"/>
        <v>100</v>
      </c>
      <c r="V35" s="631" t="s">
        <v>25</v>
      </c>
      <c r="W35" s="632">
        <f t="shared" si="12"/>
        <v>100</v>
      </c>
      <c r="X35" s="1305"/>
      <c r="Y35" s="3696"/>
      <c r="Z35" s="1306" t="str">
        <f t="shared" si="13"/>
        <v>宗地形状</v>
      </c>
      <c r="AA35" s="1307">
        <f t="shared" si="3"/>
        <v>1</v>
      </c>
      <c r="AB35" s="1307">
        <f t="shared" si="4"/>
        <v>1</v>
      </c>
      <c r="AC35" s="1307">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1"/>
      <c r="M36" s="2992"/>
      <c r="N36" s="2992"/>
      <c r="O36" s="2993"/>
      <c r="P36" s="3696"/>
      <c r="Q36" s="1304" t="str">
        <f t="shared" si="14"/>
        <v>宗地开发程度</v>
      </c>
      <c r="R36" s="627" t="s">
        <v>25</v>
      </c>
      <c r="S36" s="628">
        <f t="shared" si="10"/>
        <v>100</v>
      </c>
      <c r="T36" s="627" t="s">
        <v>25</v>
      </c>
      <c r="U36" s="628">
        <f t="shared" si="11"/>
        <v>100</v>
      </c>
      <c r="V36" s="627" t="s">
        <v>25</v>
      </c>
      <c r="W36" s="628">
        <f t="shared" si="12"/>
        <v>100</v>
      </c>
      <c r="X36" s="629"/>
      <c r="Y36" s="3696"/>
      <c r="Z36" s="19" t="str">
        <f t="shared" si="13"/>
        <v>宗地开发程度</v>
      </c>
      <c r="AA36" s="630">
        <f t="shared" si="3"/>
        <v>1</v>
      </c>
      <c r="AB36" s="630">
        <f t="shared" si="4"/>
        <v>1</v>
      </c>
      <c r="AC36" s="630">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9"/>
      <c r="M37" s="2990"/>
      <c r="N37" s="2990"/>
      <c r="O37" s="2998"/>
      <c r="P37" s="3696" t="s">
        <v>2217</v>
      </c>
      <c r="Q37" s="1304" t="str">
        <f t="shared" si="14"/>
        <v>工程地质条件</v>
      </c>
      <c r="R37" s="631" t="s">
        <v>25</v>
      </c>
      <c r="S37" s="632">
        <f t="shared" si="10"/>
        <v>100</v>
      </c>
      <c r="T37" s="631" t="s">
        <v>25</v>
      </c>
      <c r="U37" s="632">
        <f t="shared" si="11"/>
        <v>100</v>
      </c>
      <c r="V37" s="631" t="s">
        <v>25</v>
      </c>
      <c r="W37" s="632">
        <f t="shared" si="12"/>
        <v>100</v>
      </c>
      <c r="X37" s="1305"/>
      <c r="Y37" s="3696" t="s">
        <v>2217</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96"/>
      <c r="Q38" s="1304">
        <f t="shared" si="14"/>
        <v>111</v>
      </c>
      <c r="R38" s="631" t="s">
        <v>25</v>
      </c>
      <c r="S38" s="632">
        <f t="shared" si="10"/>
        <v>100</v>
      </c>
      <c r="T38" s="631" t="s">
        <v>25</v>
      </c>
      <c r="U38" s="632">
        <f t="shared" si="11"/>
        <v>100</v>
      </c>
      <c r="V38" s="631" t="s">
        <v>25</v>
      </c>
      <c r="W38" s="632">
        <f t="shared" si="12"/>
        <v>100</v>
      </c>
      <c r="X38" s="1305"/>
      <c r="Y38" s="3696"/>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96"/>
      <c r="Q39" s="1304">
        <f t="shared" si="14"/>
        <v>111</v>
      </c>
      <c r="R39" s="631" t="s">
        <v>25</v>
      </c>
      <c r="S39" s="632">
        <f t="shared" si="10"/>
        <v>100</v>
      </c>
      <c r="T39" s="631" t="s">
        <v>25</v>
      </c>
      <c r="U39" s="632">
        <f t="shared" si="11"/>
        <v>100</v>
      </c>
      <c r="V39" s="631" t="s">
        <v>25</v>
      </c>
      <c r="W39" s="632">
        <f t="shared" si="12"/>
        <v>100</v>
      </c>
      <c r="X39" s="1305"/>
      <c r="Y39" s="3696"/>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96"/>
      <c r="Q40" s="1304">
        <f t="shared" si="14"/>
        <v>111</v>
      </c>
      <c r="R40" s="634" t="s">
        <v>25</v>
      </c>
      <c r="S40" s="635">
        <f t="shared" si="10"/>
        <v>100</v>
      </c>
      <c r="T40" s="634" t="s">
        <v>25</v>
      </c>
      <c r="U40" s="635">
        <f t="shared" si="11"/>
        <v>100</v>
      </c>
      <c r="V40" s="634" t="s">
        <v>25</v>
      </c>
      <c r="W40" s="635">
        <f t="shared" si="12"/>
        <v>100</v>
      </c>
      <c r="X40" s="636"/>
      <c r="Y40" s="3696"/>
      <c r="Z40" s="637">
        <f t="shared" si="13"/>
        <v>111</v>
      </c>
      <c r="AA40" s="1307">
        <f t="shared" si="3"/>
        <v>1</v>
      </c>
      <c r="AB40" s="1307">
        <f t="shared" si="4"/>
        <v>1</v>
      </c>
      <c r="AC40" s="1307">
        <f t="shared" si="5"/>
        <v>1</v>
      </c>
    </row>
    <row r="41" spans="1:29" ht="15">
      <c r="A41" s="367" t="s">
        <v>2359</v>
      </c>
      <c r="B41" s="1558" t="s">
        <v>2434</v>
      </c>
      <c r="C41" s="562" t="s">
        <v>1</v>
      </c>
      <c r="D41" s="369"/>
      <c r="E41" s="370"/>
      <c r="F41" s="371"/>
      <c r="G41" s="372"/>
      <c r="H41" s="373"/>
      <c r="I41" s="370"/>
      <c r="J41" s="373"/>
      <c r="K41" s="640"/>
      <c r="L41" s="3001"/>
      <c r="M41" s="2990"/>
      <c r="N41" s="2990"/>
      <c r="P41" s="3690" t="str">
        <f>A41</f>
        <v>成交单价</v>
      </c>
      <c r="Q41" s="3690"/>
      <c r="R41" s="3723">
        <f>E41</f>
        <v>0</v>
      </c>
      <c r="S41" s="3723"/>
      <c r="T41" s="3723">
        <f>G41</f>
        <v>0</v>
      </c>
      <c r="U41" s="3723"/>
      <c r="V41" s="3723">
        <f>I41</f>
        <v>0</v>
      </c>
      <c r="W41" s="3723"/>
      <c r="X41" s="618"/>
      <c r="Y41" s="638"/>
      <c r="Z41" s="618"/>
      <c r="AA41" s="618"/>
      <c r="AB41" s="618"/>
      <c r="AC41" s="618"/>
    </row>
    <row r="42" spans="1:29" ht="15.75" thickBot="1">
      <c r="A42" s="374" t="s">
        <v>2312</v>
      </c>
      <c r="B42" s="563"/>
      <c r="C42" s="377" t="e">
        <f>R43</f>
        <v>#DIV/0!</v>
      </c>
      <c r="D42" s="1764" t="s">
        <v>2681</v>
      </c>
      <c r="E42" s="377" t="e">
        <f>R42</f>
        <v>#DIV/0!</v>
      </c>
      <c r="F42" s="1766"/>
      <c r="G42" s="376" t="e">
        <f>T42</f>
        <v>#DIV/0!</v>
      </c>
      <c r="H42" s="1766"/>
      <c r="I42" s="377" t="e">
        <f>V42</f>
        <v>#DIV/0!</v>
      </c>
      <c r="J42" s="1766"/>
      <c r="K42" s="2477">
        <f>F42+H42+J42</f>
        <v>0</v>
      </c>
      <c r="L42" s="3001"/>
      <c r="M42" s="2990"/>
      <c r="N42" s="2990"/>
      <c r="P42" s="3690" t="str">
        <f>A42</f>
        <v>比较价值（元/平方米）</v>
      </c>
      <c r="Q42" s="3690"/>
      <c r="R42" s="3735" t="e">
        <f>ROUND(PRODUCT(R41,AA7:AA40),0)</f>
        <v>#DIV/0!</v>
      </c>
      <c r="S42" s="3735"/>
      <c r="T42" s="3735" t="e">
        <f>ROUND(PRODUCT(T41,AB7:AB40),0)</f>
        <v>#DIV/0!</v>
      </c>
      <c r="U42" s="3735"/>
      <c r="V42" s="3735" t="e">
        <f>ROUND(PRODUCT(V41,AC7:AC40),0)</f>
        <v>#DIV/0!</v>
      </c>
      <c r="W42" s="3735"/>
      <c r="X42" s="618"/>
      <c r="Y42" s="618"/>
      <c r="Z42" s="618"/>
      <c r="AA42" s="618"/>
      <c r="AB42" s="618"/>
      <c r="AC42" s="618"/>
    </row>
    <row r="43" spans="1:29" ht="15.75" thickBot="1">
      <c r="A43" s="378" t="s">
        <v>2335</v>
      </c>
      <c r="B43" s="379"/>
      <c r="C43" s="380" t="e">
        <f>R43</f>
        <v>#DIV/0!</v>
      </c>
      <c r="D43" s="380"/>
      <c r="E43" s="380"/>
      <c r="F43" s="380"/>
      <c r="G43" s="380"/>
      <c r="H43" s="380"/>
      <c r="I43" s="380"/>
      <c r="J43" s="380"/>
      <c r="K43" s="641"/>
      <c r="L43" s="3001"/>
      <c r="M43" s="2990"/>
      <c r="N43" s="2990"/>
      <c r="P43" s="3692" t="str">
        <f>A43</f>
        <v>估价对象XX用房的比较价值（楼面单价，元/平方米）</v>
      </c>
      <c r="Q43" s="3693"/>
      <c r="R43" s="3734" t="e">
        <f>ROUND(IF(D42="简单平均",AVERAGE(R42:W42),R42*F42+T42*H42+V42*J42),0)</f>
        <v>#DIV/0!</v>
      </c>
      <c r="S43" s="3734"/>
      <c r="T43" s="3734"/>
      <c r="U43" s="3734"/>
      <c r="V43" s="3734"/>
      <c r="W43" s="3734"/>
      <c r="X43" s="618"/>
      <c r="Y43" s="618"/>
      <c r="Z43" s="618"/>
      <c r="AA43" s="618"/>
      <c r="AB43" s="618"/>
      <c r="AC43" s="618"/>
    </row>
    <row r="44" spans="1:29">
      <c r="G44" s="3004"/>
      <c r="M44" s="2990"/>
      <c r="N44" s="2990"/>
    </row>
    <row r="45" spans="1:29">
      <c r="M45" s="2990"/>
      <c r="N45" s="2990"/>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2397</v>
      </c>
      <c r="B50" s="565" t="s">
        <v>2398</v>
      </c>
      <c r="C50" s="1559" t="s">
        <v>2399</v>
      </c>
      <c r="D50" s="1560" t="s">
        <v>2400</v>
      </c>
      <c r="E50" s="566" t="s">
        <v>2401</v>
      </c>
      <c r="F50" s="567" t="s">
        <v>2402</v>
      </c>
      <c r="G50" s="1306" t="s">
        <v>2435</v>
      </c>
      <c r="H50" s="1306">
        <f>项目基本情况!G8</f>
        <v>0</v>
      </c>
      <c r="I50" s="1280" t="s">
        <v>2404</v>
      </c>
      <c r="J50" s="958"/>
      <c r="K50" s="956"/>
    </row>
    <row r="51" spans="1:17" s="572" customFormat="1">
      <c r="A51" s="568" t="s">
        <v>2405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2409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2022-6-1</v>
      </c>
      <c r="D63" s="1153">
        <f>EDATE(C63,-3)</f>
        <v>44621</v>
      </c>
      <c r="E63" s="1153">
        <f t="shared" ref="E63:O63" si="18">EDATE(D63,-3)</f>
        <v>44531</v>
      </c>
      <c r="F63" s="1153">
        <f t="shared" si="18"/>
        <v>44440</v>
      </c>
      <c r="G63" s="1153">
        <f t="shared" si="18"/>
        <v>44348</v>
      </c>
      <c r="H63" s="1153">
        <f t="shared" si="18"/>
        <v>44256</v>
      </c>
      <c r="I63" s="1153">
        <f t="shared" si="18"/>
        <v>44166</v>
      </c>
      <c r="J63" s="1153">
        <f t="shared" si="18"/>
        <v>44075</v>
      </c>
      <c r="K63" s="1153">
        <f t="shared" si="18"/>
        <v>43983</v>
      </c>
      <c r="L63" s="1153">
        <f t="shared" si="18"/>
        <v>43891</v>
      </c>
      <c r="M63" s="1153">
        <f t="shared" si="18"/>
        <v>43800</v>
      </c>
      <c r="N63" s="1153">
        <f t="shared" si="18"/>
        <v>43709</v>
      </c>
      <c r="O63" s="1153">
        <f t="shared" si="18"/>
        <v>43617</v>
      </c>
    </row>
    <row r="64" spans="1:17" ht="21.75" thickBot="1">
      <c r="A64" s="620" t="s">
        <v>2317</v>
      </c>
      <c r="B64" s="618"/>
      <c r="C64" s="621"/>
      <c r="D64" s="621"/>
      <c r="E64" s="621"/>
      <c r="F64" s="622"/>
      <c r="G64" s="622"/>
      <c r="H64" s="621"/>
      <c r="I64" s="963"/>
      <c r="J64" s="963"/>
      <c r="K64" s="961"/>
      <c r="L64" s="962"/>
      <c r="M64" s="963"/>
      <c r="N64" s="963"/>
      <c r="O64" s="963"/>
      <c r="P64" s="389"/>
      <c r="Q64" s="390"/>
    </row>
    <row r="65" spans="1:17" s="394" customFormat="1" ht="15">
      <c r="A65" s="1562" t="s">
        <v>2416</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7" t="s">
        <v>2436</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2237</v>
      </c>
      <c r="B67" s="401"/>
      <c r="C67" s="402"/>
      <c r="D67" s="403"/>
      <c r="E67" s="403"/>
      <c r="F67" s="403"/>
      <c r="G67" s="403"/>
      <c r="H67" s="403"/>
      <c r="I67" s="403"/>
      <c r="J67" s="403"/>
      <c r="K67" s="403"/>
      <c r="L67" s="403"/>
      <c r="M67" s="404"/>
      <c r="N67" s="403"/>
      <c r="O67" s="1156"/>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6" t="s">
        <v>779</v>
      </c>
      <c r="B1" s="373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6" t="s">
        <v>105</v>
      </c>
      <c r="B1" s="3736"/>
      <c r="C1" s="3736"/>
      <c r="D1" s="3736"/>
      <c r="E1" s="3736"/>
      <c r="F1" s="37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7" t="s">
        <v>118</v>
      </c>
      <c r="B2" s="3737"/>
      <c r="C2" s="3737"/>
      <c r="D2" s="3737"/>
      <c r="E2" s="3737"/>
      <c r="F2" s="37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16160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0" t="s">
        <v>132</v>
      </c>
      <c r="B18" s="768" t="s">
        <v>517</v>
      </c>
      <c r="C18" s="769" t="s">
        <v>518</v>
      </c>
      <c r="D18" s="770"/>
      <c r="E18" s="768">
        <v>1</v>
      </c>
      <c r="F18" s="771" t="s">
        <v>519</v>
      </c>
      <c r="G18" s="772"/>
      <c r="H18" s="764"/>
      <c r="I18" s="764"/>
    </row>
    <row r="19" spans="1:9" s="773" customFormat="1" ht="19.5" customHeight="1">
      <c r="A19" s="3740"/>
      <c r="B19" s="3740" t="s">
        <v>520</v>
      </c>
      <c r="C19" s="769" t="s">
        <v>521</v>
      </c>
      <c r="D19" s="770"/>
      <c r="E19" s="768">
        <v>0.9</v>
      </c>
      <c r="F19" s="771" t="s">
        <v>522</v>
      </c>
      <c r="G19" s="772"/>
      <c r="H19" s="764"/>
      <c r="I19" s="764"/>
    </row>
    <row r="20" spans="1:9" s="773" customFormat="1" ht="19.5" customHeight="1">
      <c r="A20" s="3740"/>
      <c r="B20" s="3740"/>
      <c r="C20" s="769" t="s">
        <v>523</v>
      </c>
      <c r="D20" s="770"/>
      <c r="E20" s="768">
        <v>1.1000000000000001</v>
      </c>
      <c r="F20" s="771" t="s">
        <v>524</v>
      </c>
      <c r="G20" s="772"/>
      <c r="H20" s="764"/>
      <c r="I20" s="764"/>
    </row>
    <row r="21" spans="1:9" s="773" customFormat="1" ht="19.5" customHeight="1">
      <c r="A21" s="3740"/>
      <c r="B21" s="3740"/>
      <c r="C21" s="769" t="s">
        <v>525</v>
      </c>
      <c r="D21" s="770"/>
      <c r="E21" s="768">
        <v>0.8</v>
      </c>
      <c r="F21" s="771" t="s">
        <v>526</v>
      </c>
      <c r="G21" s="772"/>
      <c r="H21" s="764"/>
      <c r="I21" s="764"/>
    </row>
    <row r="22" spans="1:9" s="773" customFormat="1" ht="19.5" customHeight="1">
      <c r="A22" s="3740"/>
      <c r="B22" s="3740"/>
      <c r="C22" s="769" t="s">
        <v>527</v>
      </c>
      <c r="D22" s="770"/>
      <c r="E22" s="768">
        <v>0.5</v>
      </c>
      <c r="F22" s="771"/>
      <c r="G22" s="772"/>
      <c r="H22" s="764"/>
      <c r="I22" s="764"/>
    </row>
    <row r="23" spans="1:9" s="773" customFormat="1" ht="19.5" customHeight="1">
      <c r="A23" s="3740" t="s">
        <v>133</v>
      </c>
      <c r="B23" s="768" t="s">
        <v>517</v>
      </c>
      <c r="C23" s="769" t="s">
        <v>528</v>
      </c>
      <c r="D23" s="770"/>
      <c r="E23" s="768">
        <v>1</v>
      </c>
      <c r="F23" s="771" t="s">
        <v>529</v>
      </c>
      <c r="G23" s="772"/>
      <c r="H23" s="764"/>
      <c r="I23" s="764"/>
    </row>
    <row r="24" spans="1:9" s="773" customFormat="1" ht="19.5" customHeight="1">
      <c r="A24" s="3740"/>
      <c r="B24" s="3740" t="s">
        <v>520</v>
      </c>
      <c r="C24" s="769" t="s">
        <v>530</v>
      </c>
      <c r="D24" s="770"/>
      <c r="E24" s="768">
        <v>0.5</v>
      </c>
      <c r="F24" s="771"/>
      <c r="G24" s="772"/>
      <c r="H24" s="764"/>
      <c r="I24" s="764"/>
    </row>
    <row r="25" spans="1:9" s="773" customFormat="1" ht="19.5" customHeight="1">
      <c r="A25" s="3740"/>
      <c r="B25" s="3740"/>
      <c r="C25" s="769" t="s">
        <v>531</v>
      </c>
      <c r="D25" s="770"/>
      <c r="E25" s="768">
        <v>1.1000000000000001</v>
      </c>
      <c r="F25" s="771"/>
      <c r="G25" s="772"/>
      <c r="H25" s="764"/>
      <c r="I25" s="764"/>
    </row>
    <row r="26" spans="1:9" s="773" customFormat="1" ht="19.5" customHeight="1">
      <c r="A26" s="3740"/>
      <c r="B26" s="3740"/>
      <c r="C26" s="769" t="s">
        <v>532</v>
      </c>
      <c r="D26" s="770"/>
      <c r="E26" s="768">
        <v>1.1000000000000001</v>
      </c>
      <c r="F26" s="771"/>
      <c r="G26" s="772"/>
      <c r="H26" s="764"/>
      <c r="I26" s="764"/>
    </row>
    <row r="27" spans="1:9" s="773" customFormat="1" ht="19.5" customHeight="1">
      <c r="A27" s="3740"/>
      <c r="B27" s="3740"/>
      <c r="C27" s="769" t="s">
        <v>533</v>
      </c>
      <c r="D27" s="770"/>
      <c r="E27" s="768">
        <v>0.9</v>
      </c>
      <c r="F27" s="771" t="s">
        <v>534</v>
      </c>
      <c r="G27" s="772"/>
      <c r="H27" s="764"/>
      <c r="I27" s="764"/>
    </row>
    <row r="28" spans="1:9" s="773" customFormat="1" ht="19.5" customHeight="1">
      <c r="A28" s="3740"/>
      <c r="B28" s="3740"/>
      <c r="C28" s="769" t="s">
        <v>535</v>
      </c>
      <c r="D28" s="770"/>
      <c r="E28" s="768">
        <v>0.9</v>
      </c>
      <c r="F28" s="771" t="s">
        <v>536</v>
      </c>
      <c r="G28" s="772"/>
      <c r="H28" s="764"/>
      <c r="I28" s="764"/>
    </row>
    <row r="29" spans="1:9" s="773" customFormat="1" ht="19.5" customHeight="1">
      <c r="A29" s="3740"/>
      <c r="B29" s="3740"/>
      <c r="C29" s="769" t="s">
        <v>537</v>
      </c>
      <c r="D29" s="770"/>
      <c r="E29" s="768">
        <v>0.9</v>
      </c>
      <c r="F29" s="771" t="s">
        <v>538</v>
      </c>
      <c r="G29" s="772"/>
      <c r="H29" s="764"/>
      <c r="I29" s="764"/>
    </row>
    <row r="30" spans="1:9" s="773" customFormat="1" ht="19.5" customHeight="1">
      <c r="A30" s="3740"/>
      <c r="B30" s="3740"/>
      <c r="C30" s="769" t="s">
        <v>539</v>
      </c>
      <c r="D30" s="770"/>
      <c r="E30" s="768">
        <v>0.9</v>
      </c>
      <c r="F30" s="771" t="s">
        <v>540</v>
      </c>
      <c r="G30" s="772"/>
      <c r="H30" s="764"/>
      <c r="I30" s="764"/>
    </row>
    <row r="31" spans="1:9" s="773" customFormat="1" ht="19.5" customHeight="1">
      <c r="A31" s="3740"/>
      <c r="B31" s="3740"/>
      <c r="C31" s="769" t="s">
        <v>541</v>
      </c>
      <c r="D31" s="770"/>
      <c r="E31" s="768">
        <v>0.8</v>
      </c>
      <c r="F31" s="771" t="s">
        <v>542</v>
      </c>
      <c r="G31" s="772"/>
      <c r="H31" s="764"/>
      <c r="I31" s="764"/>
    </row>
    <row r="32" spans="1:9" s="773" customFormat="1" ht="19.5" customHeight="1">
      <c r="A32" s="3740"/>
      <c r="B32" s="3740"/>
      <c r="C32" s="769" t="s">
        <v>543</v>
      </c>
      <c r="D32" s="770"/>
      <c r="E32" s="768">
        <v>0.8</v>
      </c>
      <c r="F32" s="771" t="s">
        <v>544</v>
      </c>
      <c r="G32" s="772"/>
      <c r="H32" s="764"/>
      <c r="I32" s="764"/>
    </row>
    <row r="33" spans="1:9" s="773" customFormat="1" ht="19.5" customHeight="1">
      <c r="A33" s="3740" t="s">
        <v>134</v>
      </c>
      <c r="B33" s="768" t="s">
        <v>517</v>
      </c>
      <c r="C33" s="769" t="s">
        <v>545</v>
      </c>
      <c r="D33" s="770"/>
      <c r="E33" s="768">
        <v>1</v>
      </c>
      <c r="F33" s="771" t="s">
        <v>546</v>
      </c>
      <c r="G33" s="772"/>
      <c r="H33" s="764"/>
      <c r="I33" s="764"/>
    </row>
    <row r="34" spans="1:9" s="773" customFormat="1" ht="19.5" customHeight="1">
      <c r="A34" s="3740"/>
      <c r="B34" s="768" t="s">
        <v>520</v>
      </c>
      <c r="C34" s="769" t="s">
        <v>547</v>
      </c>
      <c r="D34" s="770"/>
      <c r="E34" s="768">
        <v>1.5</v>
      </c>
      <c r="F34" s="771" t="s">
        <v>548</v>
      </c>
      <c r="G34" s="772"/>
      <c r="H34" s="764"/>
      <c r="I34" s="764"/>
    </row>
    <row r="35" spans="1:9" s="773" customFormat="1" ht="19.5" customHeight="1">
      <c r="A35" s="3740" t="s">
        <v>135</v>
      </c>
      <c r="B35" s="768" t="s">
        <v>517</v>
      </c>
      <c r="C35" s="769" t="s">
        <v>549</v>
      </c>
      <c r="D35" s="770"/>
      <c r="E35" s="768">
        <v>1</v>
      </c>
      <c r="F35" s="771" t="s">
        <v>550</v>
      </c>
      <c r="G35" s="772"/>
      <c r="H35" s="764"/>
      <c r="I35" s="764"/>
    </row>
    <row r="36" spans="1:9" s="773" customFormat="1" ht="19.5" customHeight="1">
      <c r="A36" s="3740"/>
      <c r="B36" s="3740" t="s">
        <v>520</v>
      </c>
      <c r="C36" s="769" t="s">
        <v>551</v>
      </c>
      <c r="D36" s="770"/>
      <c r="E36" s="768">
        <v>1</v>
      </c>
      <c r="F36" s="771" t="s">
        <v>552</v>
      </c>
      <c r="G36" s="772"/>
      <c r="H36" s="764"/>
      <c r="I36" s="764"/>
    </row>
    <row r="37" spans="1:9" s="773" customFormat="1" ht="19.5" customHeight="1">
      <c r="A37" s="3740"/>
      <c r="B37" s="3740"/>
      <c r="C37" s="769" t="s">
        <v>553</v>
      </c>
      <c r="D37" s="770"/>
      <c r="E37" s="768">
        <v>1.5</v>
      </c>
      <c r="F37" s="771" t="s">
        <v>554</v>
      </c>
      <c r="G37" s="772"/>
      <c r="H37" s="764"/>
      <c r="I37" s="764"/>
    </row>
    <row r="38" spans="1:9" s="773" customFormat="1" ht="19.5" customHeight="1">
      <c r="A38" s="3740"/>
      <c r="B38" s="3740"/>
      <c r="C38" s="769" t="s">
        <v>555</v>
      </c>
      <c r="D38" s="770"/>
      <c r="E38" s="768">
        <v>1</v>
      </c>
      <c r="F38" s="771" t="s">
        <v>556</v>
      </c>
      <c r="G38" s="772"/>
      <c r="H38" s="764"/>
      <c r="I38" s="764"/>
    </row>
    <row r="39" spans="1:9" s="773" customFormat="1" ht="19.5" customHeight="1">
      <c r="A39" s="3740"/>
      <c r="B39" s="37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0" t="s">
        <v>571</v>
      </c>
      <c r="C61" s="682" t="s">
        <v>572</v>
      </c>
      <c r="D61" s="682" t="s">
        <v>573</v>
      </c>
      <c r="E61" s="781">
        <v>0.5</v>
      </c>
      <c r="F61" s="768">
        <v>80</v>
      </c>
    </row>
    <row r="62" spans="1:8" s="764" customFormat="1" ht="24">
      <c r="A62" s="768">
        <v>2</v>
      </c>
      <c r="B62" s="3740"/>
      <c r="C62" s="682" t="s">
        <v>574</v>
      </c>
      <c r="D62" s="682" t="s">
        <v>575</v>
      </c>
      <c r="E62" s="781">
        <v>0.5</v>
      </c>
      <c r="F62" s="768">
        <v>80</v>
      </c>
    </row>
    <row r="63" spans="1:8" s="764" customFormat="1" ht="36">
      <c r="A63" s="768">
        <v>3</v>
      </c>
      <c r="B63" s="3740"/>
      <c r="C63" s="682" t="s">
        <v>576</v>
      </c>
      <c r="D63" s="682" t="s">
        <v>577</v>
      </c>
      <c r="E63" s="781">
        <v>0.5</v>
      </c>
      <c r="F63" s="768">
        <v>80</v>
      </c>
    </row>
    <row r="64" spans="1:8" s="764" customFormat="1" ht="36">
      <c r="A64" s="768">
        <v>4</v>
      </c>
      <c r="B64" s="3740"/>
      <c r="C64" s="682" t="s">
        <v>578</v>
      </c>
      <c r="D64" s="682" t="s">
        <v>579</v>
      </c>
      <c r="E64" s="781">
        <v>0.4</v>
      </c>
      <c r="F64" s="768">
        <v>60</v>
      </c>
    </row>
    <row r="65" spans="1:6" s="764" customFormat="1" ht="36">
      <c r="A65" s="768">
        <v>5</v>
      </c>
      <c r="B65" s="3740"/>
      <c r="C65" s="682" t="s">
        <v>580</v>
      </c>
      <c r="D65" s="682" t="s">
        <v>581</v>
      </c>
      <c r="E65" s="781">
        <v>0.2</v>
      </c>
      <c r="F65" s="768">
        <v>30</v>
      </c>
    </row>
    <row r="66" spans="1:6" s="764" customFormat="1" ht="36">
      <c r="A66" s="768">
        <v>6</v>
      </c>
      <c r="B66" s="3740"/>
      <c r="C66" s="682" t="s">
        <v>582</v>
      </c>
      <c r="D66" s="682" t="s">
        <v>583</v>
      </c>
      <c r="E66" s="781">
        <v>0.3</v>
      </c>
      <c r="F66" s="768">
        <v>50</v>
      </c>
    </row>
    <row r="67" spans="1:6" s="764" customFormat="1" ht="36">
      <c r="A67" s="768">
        <v>7</v>
      </c>
      <c r="B67" s="3740"/>
      <c r="C67" s="682" t="s">
        <v>584</v>
      </c>
      <c r="D67" s="682" t="s">
        <v>585</v>
      </c>
      <c r="E67" s="781">
        <v>0.2</v>
      </c>
      <c r="F67" s="768">
        <v>30</v>
      </c>
    </row>
    <row r="68" spans="1:6" s="764" customFormat="1" ht="36">
      <c r="A68" s="768">
        <v>8</v>
      </c>
      <c r="B68" s="3740"/>
      <c r="C68" s="682" t="s">
        <v>586</v>
      </c>
      <c r="D68" s="682" t="s">
        <v>587</v>
      </c>
      <c r="E68" s="781">
        <v>0.2</v>
      </c>
      <c r="F68" s="768">
        <v>30</v>
      </c>
    </row>
    <row r="69" spans="1:6" s="764" customFormat="1" ht="36">
      <c r="A69" s="768">
        <v>9</v>
      </c>
      <c r="B69" s="3740"/>
      <c r="C69" s="682" t="s">
        <v>588</v>
      </c>
      <c r="D69" s="682" t="s">
        <v>589</v>
      </c>
      <c r="E69" s="781">
        <v>0.2</v>
      </c>
      <c r="F69" s="768">
        <v>30</v>
      </c>
    </row>
    <row r="70" spans="1:6" s="764" customFormat="1" ht="48">
      <c r="A70" s="768">
        <v>10</v>
      </c>
      <c r="B70" s="3740"/>
      <c r="C70" s="682" t="s">
        <v>590</v>
      </c>
      <c r="D70" s="682" t="s">
        <v>591</v>
      </c>
      <c r="E70" s="781">
        <v>0.2</v>
      </c>
      <c r="F70" s="768">
        <v>30</v>
      </c>
    </row>
    <row r="71" spans="1:6" s="764" customFormat="1" ht="48">
      <c r="A71" s="768">
        <v>11</v>
      </c>
      <c r="B71" s="3740"/>
      <c r="C71" s="682" t="s">
        <v>592</v>
      </c>
      <c r="D71" s="682" t="s">
        <v>593</v>
      </c>
      <c r="E71" s="781">
        <v>0.2</v>
      </c>
      <c r="F71" s="768">
        <v>30</v>
      </c>
    </row>
    <row r="72" spans="1:6" s="764" customFormat="1" ht="36">
      <c r="A72" s="768">
        <v>12</v>
      </c>
      <c r="B72" s="3740"/>
      <c r="C72" s="682" t="s">
        <v>594</v>
      </c>
      <c r="D72" s="682" t="s">
        <v>595</v>
      </c>
      <c r="E72" s="781">
        <v>0.5</v>
      </c>
      <c r="F72" s="768">
        <v>80</v>
      </c>
    </row>
    <row r="73" spans="1:6" s="764" customFormat="1" ht="24">
      <c r="A73" s="768">
        <v>13</v>
      </c>
      <c r="B73" s="3740"/>
      <c r="C73" s="682" t="s">
        <v>596</v>
      </c>
      <c r="D73" s="682" t="s">
        <v>597</v>
      </c>
      <c r="E73" s="781">
        <v>0.4</v>
      </c>
      <c r="F73" s="768">
        <v>60</v>
      </c>
    </row>
    <row r="74" spans="1:6" s="764" customFormat="1" ht="24">
      <c r="A74" s="768">
        <v>14</v>
      </c>
      <c r="B74" s="3740"/>
      <c r="C74" s="682" t="s">
        <v>598</v>
      </c>
      <c r="D74" s="682" t="s">
        <v>599</v>
      </c>
      <c r="E74" s="781">
        <v>0.2</v>
      </c>
      <c r="F74" s="768">
        <v>30</v>
      </c>
    </row>
    <row r="75" spans="1:6" s="764" customFormat="1" ht="24">
      <c r="A75" s="768">
        <v>15</v>
      </c>
      <c r="B75" s="3740"/>
      <c r="C75" s="682" t="s">
        <v>600</v>
      </c>
      <c r="D75" s="682" t="s">
        <v>601</v>
      </c>
      <c r="E75" s="781">
        <v>0.2</v>
      </c>
      <c r="F75" s="768">
        <v>30</v>
      </c>
    </row>
    <row r="76" spans="1:6" s="764" customFormat="1" ht="24">
      <c r="A76" s="768">
        <v>16</v>
      </c>
      <c r="B76" s="3740" t="s">
        <v>602</v>
      </c>
      <c r="C76" s="682" t="s">
        <v>603</v>
      </c>
      <c r="D76" s="682" t="s">
        <v>604</v>
      </c>
      <c r="E76" s="781">
        <v>0.5</v>
      </c>
      <c r="F76" s="768">
        <v>80</v>
      </c>
    </row>
    <row r="77" spans="1:6" s="764" customFormat="1" ht="24">
      <c r="A77" s="768">
        <v>17</v>
      </c>
      <c r="B77" s="3740"/>
      <c r="C77" s="682" t="s">
        <v>605</v>
      </c>
      <c r="D77" s="682" t="s">
        <v>606</v>
      </c>
      <c r="E77" s="781">
        <v>0.5</v>
      </c>
      <c r="F77" s="768">
        <v>80</v>
      </c>
    </row>
    <row r="78" spans="1:6" s="764" customFormat="1" ht="24">
      <c r="A78" s="768">
        <v>18</v>
      </c>
      <c r="B78" s="3740"/>
      <c r="C78" s="682" t="s">
        <v>607</v>
      </c>
      <c r="D78" s="682" t="s">
        <v>608</v>
      </c>
      <c r="E78" s="781">
        <v>0.2</v>
      </c>
      <c r="F78" s="768">
        <v>30</v>
      </c>
    </row>
    <row r="79" spans="1:6" s="764" customFormat="1" ht="24">
      <c r="A79" s="768">
        <v>19</v>
      </c>
      <c r="B79" s="3740"/>
      <c r="C79" s="682" t="s">
        <v>609</v>
      </c>
      <c r="D79" s="682" t="s">
        <v>610</v>
      </c>
      <c r="E79" s="781">
        <v>0.5</v>
      </c>
      <c r="F79" s="768">
        <v>80</v>
      </c>
    </row>
    <row r="80" spans="1:6" s="764" customFormat="1" ht="36">
      <c r="A80" s="768">
        <v>20</v>
      </c>
      <c r="B80" s="3740"/>
      <c r="C80" s="682" t="s">
        <v>611</v>
      </c>
      <c r="D80" s="682" t="s">
        <v>612</v>
      </c>
      <c r="E80" s="781">
        <v>0.2</v>
      </c>
      <c r="F80" s="768">
        <v>30</v>
      </c>
    </row>
    <row r="81" spans="1:6" s="764" customFormat="1" ht="36">
      <c r="A81" s="768">
        <v>21</v>
      </c>
      <c r="B81" s="3740"/>
      <c r="C81" s="682" t="s">
        <v>613</v>
      </c>
      <c r="D81" s="682" t="s">
        <v>614</v>
      </c>
      <c r="E81" s="781">
        <v>0.2</v>
      </c>
      <c r="F81" s="768">
        <v>30</v>
      </c>
    </row>
    <row r="82" spans="1:6" s="764" customFormat="1" ht="48">
      <c r="A82" s="768">
        <v>22</v>
      </c>
      <c r="B82" s="3740"/>
      <c r="C82" s="682" t="s">
        <v>615</v>
      </c>
      <c r="D82" s="682" t="s">
        <v>616</v>
      </c>
      <c r="E82" s="781">
        <v>0.2</v>
      </c>
      <c r="F82" s="768">
        <v>30</v>
      </c>
    </row>
    <row r="83" spans="1:6" s="764" customFormat="1" ht="48">
      <c r="A83" s="768">
        <v>23</v>
      </c>
      <c r="B83" s="3740"/>
      <c r="C83" s="682" t="s">
        <v>617</v>
      </c>
      <c r="D83" s="682" t="s">
        <v>618</v>
      </c>
      <c r="E83" s="781">
        <v>0.2</v>
      </c>
      <c r="F83" s="768">
        <v>30</v>
      </c>
    </row>
    <row r="84" spans="1:6" s="764" customFormat="1" ht="36">
      <c r="A84" s="768">
        <v>24</v>
      </c>
      <c r="B84" s="3740"/>
      <c r="C84" s="682" t="s">
        <v>619</v>
      </c>
      <c r="D84" s="682" t="s">
        <v>620</v>
      </c>
      <c r="E84" s="781">
        <v>0.2</v>
      </c>
      <c r="F84" s="768">
        <v>30</v>
      </c>
    </row>
    <row r="85" spans="1:6" s="764" customFormat="1" ht="36">
      <c r="A85" s="768">
        <v>25</v>
      </c>
      <c r="B85" s="3740"/>
      <c r="C85" s="682" t="s">
        <v>621</v>
      </c>
      <c r="D85" s="682" t="s">
        <v>622</v>
      </c>
      <c r="E85" s="781">
        <v>0.5</v>
      </c>
      <c r="F85" s="768">
        <v>80</v>
      </c>
    </row>
    <row r="86" spans="1:6" s="764" customFormat="1" ht="36">
      <c r="A86" s="768">
        <v>26</v>
      </c>
      <c r="B86" s="3740"/>
      <c r="C86" s="682" t="s">
        <v>623</v>
      </c>
      <c r="D86" s="682" t="s">
        <v>624</v>
      </c>
      <c r="E86" s="781">
        <v>0.2</v>
      </c>
      <c r="F86" s="768">
        <v>30</v>
      </c>
    </row>
    <row r="87" spans="1:6" s="764" customFormat="1" ht="36">
      <c r="A87" s="768">
        <v>27</v>
      </c>
      <c r="B87" s="3740"/>
      <c r="C87" s="682" t="s">
        <v>625</v>
      </c>
      <c r="D87" s="682" t="s">
        <v>626</v>
      </c>
      <c r="E87" s="781">
        <v>0.2</v>
      </c>
      <c r="F87" s="768">
        <v>30</v>
      </c>
    </row>
    <row r="88" spans="1:6" s="764" customFormat="1" ht="36">
      <c r="A88" s="768">
        <v>28</v>
      </c>
      <c r="B88" s="3740"/>
      <c r="C88" s="682" t="s">
        <v>627</v>
      </c>
      <c r="D88" s="682" t="s">
        <v>628</v>
      </c>
      <c r="E88" s="781">
        <v>0.2</v>
      </c>
      <c r="F88" s="768">
        <v>30</v>
      </c>
    </row>
    <row r="89" spans="1:6" s="764" customFormat="1" ht="24">
      <c r="A89" s="768">
        <v>29</v>
      </c>
      <c r="B89" s="3740"/>
      <c r="C89" s="682" t="s">
        <v>629</v>
      </c>
      <c r="D89" s="682" t="s">
        <v>630</v>
      </c>
      <c r="E89" s="781">
        <v>0.2</v>
      </c>
      <c r="F89" s="768">
        <v>30</v>
      </c>
    </row>
    <row r="90" spans="1:6" s="764" customFormat="1" ht="24">
      <c r="A90" s="768">
        <v>30</v>
      </c>
      <c r="B90" s="3740"/>
      <c r="C90" s="682" t="s">
        <v>631</v>
      </c>
      <c r="D90" s="682" t="s">
        <v>632</v>
      </c>
      <c r="E90" s="781">
        <v>0.2</v>
      </c>
      <c r="F90" s="768">
        <v>30</v>
      </c>
    </row>
    <row r="91" spans="1:6" s="764" customFormat="1" ht="36">
      <c r="A91" s="768">
        <v>31</v>
      </c>
      <c r="B91" s="3740"/>
      <c r="C91" s="682" t="s">
        <v>633</v>
      </c>
      <c r="D91" s="682" t="s">
        <v>634</v>
      </c>
      <c r="E91" s="781">
        <v>0.2</v>
      </c>
      <c r="F91" s="768">
        <v>30</v>
      </c>
    </row>
    <row r="92" spans="1:6" s="764" customFormat="1" ht="24">
      <c r="A92" s="768">
        <v>32</v>
      </c>
      <c r="B92" s="3740" t="s">
        <v>635</v>
      </c>
      <c r="C92" s="768" t="s">
        <v>636</v>
      </c>
      <c r="D92" s="682" t="s">
        <v>637</v>
      </c>
      <c r="E92" s="781">
        <v>0.2</v>
      </c>
      <c r="F92" s="768">
        <v>30</v>
      </c>
    </row>
    <row r="93" spans="1:6" s="764" customFormat="1" ht="36">
      <c r="A93" s="768">
        <v>33</v>
      </c>
      <c r="B93" s="3740"/>
      <c r="C93" s="768" t="s">
        <v>638</v>
      </c>
      <c r="D93" s="682" t="s">
        <v>639</v>
      </c>
      <c r="E93" s="781">
        <v>0.2</v>
      </c>
      <c r="F93" s="768">
        <v>30</v>
      </c>
    </row>
    <row r="94" spans="1:6" s="764" customFormat="1" ht="48">
      <c r="A94" s="768">
        <v>34</v>
      </c>
      <c r="B94" s="3740"/>
      <c r="C94" s="768" t="s">
        <v>640</v>
      </c>
      <c r="D94" s="682" t="s">
        <v>641</v>
      </c>
      <c r="E94" s="781">
        <v>0.2</v>
      </c>
      <c r="F94" s="768">
        <v>30</v>
      </c>
    </row>
    <row r="95" spans="1:6" s="764" customFormat="1" ht="36">
      <c r="A95" s="768">
        <v>35</v>
      </c>
      <c r="B95" s="3740"/>
      <c r="C95" s="768" t="s">
        <v>642</v>
      </c>
      <c r="D95" s="682" t="s">
        <v>643</v>
      </c>
      <c r="E95" s="781">
        <v>0.2</v>
      </c>
      <c r="F95" s="768">
        <v>30</v>
      </c>
    </row>
    <row r="96" spans="1:6" s="764" customFormat="1" ht="48">
      <c r="A96" s="768">
        <v>36</v>
      </c>
      <c r="B96" s="3740"/>
      <c r="C96" s="682" t="s">
        <v>644</v>
      </c>
      <c r="D96" s="682" t="s">
        <v>645</v>
      </c>
      <c r="E96" s="781">
        <v>0.2</v>
      </c>
      <c r="F96" s="768">
        <v>30</v>
      </c>
    </row>
    <row r="97" spans="1:6" s="764" customFormat="1" ht="36">
      <c r="A97" s="768">
        <v>37</v>
      </c>
      <c r="B97" s="3740"/>
      <c r="C97" s="768" t="s">
        <v>646</v>
      </c>
      <c r="D97" s="682" t="s">
        <v>647</v>
      </c>
      <c r="E97" s="781">
        <v>0.2</v>
      </c>
      <c r="F97" s="768">
        <v>30</v>
      </c>
    </row>
    <row r="98" spans="1:6" s="764" customFormat="1" ht="36">
      <c r="A98" s="768">
        <v>38</v>
      </c>
      <c r="B98" s="3740"/>
      <c r="C98" s="768" t="s">
        <v>648</v>
      </c>
      <c r="D98" s="682" t="s">
        <v>649</v>
      </c>
      <c r="E98" s="781">
        <v>0.2</v>
      </c>
      <c r="F98" s="768">
        <v>30</v>
      </c>
    </row>
    <row r="99" spans="1:6" s="764" customFormat="1" ht="36">
      <c r="A99" s="768">
        <v>39</v>
      </c>
      <c r="B99" s="3740" t="s">
        <v>650</v>
      </c>
      <c r="C99" s="768" t="s">
        <v>651</v>
      </c>
      <c r="D99" s="682" t="s">
        <v>652</v>
      </c>
      <c r="E99" s="781">
        <v>0.3</v>
      </c>
      <c r="F99" s="768">
        <v>50</v>
      </c>
    </row>
    <row r="100" spans="1:6" s="764" customFormat="1" ht="24">
      <c r="A100" s="768">
        <v>40</v>
      </c>
      <c r="B100" s="3740"/>
      <c r="C100" s="768" t="s">
        <v>653</v>
      </c>
      <c r="D100" s="682" t="s">
        <v>654</v>
      </c>
      <c r="E100" s="781">
        <v>0.2</v>
      </c>
      <c r="F100" s="768">
        <v>30</v>
      </c>
    </row>
    <row r="101" spans="1:6" s="764" customFormat="1" ht="36">
      <c r="A101" s="768">
        <v>41</v>
      </c>
      <c r="B101" s="374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0" t="s">
        <v>665</v>
      </c>
      <c r="C105" s="768" t="s">
        <v>666</v>
      </c>
      <c r="D105" s="682" t="s">
        <v>667</v>
      </c>
      <c r="E105" s="781">
        <v>0.2</v>
      </c>
      <c r="F105" s="768">
        <v>30</v>
      </c>
    </row>
    <row r="106" spans="1:6" s="764" customFormat="1" ht="36">
      <c r="A106" s="768">
        <v>46</v>
      </c>
      <c r="B106" s="3740"/>
      <c r="C106" s="768" t="s">
        <v>668</v>
      </c>
      <c r="D106" s="682" t="s">
        <v>669</v>
      </c>
      <c r="E106" s="781">
        <v>0.2</v>
      </c>
      <c r="F106" s="768">
        <v>30</v>
      </c>
    </row>
    <row r="107" spans="1:6" s="764" customFormat="1" ht="36">
      <c r="A107" s="768">
        <v>47</v>
      </c>
      <c r="B107" s="3740" t="s">
        <v>670</v>
      </c>
      <c r="C107" s="768" t="s">
        <v>671</v>
      </c>
      <c r="D107" s="682" t="s">
        <v>672</v>
      </c>
      <c r="E107" s="781">
        <v>0.3</v>
      </c>
      <c r="F107" s="768">
        <v>50</v>
      </c>
    </row>
    <row r="108" spans="1:6" s="764" customFormat="1" ht="36">
      <c r="A108" s="768">
        <v>48</v>
      </c>
      <c r="B108" s="37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0" t="s">
        <v>681</v>
      </c>
      <c r="C111" s="768" t="s">
        <v>682</v>
      </c>
      <c r="D111" s="682" t="s">
        <v>683</v>
      </c>
      <c r="E111" s="781">
        <v>0.2</v>
      </c>
      <c r="F111" s="768">
        <v>30</v>
      </c>
    </row>
    <row r="112" spans="1:6" s="764" customFormat="1" ht="24">
      <c r="A112" s="768">
        <v>52</v>
      </c>
      <c r="B112" s="3740"/>
      <c r="C112" s="768" t="s">
        <v>684</v>
      </c>
      <c r="D112" s="682" t="s">
        <v>685</v>
      </c>
      <c r="E112" s="781">
        <v>0.2</v>
      </c>
      <c r="F112" s="768">
        <v>30</v>
      </c>
    </row>
    <row r="113" spans="1:6" s="764" customFormat="1" ht="24">
      <c r="A113" s="768">
        <v>53</v>
      </c>
      <c r="B113" s="374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0" t="s">
        <v>694</v>
      </c>
      <c r="C116" s="768" t="s">
        <v>695</v>
      </c>
      <c r="D116" s="682" t="s">
        <v>696</v>
      </c>
      <c r="E116" s="781">
        <v>0.2</v>
      </c>
      <c r="F116" s="768">
        <v>30</v>
      </c>
    </row>
    <row r="117" spans="1:6" ht="36">
      <c r="A117" s="768">
        <v>57</v>
      </c>
      <c r="B117" s="374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80" zoomScaleNormal="90" zoomScaleSheetLayoutView="80" workbookViewId="0">
      <pane ySplit="27" topLeftCell="A28" activePane="bottomLeft" state="frozen"/>
      <selection activeCell="A11" sqref="A11:D11"/>
      <selection pane="bottomLeft" activeCell="B512" sqref="B5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t="e">
        <f ca="1">B23</f>
        <v>#DIV/0!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744" t="s">
        <v>2155</v>
      </c>
      <c r="D4" s="3745"/>
      <c r="E4" s="3745"/>
      <c r="F4" s="3745"/>
      <c r="G4" s="3745"/>
      <c r="H4" s="3745"/>
      <c r="I4" s="3745"/>
      <c r="J4" s="3745"/>
      <c r="K4" s="3745"/>
      <c r="L4" s="3745"/>
      <c r="M4" s="3745"/>
      <c r="N4" s="3745"/>
      <c r="O4" s="3745"/>
      <c r="P4" s="3745"/>
      <c r="Q4" s="3745"/>
      <c r="R4" s="3745"/>
      <c r="S4" s="3746"/>
      <c r="T4" s="575" t="s">
        <v>2156</v>
      </c>
      <c r="U4" s="999"/>
      <c r="V4" s="999"/>
      <c r="X4" s="999"/>
      <c r="Y4" s="999"/>
    </row>
    <row r="5" spans="1:44" s="587" customFormat="1" ht="38.25">
      <c r="A5" s="1003"/>
      <c r="B5" s="583" t="s">
        <v>2157</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3049</v>
      </c>
      <c r="C8" s="887" t="s">
        <v>3047</v>
      </c>
      <c r="D8" s="888" t="s">
        <v>3048</v>
      </c>
      <c r="E8" s="888" t="s">
        <v>3009</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3050</v>
      </c>
      <c r="C10" s="887" t="s">
        <v>3011</v>
      </c>
      <c r="D10" s="888" t="s">
        <v>3051</v>
      </c>
      <c r="E10" s="3330" t="s">
        <v>3052</v>
      </c>
      <c r="F10" s="888" t="s">
        <v>3053</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2159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2162</v>
      </c>
      <c r="B20" s="1520" t="s">
        <v>2163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2164</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2165</v>
      </c>
      <c r="B23" s="224" t="e">
        <f ca="1">IF(F23="——",IF(C23="万元",T25,S25),IF(C23="万元",T25-H23,S25-H23))</f>
        <v>#DIV/0!</v>
      </c>
      <c r="C23" s="1522" t="str">
        <f>'数据-取费表'!B3</f>
        <v>万元</v>
      </c>
      <c r="D23" s="37"/>
      <c r="E23" s="37"/>
      <c r="F23" s="1523" t="s">
        <v>1183</v>
      </c>
      <c r="G23" s="1296"/>
      <c r="H23" s="575" t="e">
        <f ca="1">SUMIF(INDIRECT("'"&amp;J23&amp;"'"&amp;"!A:A"),"承租人权益价值",INDIRECT("'"&amp;J23&amp;"'"&amp;"!c:c"))</f>
        <v>#REF!</v>
      </c>
      <c r="I23" s="575" t="str">
        <f>C2</f>
        <v>万元</v>
      </c>
      <c r="J23" s="1524"/>
      <c r="K23" s="37"/>
      <c r="L23" s="37"/>
      <c r="M23" s="37"/>
      <c r="N23" s="37"/>
      <c r="O23" s="37"/>
      <c r="P23" s="37"/>
      <c r="Q23" s="37"/>
      <c r="R23" s="645"/>
      <c r="S23" s="31"/>
      <c r="T23" s="31"/>
      <c r="U23" s="999">
        <v>6084</v>
      </c>
      <c r="V23" s="1000"/>
      <c r="W23" s="662"/>
      <c r="X23" s="662"/>
      <c r="Y23" s="662"/>
      <c r="Z23" s="662"/>
    </row>
    <row r="24" spans="1:45" ht="15.75">
      <c r="A24" s="1522" t="s">
        <v>2166</v>
      </c>
      <c r="B24" s="224" t="e">
        <f ca="1">ROUND(B23*10000/B25,0)</f>
        <v>#DIV/0!</v>
      </c>
      <c r="C24" s="864"/>
      <c r="D24" s="37"/>
      <c r="E24" s="37"/>
      <c r="F24" s="37"/>
      <c r="G24" s="37"/>
      <c r="H24" s="37"/>
      <c r="I24" s="37"/>
      <c r="J24" s="37"/>
      <c r="K24" s="37"/>
      <c r="L24" s="37"/>
      <c r="M24" s="37"/>
      <c r="N24" s="37"/>
      <c r="O24" s="37"/>
      <c r="P24" s="37"/>
      <c r="Q24" s="37"/>
      <c r="R24" s="645"/>
      <c r="S24" s="13" t="s">
        <v>2167</v>
      </c>
      <c r="T24" s="1302" t="s">
        <v>2168</v>
      </c>
      <c r="U24" s="2212" t="s">
        <v>2169</v>
      </c>
      <c r="V24" s="2952"/>
      <c r="W24" s="2953" t="s">
        <v>2170</v>
      </c>
      <c r="X24" s="2212" t="s">
        <v>2171</v>
      </c>
      <c r="Y24" s="2952"/>
      <c r="Z24" s="2954" t="s">
        <v>2170</v>
      </c>
    </row>
    <row r="25" spans="1:45">
      <c r="A25" s="250" t="s">
        <v>2172</v>
      </c>
      <c r="B25" s="13">
        <f>SUM(B27:B10000)</f>
        <v>476.94000000000005</v>
      </c>
      <c r="C25" s="3741" t="s">
        <v>45</v>
      </c>
      <c r="D25" s="3742"/>
      <c r="E25" s="3742"/>
      <c r="F25" s="3742"/>
      <c r="G25" s="3742"/>
      <c r="H25" s="3742"/>
      <c r="I25" s="3742"/>
      <c r="J25" s="3742"/>
      <c r="K25" s="3742"/>
      <c r="L25" s="3742"/>
      <c r="M25" s="3742"/>
      <c r="N25" s="3742"/>
      <c r="O25" s="3742"/>
      <c r="P25" s="3742"/>
      <c r="Q25" s="3743"/>
      <c r="R25" s="597" t="e">
        <f ca="1">IF(C23="万元",ROUND(T25*10000/B25,0),ROUND(S25/B25,0))</f>
        <v>#DIV/0!</v>
      </c>
      <c r="S25" s="13" t="e">
        <f ca="1">SUM(S27:S10000)</f>
        <v>#DIV/0!</v>
      </c>
      <c r="T25" s="13" t="e">
        <f ca="1">SUM(T27:T10000)</f>
        <v>#DIV/0!</v>
      </c>
      <c r="U25" s="17">
        <f>SUM(U27:U10000)</f>
        <v>0</v>
      </c>
      <c r="V25" s="17">
        <f>SUM(V27:V10000)</f>
        <v>0</v>
      </c>
      <c r="W25" s="2956"/>
      <c r="X25" s="17">
        <f>SUM(X27:X10000)</f>
        <v>0</v>
      </c>
      <c r="Y25" s="17">
        <f>SUM(Y27:Y10000)</f>
        <v>0</v>
      </c>
      <c r="Z25" s="1525"/>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8" t="s">
        <v>2176</v>
      </c>
      <c r="S26" s="10" t="s">
        <v>2177</v>
      </c>
      <c r="T26" s="10" t="s">
        <v>2177</v>
      </c>
      <c r="U26" s="684" t="s">
        <v>2178</v>
      </c>
      <c r="V26" s="684" t="s">
        <v>2179</v>
      </c>
      <c r="W26" s="10" t="s">
        <v>2180</v>
      </c>
      <c r="X26" s="684" t="s">
        <v>2178</v>
      </c>
      <c r="Y26" s="684" t="s">
        <v>2179</v>
      </c>
      <c r="Z26" s="10" t="s">
        <v>2180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2181</v>
      </c>
      <c r="B27" s="600">
        <f>'数据-取费表'!E5</f>
        <v>0</v>
      </c>
      <c r="C27" s="901">
        <v>1</v>
      </c>
      <c r="D27" s="601" t="s">
        <v>3009</v>
      </c>
      <c r="E27" s="901">
        <v>1</v>
      </c>
      <c r="F27" s="601" t="s">
        <v>3011</v>
      </c>
      <c r="G27" s="901">
        <v>1</v>
      </c>
      <c r="H27" s="601"/>
      <c r="I27" s="901">
        <v>1</v>
      </c>
      <c r="J27" s="601"/>
      <c r="K27" s="901">
        <v>1</v>
      </c>
      <c r="L27" s="601"/>
      <c r="M27" s="901">
        <v>1</v>
      </c>
      <c r="N27" s="601"/>
      <c r="O27" s="901">
        <v>1</v>
      </c>
      <c r="P27" s="601"/>
      <c r="Q27" s="901">
        <v>1</v>
      </c>
      <c r="R27" s="907" t="e">
        <f ca="1">'结果表 (1修多)'!G20</f>
        <v>#DIV/0!</v>
      </c>
      <c r="S27" s="600" t="e">
        <f ca="1">ROUND(R27*B27,0)</f>
        <v>#DIV/0!</v>
      </c>
      <c r="T27" s="600" t="e">
        <f ca="1">ROUND(R27*B27/10000,0)</f>
        <v>#DIV/0!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t="e">
        <f t="shared" ref="C28:C91" si="14">IF(B28="",1,(LOOKUP(B28,$6:$6,$7:$7)-LOOKUP($B$27,$6:$6,$7:$7)+100)/100)</f>
        <v>#N/A</v>
      </c>
      <c r="D28" s="601" t="s">
        <v>3047</v>
      </c>
      <c r="E28" s="13">
        <f t="shared" ref="E28:E91" si="15">(SUMIF($8:$8,D28,$9:$9)-SUMIF($8:$8,$D$27,$9:$9)+100)/100</f>
        <v>1.1000000000000001</v>
      </c>
      <c r="F28" s="601" t="s">
        <v>3011</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#DIV/0!</v>
      </c>
      <c r="S28" s="250" t="e">
        <f ca="1">ROUND(R28*B28,0)</f>
        <v>#DIV/0!</v>
      </c>
      <c r="T28" s="901" t="e">
        <f ca="1">ROUND(R28*B28/10000,0)</f>
        <v>#DIV/0!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v>2201</v>
      </c>
      <c r="B29" s="20">
        <v>240.11</v>
      </c>
      <c r="C29" s="13" t="e">
        <f t="shared" si="14"/>
        <v>#N/A</v>
      </c>
      <c r="D29" s="601" t="s">
        <v>3047</v>
      </c>
      <c r="E29" s="13">
        <f t="shared" si="15"/>
        <v>1.1000000000000001</v>
      </c>
      <c r="F29" s="601" t="s">
        <v>3011</v>
      </c>
      <c r="G29" s="13">
        <f t="shared" si="16"/>
        <v>1</v>
      </c>
      <c r="H29" s="601"/>
      <c r="I29" s="13">
        <f t="shared" si="17"/>
        <v>1</v>
      </c>
      <c r="J29" s="601"/>
      <c r="K29" s="13">
        <f t="shared" si="18"/>
        <v>1</v>
      </c>
      <c r="L29" s="601"/>
      <c r="M29" s="13">
        <f t="shared" si="19"/>
        <v>1</v>
      </c>
      <c r="N29" s="601"/>
      <c r="O29" s="13">
        <f t="shared" si="20"/>
        <v>1</v>
      </c>
      <c r="P29" s="601"/>
      <c r="Q29" s="13">
        <f t="shared" si="21"/>
        <v>1</v>
      </c>
      <c r="R29" s="597" t="e">
        <f t="shared" ref="R29:R92" ca="1" si="26">IF(B29="",0,ROUND($R$27*C29*E29*G29*I29*K29*M29*O29*Q29,0))</f>
        <v>#DIV/0!</v>
      </c>
      <c r="S29" s="250" t="e">
        <f t="shared" ref="S29:S92" ca="1" si="27">ROUND(R29*B29,0)</f>
        <v>#DIV/0!</v>
      </c>
      <c r="T29" s="901" t="e">
        <f t="shared" ref="T29:T92" ca="1" si="28">ROUND(R29*B29/10000,0)</f>
        <v>#DIV/0!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52" t="s">
        <v>964</v>
      </c>
      <c r="C1" s="3752"/>
      <c r="D1" s="3752"/>
      <c r="E1" s="3752"/>
      <c r="F1" s="3752"/>
      <c r="G1" s="3748" t="s">
        <v>965</v>
      </c>
      <c r="H1" s="3748"/>
      <c r="I1" s="3748"/>
      <c r="J1" s="3748"/>
      <c r="K1" s="3748"/>
      <c r="L1" s="3748"/>
      <c r="N1" s="3748" t="s">
        <v>966</v>
      </c>
      <c r="O1" s="3748"/>
      <c r="P1" s="3748"/>
      <c r="Q1" s="3748"/>
      <c r="S1" s="3748" t="s">
        <v>967</v>
      </c>
      <c r="T1" s="3748"/>
      <c r="U1" s="3748"/>
      <c r="V1" s="3748"/>
      <c r="X1" s="3747" t="s">
        <v>968</v>
      </c>
      <c r="Y1" s="3748"/>
      <c r="Z1" s="3748"/>
      <c r="AA1" s="3748"/>
      <c r="AB1" s="3748"/>
      <c r="AD1" s="3747" t="s">
        <v>969</v>
      </c>
      <c r="AE1" s="3748"/>
      <c r="AF1" s="3748"/>
      <c r="AG1" s="3748"/>
      <c r="AH1" s="3748"/>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2645</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2971</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0">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2644</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2970</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0">
        <v>2021</v>
      </c>
      <c r="H6" s="2338">
        <v>4</v>
      </c>
      <c r="I6" s="3125">
        <v>0</v>
      </c>
      <c r="J6" s="3125">
        <v>0</v>
      </c>
      <c r="K6" s="3125">
        <v>0</v>
      </c>
      <c r="L6" s="3126">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2824</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7">
        <v>2021</v>
      </c>
      <c r="H7" s="2338">
        <v>3</v>
      </c>
      <c r="I7" s="3125">
        <v>0.47</v>
      </c>
      <c r="J7" s="3125">
        <v>0.41</v>
      </c>
      <c r="K7" s="3125">
        <v>0.48</v>
      </c>
      <c r="L7" s="3126">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2823</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4">
        <v>2021</v>
      </c>
      <c r="H8" s="2338">
        <v>2</v>
      </c>
      <c r="I8" s="3125">
        <v>0.92</v>
      </c>
      <c r="J8" s="3125">
        <v>0.72</v>
      </c>
      <c r="K8" s="3125">
        <v>0.95</v>
      </c>
      <c r="L8" s="3126">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2822</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3">
        <v>2021</v>
      </c>
      <c r="H9" s="2338">
        <v>1</v>
      </c>
      <c r="I9" s="3125">
        <v>0.97</v>
      </c>
      <c r="J9" s="3125">
        <v>0.16</v>
      </c>
      <c r="K9" s="3125">
        <v>1.1100000000000001</v>
      </c>
      <c r="L9" s="3126">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2818</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4">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2817</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3">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2674</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2671</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2669</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2666</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2660</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2661</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2658</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50">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2653</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50"/>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2652</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50"/>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2649</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2646</v>
      </c>
      <c r="B22" s="2346">
        <v>439</v>
      </c>
      <c r="C22" s="2346">
        <v>327</v>
      </c>
      <c r="D22" s="2346">
        <f t="shared" si="169"/>
        <v>327</v>
      </c>
      <c r="E22" s="2346">
        <v>627</v>
      </c>
      <c r="F22" s="2347">
        <v>283</v>
      </c>
      <c r="G22" s="375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2643</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50"/>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50"/>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50"/>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50"/>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51"/>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9">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50"/>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50"/>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51"/>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9">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50"/>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50"/>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51"/>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9">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50"/>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50"/>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51"/>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9">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50">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50">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51">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9">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50">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50">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51">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9">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50">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50">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51">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9">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50">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50">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51">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9">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50">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50">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51">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9">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50">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50">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51">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9">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50">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50">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51">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9">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50">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50">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51">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9">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50">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50">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51">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9">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50">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50">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51">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44727</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ht="14.25">
      <c r="A19" s="3115"/>
      <c r="B19" s="1251" t="s">
        <v>2819</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33" t="s">
        <v>3055</v>
      </c>
    </row>
    <row r="50" spans="1:1">
      <c r="A50" t="s">
        <v>3056</v>
      </c>
    </row>
    <row r="90" spans="1:1">
      <c r="A90" s="3333" t="s">
        <v>3057</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spans="1:5" ht="13.5" customHeight="1">
      <c r="A3" s="1332"/>
      <c r="B3" s="1332"/>
      <c r="C3" s="1332"/>
      <c r="D3" s="1332"/>
      <c r="E3" s="1332"/>
    </row>
    <row r="4" spans="1:5" ht="19.5" thickBot="1">
      <c r="A4" s="3368" t="str">
        <f>IF(项目基本情况!D5="房地产市场价值","估价结果一览表（市场价值不需本页表格)","估价结果一览表")</f>
        <v>估价结果一览表</v>
      </c>
      <c r="B4" s="3368"/>
      <c r="C4" s="3368"/>
      <c r="D4" s="3368"/>
      <c r="E4" s="3368"/>
    </row>
    <row r="5" spans="1:5" ht="14.25" customHeight="1" thickTop="1">
      <c r="A5" s="1329"/>
      <c r="B5" s="1333" t="s">
        <v>742</v>
      </c>
      <c r="C5" s="3369" t="s">
        <v>775</v>
      </c>
      <c r="D5" s="3370"/>
      <c r="E5" s="1329"/>
    </row>
    <row r="6" spans="1:5" ht="14.25">
      <c r="A6" s="1329"/>
      <c r="B6" s="1334" t="str">
        <f>项目基本情况!I1</f>
        <v>北京市房地产</v>
      </c>
      <c r="C6" s="3371">
        <f>项目基本情况!C12</f>
        <v>189.52</v>
      </c>
      <c r="D6" s="3371"/>
      <c r="E6" s="1329"/>
    </row>
    <row r="7" spans="1:5" ht="14.25">
      <c r="A7" s="1329"/>
      <c r="B7" s="3365" t="s">
        <v>776</v>
      </c>
      <c r="C7" s="1335" t="str">
        <f>IF('数据-取费表'!B3="万元","总价（万元）","总价（元）")</f>
        <v>总价（万元）</v>
      </c>
      <c r="D7" s="1336">
        <f ca="1">IF('数据-取费表'!E3="否",结果表!I102,'结果表 (1修多)'!I104)</f>
        <v>464</v>
      </c>
      <c r="E7" s="1329"/>
    </row>
    <row r="8" spans="1:5" ht="14.25">
      <c r="A8" s="1329"/>
      <c r="B8" s="3365"/>
      <c r="C8" s="1337" t="s">
        <v>1106</v>
      </c>
      <c r="D8" s="1338" t="str">
        <f ca="1">IF('数据-取费表'!B3="万元",NUMBERSTRING(INT(D7*10000),2)&amp;"元整",NUMBERSTRING(INT(D7),2)&amp;"元整")</f>
        <v>肆佰陆拾肆万元整</v>
      </c>
      <c r="E8" s="1329"/>
    </row>
    <row r="9" spans="1:5" ht="14.25">
      <c r="A9" s="1329"/>
      <c r="B9" s="3365"/>
      <c r="C9" s="1339" t="s">
        <v>1202</v>
      </c>
      <c r="D9" s="1336">
        <f ca="1">IF('数据-取费表'!E3="否",结果表!I103,'结果表 (1修多)'!I105)</f>
        <v>24472</v>
      </c>
      <c r="E9" s="1329"/>
    </row>
    <row r="10" spans="1:5" ht="14.25">
      <c r="A10" s="1329"/>
      <c r="B10" s="337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7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72" t="str">
        <f>IF('数据-取费表'!E3="否",结果表!F110,'结果表 (1修多)'!F112)</f>
        <v>3.房地产抵押价值</v>
      </c>
      <c r="C15" s="1330" t="str">
        <f>C7</f>
        <v>总价（万元）</v>
      </c>
      <c r="D15" s="1336">
        <f ca="1">IF('数据-取费表'!E3="否",结果表!I110,'结果表 (1修多)'!I112)</f>
        <v>464</v>
      </c>
      <c r="E15" s="1329"/>
    </row>
    <row r="16" spans="1:5" ht="14.25">
      <c r="A16" s="1329"/>
      <c r="B16" s="3372"/>
      <c r="C16" s="1337" t="s">
        <v>1106</v>
      </c>
      <c r="D16" s="1336" t="str">
        <f ca="1">IF('数据-取费表'!B3="万元",NUMBERSTRING(INT(D15*10000),2)&amp;"元整",NUMBERSTRING(INT(D15),2)&amp;"元整")</f>
        <v>肆佰陆拾肆万元整</v>
      </c>
      <c r="E16" s="1329"/>
    </row>
    <row r="17" spans="1:5" ht="14.25">
      <c r="A17" s="1329"/>
      <c r="B17" s="3372"/>
      <c r="C17" s="1339" t="s">
        <v>1202</v>
      </c>
      <c r="D17" s="1336">
        <f ca="1">IF('数据-取费表'!E3="否",结果表!I111,'结果表 (1修多)'!I113)</f>
        <v>24472</v>
      </c>
      <c r="E17" s="1329"/>
    </row>
    <row r="18" spans="1:5" ht="14.25">
      <c r="A18" s="1329"/>
      <c r="B18" s="3372" t="str">
        <f>IF('数据-取费表'!E3="否",结果表!F112,'结果表 (1修多)'!F114)</f>
        <v>——</v>
      </c>
      <c r="C18" s="1330" t="str">
        <f>C7</f>
        <v>总价（万元）</v>
      </c>
      <c r="D18" s="1336" t="str">
        <f>IF('数据-取费表'!E3="否",结果表!I112,'结果表 (1修多)'!I114)</f>
        <v>——</v>
      </c>
      <c r="E18" s="1329"/>
    </row>
    <row r="19" spans="1:5" ht="14.25">
      <c r="A19" s="1329"/>
      <c r="B19" s="3372"/>
      <c r="C19" s="1337" t="s">
        <v>1106</v>
      </c>
      <c r="D19" s="1336" t="e">
        <f>IF('数据-取费表'!B3="万元",NUMBERSTRING(INT(D18*10000),2)&amp;"元整",NUMBERSTRING(INT(D18),2)&amp;"元整")</f>
        <v>#VALUE!</v>
      </c>
      <c r="E19" s="1329"/>
    </row>
    <row r="20" spans="1:5" ht="14.25">
      <c r="A20" s="1329"/>
      <c r="B20" s="3372"/>
      <c r="C20" s="1339" t="s">
        <v>1202</v>
      </c>
      <c r="D20" s="1336" t="str">
        <f>IF('数据-取费表'!E3="否",结果表!I113,'结果表 (1修多)'!I115)</f>
        <v>——</v>
      </c>
      <c r="E20" s="1329"/>
    </row>
    <row r="21" spans="1:5" ht="14.25">
      <c r="A21" s="1329"/>
      <c r="B21" s="3365" t="str">
        <f>IF('数据-取费表'!E3="否",结果表!F114,'结果表 (1修多)'!F116)</f>
        <v>——</v>
      </c>
      <c r="C21" s="1335" t="str">
        <f>C7</f>
        <v>总价（万元）</v>
      </c>
      <c r="D21" s="1336" t="str">
        <f>IF('数据-取费表'!E3="否",结果表!I114,'结果表 (1修多)'!I116)</f>
        <v>——</v>
      </c>
      <c r="E21" s="1329"/>
    </row>
    <row r="22" spans="1:5" ht="14.25">
      <c r="A22" s="1329"/>
      <c r="B22" s="3365"/>
      <c r="C22" s="1337" t="s">
        <v>1106</v>
      </c>
      <c r="D22" s="1338" t="e">
        <f>IF('数据-取费表'!B3="万元",NUMBERSTRING(INT(D21*10000),2)&amp;"元整",NUMBERSTRING(INT(D21),2)&amp;"元整")</f>
        <v>#VALUE!</v>
      </c>
      <c r="E22" s="1329"/>
    </row>
    <row r="23" spans="1:5" ht="15" thickBot="1">
      <c r="A23" s="1329"/>
      <c r="B23" s="336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7" t="s">
        <v>1203</v>
      </c>
      <c r="C25" s="3357"/>
      <c r="D25" s="3357"/>
      <c r="E25" s="1329"/>
    </row>
    <row r="26" spans="1:5" ht="18.75" customHeight="1" thickTop="1">
      <c r="A26" s="1329"/>
      <c r="B26" s="3360" t="s">
        <v>1105</v>
      </c>
      <c r="C26" s="3361"/>
      <c r="D26" s="3358" t="s">
        <v>1104</v>
      </c>
      <c r="E26" s="1329"/>
    </row>
    <row r="27" spans="1:5" ht="18.75" customHeight="1">
      <c r="A27" s="1329"/>
      <c r="B27" s="3362"/>
      <c r="C27" s="3363"/>
      <c r="D27" s="3359"/>
      <c r="E27" s="1329"/>
    </row>
    <row r="28" spans="1:5" ht="14.25">
      <c r="A28" s="1329"/>
      <c r="B28" s="3350" t="s">
        <v>776</v>
      </c>
      <c r="C28" s="1346" t="s">
        <v>1107</v>
      </c>
      <c r="D28" s="1347">
        <f ca="1">IF('数据-取费表'!E3="否",结果表!I102,'结果表 (1修多)'!I104)</f>
        <v>464</v>
      </c>
      <c r="E28" s="1329"/>
    </row>
    <row r="29" spans="1:5" ht="14.25">
      <c r="A29" s="1329"/>
      <c r="B29" s="3351"/>
      <c r="C29" s="1348" t="s">
        <v>1106</v>
      </c>
      <c r="D29" s="1349" t="str">
        <f ca="1">IF('数据-取费表'!B3="万元",NUMBERSTRING(INT(D28*10000),2)&amp;"元整",NUMBERSTRING(INT(D28),2)&amp;"元整")</f>
        <v>肆佰陆拾肆万元整</v>
      </c>
      <c r="E29" s="1329"/>
    </row>
    <row r="30" spans="1:5" ht="14.25">
      <c r="A30" s="1329"/>
      <c r="B30" s="3352"/>
      <c r="C30" s="1339" t="s">
        <v>1109</v>
      </c>
      <c r="D30" s="1350">
        <f ca="1">IF('数据-取费表'!E3="否",结果表!I103,'结果表 (1修多)'!I105)</f>
        <v>24472</v>
      </c>
      <c r="E30" s="1329"/>
    </row>
    <row r="31" spans="1:5" ht="14.25">
      <c r="A31" s="1329"/>
      <c r="B31" s="3355" t="str">
        <f>B10</f>
        <v>2.估价师所知悉的法定优先受偿款</v>
      </c>
      <c r="C31" s="1351" t="s">
        <v>1108</v>
      </c>
      <c r="D31" s="1352">
        <f>IF('数据-取费表'!E3="否",结果表!I105,'结果表 (1修多)'!I107)</f>
        <v>0</v>
      </c>
      <c r="E31" s="1329"/>
    </row>
    <row r="32" spans="1:5" ht="14.25">
      <c r="A32" s="1329"/>
      <c r="B32" s="336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53" t="str">
        <f>B15</f>
        <v>3.房地产抵押价值</v>
      </c>
      <c r="C36" s="1351" t="str">
        <f>C28</f>
        <v>总价</v>
      </c>
      <c r="D36" s="1352">
        <f ca="1">IF('数据-取费表'!E3="否",结果表!I110,'结果表 (1修多)'!I112)</f>
        <v>464</v>
      </c>
      <c r="E36" s="1329"/>
    </row>
    <row r="37" spans="1:5" ht="14.25">
      <c r="A37" s="1329"/>
      <c r="B37" s="3353"/>
      <c r="C37" s="1348" t="s">
        <v>1106</v>
      </c>
      <c r="D37" s="1353" t="str">
        <f ca="1">IF('数据-取费表'!B3="万元",NUMBERSTRING(INT(D36*10000),2)&amp;"元整",NUMBERSTRING(INT(D36),2)&amp;"元整")</f>
        <v>肆佰陆拾肆万元整</v>
      </c>
      <c r="E37" s="1329"/>
    </row>
    <row r="38" spans="1:5" ht="14.25">
      <c r="A38" s="1329"/>
      <c r="B38" s="3353"/>
      <c r="C38" s="1339" t="s">
        <v>1110</v>
      </c>
      <c r="D38" s="1350">
        <f ca="1">IF('数据-取费表'!E3="否",结果表!D113,'结果表 (1修多)'!D117)</f>
        <v>24472</v>
      </c>
      <c r="E38" s="1329"/>
    </row>
    <row r="39" spans="1:5" ht="14.25">
      <c r="A39" s="1329"/>
      <c r="B39" s="3354" t="str">
        <f>B18</f>
        <v>——</v>
      </c>
      <c r="C39" s="1351" t="str">
        <f>C28</f>
        <v>总价</v>
      </c>
      <c r="D39" s="1352" t="str">
        <f>IF('数据-取费表'!E3="否",结果表!I112,'结果表 (1修多)'!I114)</f>
        <v>——</v>
      </c>
      <c r="E39" s="1329"/>
    </row>
    <row r="40" spans="1:5" ht="14.25">
      <c r="A40" s="1329"/>
      <c r="B40" s="3354"/>
      <c r="C40" s="1348" t="s">
        <v>1106</v>
      </c>
      <c r="D40" s="1353" t="e">
        <f>IF('数据-取费表'!B3="万元",NUMBERSTRING(INT(D39*10000),2)&amp;"元整",NUMBERSTRING(INT(D39),2)&amp;"元整")</f>
        <v>#VALUE!</v>
      </c>
      <c r="E40" s="1329"/>
    </row>
    <row r="41" spans="1:5" ht="14.25">
      <c r="A41" s="1329"/>
      <c r="B41" s="3354"/>
      <c r="C41" s="1339" t="s">
        <v>1110</v>
      </c>
      <c r="D41" s="1350" t="str">
        <f>IF('数据-取费表'!E3="否",结果表!D115,'结果表 (1修多)'!D119)</f>
        <v>——</v>
      </c>
      <c r="E41" s="1329"/>
    </row>
    <row r="42" spans="1:5" ht="14.25">
      <c r="A42" s="1329"/>
      <c r="B42" s="3353" t="str">
        <f>B21</f>
        <v>——</v>
      </c>
      <c r="C42" s="1351" t="str">
        <f>C28</f>
        <v>总价</v>
      </c>
      <c r="D42" s="1352" t="str">
        <f>IF('数据-取费表'!E3="否",结果表!I114,'结果表 (1修多)'!I116)</f>
        <v>——</v>
      </c>
      <c r="E42" s="1329"/>
    </row>
    <row r="43" spans="1:5" ht="14.25">
      <c r="A43" s="1329"/>
      <c r="B43" s="3355"/>
      <c r="C43" s="1348" t="s">
        <v>1106</v>
      </c>
      <c r="D43" s="1354" t="e">
        <f>IF('数据-取费表'!B3="万元",NUMBERSTRING(INT(D42*10000),2)&amp;"元整",NUMBERSTRING(INT(D42),2)&amp;"元整")</f>
        <v>#VALUE!</v>
      </c>
      <c r="E43" s="1329"/>
    </row>
    <row r="44" spans="1:5" ht="15" thickBot="1">
      <c r="A44" s="1329"/>
      <c r="B44" s="335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9" t="str">
        <f>IF(项目基本情况!D5="房地产市场价值","估价结果一览表","结果表-2")</f>
        <v>结果表-2</v>
      </c>
      <c r="B1" s="3379"/>
      <c r="C1" s="3379"/>
      <c r="D1" s="3379"/>
      <c r="E1" s="3379"/>
      <c r="F1" s="3379"/>
      <c r="G1" s="3379"/>
      <c r="H1" s="3379"/>
      <c r="I1" s="3379"/>
    </row>
    <row r="2" spans="1:9" ht="30" customHeight="1" thickTop="1">
      <c r="A2" s="3380" t="s">
        <v>1204</v>
      </c>
      <c r="B2" s="3380" t="s">
        <v>1205</v>
      </c>
      <c r="C2" s="3380" t="s">
        <v>1206</v>
      </c>
      <c r="D2" s="3380" t="str">
        <f>IF('数据-取费表'!E3="否",结果表!D119,'结果表 (1修多)'!D123)</f>
        <v>出让国有建设用地使用权价值</v>
      </c>
      <c r="E2" s="3380"/>
      <c r="F2" s="3380" t="s">
        <v>1207</v>
      </c>
      <c r="G2" s="3380"/>
      <c r="H2" s="3380" t="s">
        <v>1208</v>
      </c>
      <c r="I2" s="3380"/>
    </row>
    <row r="3" spans="1:9" ht="15">
      <c r="A3" s="3373"/>
      <c r="B3" s="3373"/>
      <c r="C3" s="3373"/>
      <c r="D3" s="818" t="s">
        <v>1209</v>
      </c>
      <c r="E3" s="818" t="s">
        <v>1210</v>
      </c>
      <c r="F3" s="818" t="s">
        <v>1209</v>
      </c>
      <c r="G3" s="818" t="s">
        <v>1211</v>
      </c>
      <c r="H3" s="818" t="s">
        <v>1209</v>
      </c>
      <c r="I3" s="818" t="s">
        <v>1211</v>
      </c>
    </row>
    <row r="4" spans="1:9" ht="46.5" customHeight="1">
      <c r="A4" s="818" t="str">
        <f>项目基本情况!I1</f>
        <v>北京市房地产</v>
      </c>
      <c r="B4" s="818">
        <f>结果表!B121</f>
        <v>189.52</v>
      </c>
      <c r="C4" s="818">
        <f>结果表!C121</f>
        <v>0</v>
      </c>
      <c r="D4" s="818">
        <f ca="1">IF('数据-取费表'!E3="否",结果表!D121,'结果表 (1修多)'!D125)</f>
        <v>302</v>
      </c>
      <c r="E4" s="818">
        <f ca="1">IF('数据-取费表'!E3="否",结果表!E121,'结果表 (1修多)'!E125)</f>
        <v>15931</v>
      </c>
      <c r="F4" s="818">
        <f ca="1">IF('数据-取费表'!E3="否",结果表!F121,'结果表 (1修多)'!F125)</f>
        <v>162</v>
      </c>
      <c r="G4" s="818">
        <f ca="1">IF('数据-取费表'!E3="否",结果表!G121,'结果表 (1修多)'!G125)</f>
        <v>8541</v>
      </c>
      <c r="H4" s="818">
        <f ca="1">IF('数据-取费表'!E3="否",结果表!H121,'结果表 (1修多)'!H125)</f>
        <v>464</v>
      </c>
      <c r="I4" s="818">
        <f ca="1">IF('数据-取费表'!E3="否",结果表!I121,'结果表 (1修多)'!I125)</f>
        <v>24472</v>
      </c>
    </row>
    <row r="5" spans="1:9" ht="15">
      <c r="A5" s="3373" t="s">
        <v>1212</v>
      </c>
      <c r="B5" s="3373"/>
      <c r="C5" s="3373"/>
      <c r="D5" s="3374" t="str">
        <f ca="1">IF('数据-取费表'!E3="否",结果表!D122,'结果表 (1修多)'!D126)</f>
        <v>叁佰零贰万元整</v>
      </c>
      <c r="E5" s="3374"/>
      <c r="F5" s="3374" t="str">
        <f ca="1">IF('数据-取费表'!E3="否",结果表!F122,'结果表 (1修多)'!F126)</f>
        <v>壹佰陆拾贰万元整</v>
      </c>
      <c r="G5" s="3374"/>
      <c r="H5" s="3374" t="str">
        <f ca="1">IF('数据-取费表'!E3="否",结果表!H122,'结果表 (1修多)'!H126)</f>
        <v>肆佰陆拾肆万元整</v>
      </c>
      <c r="I5" s="3374"/>
    </row>
    <row r="6" spans="1:9" ht="15.75">
      <c r="A6" s="3375" t="str">
        <f>IF('数据-取费表'!E3="否",结果表!A123,'结果表 (1修多)'!A127)</f>
        <v>估价师所知悉的法定优先受偿款</v>
      </c>
      <c r="B6" s="3375"/>
      <c r="C6" s="3375"/>
      <c r="D6" s="3375">
        <f>IF('数据-取费表'!E3="否",结果表!D123,'结果表 (1修多)'!D127)</f>
        <v>0</v>
      </c>
      <c r="E6" s="3375"/>
      <c r="F6" s="3375"/>
      <c r="G6" s="3375"/>
      <c r="H6" s="3375"/>
      <c r="I6" s="3375"/>
    </row>
    <row r="7" spans="1:9" ht="15">
      <c r="A7" s="3373" t="s">
        <v>1212</v>
      </c>
      <c r="B7" s="3373"/>
      <c r="C7" s="3373"/>
      <c r="D7" s="3381">
        <f>IF('数据-取费表'!E3="否",结果表!D124,'结果表 (1修多)'!D128)</f>
        <v>0</v>
      </c>
      <c r="E7" s="3382"/>
      <c r="F7" s="3382"/>
      <c r="G7" s="3382"/>
      <c r="H7" s="3382"/>
      <c r="I7" s="3383"/>
    </row>
    <row r="8" spans="1:9" ht="15.75">
      <c r="A8" s="3375" t="str">
        <f>IF('数据-取费表'!E3="否",结果表!A125,'结果表 (1修多)'!A129)</f>
        <v>房地产抵押价值</v>
      </c>
      <c r="B8" s="3375"/>
      <c r="C8" s="3375"/>
      <c r="D8" s="3375">
        <f ca="1">IF('数据-取费表'!E3="否",结果表!D125,'结果表 (1修多)'!D129)</f>
        <v>464</v>
      </c>
      <c r="E8" s="3375"/>
      <c r="F8" s="3375"/>
      <c r="G8" s="3375"/>
      <c r="H8" s="3375"/>
      <c r="I8" s="3375"/>
    </row>
    <row r="9" spans="1:9" ht="15">
      <c r="A9" s="3373" t="s">
        <v>1212</v>
      </c>
      <c r="B9" s="3373"/>
      <c r="C9" s="3373"/>
      <c r="D9" s="3374">
        <f ca="1">IF('数据-取费表'!E3="否",结果表!D126,'结果表 (1修多)'!D130)</f>
        <v>24472</v>
      </c>
      <c r="E9" s="3374"/>
      <c r="F9" s="3374"/>
      <c r="G9" s="3374"/>
      <c r="H9" s="3374"/>
      <c r="I9" s="3374"/>
    </row>
    <row r="10" spans="1:9" ht="15.75">
      <c r="A10" s="3375" t="str">
        <f>IF('数据-取费表'!E3="否",结果表!A127,'结果表 (1修多)'!A131)</f>
        <v/>
      </c>
      <c r="B10" s="3375"/>
      <c r="C10" s="3375"/>
      <c r="D10" s="3375" t="str">
        <f>IF('数据-取费表'!E3="否",结果表!D127,'结果表 (1修多)'!D130)</f>
        <v>——</v>
      </c>
      <c r="E10" s="3375"/>
      <c r="F10" s="3375"/>
      <c r="G10" s="3375"/>
      <c r="H10" s="3375"/>
      <c r="I10" s="3375"/>
    </row>
    <row r="11" spans="1:9" ht="15">
      <c r="A11" s="3373" t="s">
        <v>1212</v>
      </c>
      <c r="B11" s="3373"/>
      <c r="C11" s="3373"/>
      <c r="D11" s="3374" t="str">
        <f>IF('数据-取费表'!E3="否",结果表!D128,'结果表 (1修多)'!D132)</f>
        <v>——</v>
      </c>
      <c r="E11" s="3374"/>
      <c r="F11" s="3374"/>
      <c r="G11" s="3374"/>
      <c r="H11" s="3374"/>
      <c r="I11" s="3374"/>
    </row>
    <row r="12" spans="1:9" ht="15.75">
      <c r="A12" s="3375" t="str">
        <f>IF('数据-取费表'!E3="否",结果表!A129,'结果表 (1修多)'!A133)</f>
        <v/>
      </c>
      <c r="B12" s="3375"/>
      <c r="C12" s="3375"/>
      <c r="D12" s="3375" t="str">
        <f>IF('数据-取费表'!E3="否",结果表!D129,'结果表 (1修多)'!D133)</f>
        <v>——</v>
      </c>
      <c r="E12" s="3375"/>
      <c r="F12" s="3375"/>
      <c r="G12" s="3375"/>
      <c r="H12" s="3375"/>
      <c r="I12" s="3375"/>
    </row>
    <row r="13" spans="1:9" ht="15.75" thickBot="1">
      <c r="A13" s="3376" t="s">
        <v>1212</v>
      </c>
      <c r="B13" s="3376"/>
      <c r="C13" s="3376"/>
      <c r="D13" s="3377">
        <f>IF('数据-取费表'!E3="否",结果表!D130,'结果表 (1修多)'!D134)</f>
        <v>0</v>
      </c>
      <c r="E13" s="3377"/>
      <c r="F13" s="3377"/>
      <c r="G13" s="3377"/>
      <c r="H13" s="3377"/>
      <c r="I13" s="3377"/>
    </row>
    <row r="14" spans="1:9" ht="15" thickTop="1">
      <c r="A14" s="3378" t="str">
        <f>IF('数据-取费表'!E3="否",结果表!A131,'结果表 (1修多)'!A135)</f>
        <v>单位：平方米、万元、元/平方米（币种：人民币）</v>
      </c>
      <c r="B14" s="3378"/>
      <c r="C14" s="3378"/>
      <c r="D14" s="3378"/>
      <c r="E14" s="3378"/>
      <c r="F14" s="3378"/>
      <c r="G14" s="3378"/>
      <c r="H14" s="3378"/>
      <c r="I14" s="337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5" t="s">
        <v>1225</v>
      </c>
      <c r="B1" s="3385"/>
      <c r="C1" s="3385"/>
      <c r="D1" s="3385"/>
    </row>
    <row r="2" spans="1:4" ht="18">
      <c r="A2" s="3384" t="s">
        <v>1214</v>
      </c>
      <c r="B2" s="3384"/>
      <c r="C2" s="3384"/>
      <c r="D2" s="3384"/>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84" t="s">
        <v>1219</v>
      </c>
      <c r="B7" s="3384"/>
      <c r="C7" s="3384"/>
      <c r="D7" s="338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86" t="s">
        <v>2675</v>
      </c>
      <c r="B12" s="3387"/>
      <c r="C12" s="3387"/>
      <c r="D12" s="3387"/>
    </row>
    <row r="13" spans="1:4" ht="15.75">
      <c r="A13" s="33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7"/>
      <c r="C13" s="3387"/>
      <c r="D13" s="3387"/>
    </row>
    <row r="14" spans="1:4" ht="30" customHeight="1">
      <c r="A14" s="338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7"/>
      <c r="C14" s="3387"/>
      <c r="D14" s="3387"/>
    </row>
    <row r="15" spans="1:4" ht="15.75" customHeight="1">
      <c r="A15" s="3386" t="str">
        <f>IF(项目基本情况!D4="抵押","4.本次评估估价师所知悉的法定优先受偿款情况说明如下：","——")</f>
        <v>4.本次评估估价师所知悉的法定优先受偿款情况说明如下：</v>
      </c>
      <c r="B15" s="3387"/>
      <c r="C15" s="3387"/>
      <c r="D15" s="3387"/>
    </row>
    <row r="16" spans="1:4" ht="75" customHeight="1">
      <c r="A16" s="3386"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6"/>
      <c r="C16" s="3386"/>
      <c r="D16" s="3386"/>
    </row>
    <row r="17" spans="1:4" ht="63.75" customHeight="1">
      <c r="A17" s="3388" t="s">
        <v>1227</v>
      </c>
      <c r="B17" s="3388"/>
      <c r="C17" s="3388"/>
      <c r="D17" s="3388"/>
    </row>
    <row r="18" spans="1:4" ht="15.75" customHeight="1">
      <c r="A18" s="3386" t="str">
        <f>IF(项目基本情况!D4="抵押",结果表!L106,"——")</f>
        <v>本次评估不存在估价师所知悉的法定优先受偿款。</v>
      </c>
      <c r="B18" s="3386"/>
      <c r="C18" s="3386"/>
      <c r="D18" s="3386"/>
    </row>
    <row r="19" spans="1:4" ht="46.5" customHeight="1">
      <c r="A19" s="33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15">
      <c r="A20" s="3388" t="s">
        <v>2676</v>
      </c>
      <c r="B20" s="3388"/>
      <c r="C20" s="3388"/>
      <c r="D20" s="338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94" t="s">
        <v>1306</v>
      </c>
      <c r="B15" s="3389" t="s">
        <v>1307</v>
      </c>
      <c r="C15" s="3390"/>
    </row>
    <row r="16" spans="1:7" ht="14.25">
      <c r="A16" s="3395"/>
      <c r="B16" s="3389" t="s">
        <v>1308</v>
      </c>
      <c r="C16" s="3390"/>
    </row>
    <row r="17" spans="1:3" ht="14.25">
      <c r="A17" s="3395"/>
      <c r="B17" s="3389" t="s">
        <v>1309</v>
      </c>
      <c r="C17" s="3390"/>
    </row>
    <row r="18" spans="1:3" ht="14.25">
      <c r="A18" s="3396"/>
      <c r="B18" s="3391" t="s">
        <v>1310</v>
      </c>
      <c r="C18" s="3390"/>
    </row>
    <row r="19" spans="1:3" ht="14.25">
      <c r="A19" s="1382" t="s">
        <v>1311</v>
      </c>
      <c r="B19" s="1383"/>
      <c r="C19" s="1384"/>
    </row>
    <row r="20" spans="1:3" ht="14.25">
      <c r="A20" s="3392" t="s">
        <v>1312</v>
      </c>
      <c r="B20" s="3391" t="s">
        <v>1313</v>
      </c>
      <c r="C20" s="3390"/>
    </row>
    <row r="21" spans="1:3" ht="14.25">
      <c r="A21" s="3392"/>
      <c r="B21" s="3391" t="s">
        <v>1314</v>
      </c>
      <c r="C21" s="3390"/>
    </row>
    <row r="22" spans="1:3" ht="14.25">
      <c r="A22" s="3392"/>
      <c r="B22" s="3391" t="s">
        <v>1315</v>
      </c>
      <c r="C22" s="3390"/>
    </row>
    <row r="23" spans="1:3" ht="14.25">
      <c r="A23" s="3392"/>
      <c r="B23" s="3393" t="s">
        <v>1316</v>
      </c>
      <c r="C23" s="1385" t="s">
        <v>1317</v>
      </c>
    </row>
    <row r="24" spans="1:3" ht="14.25">
      <c r="A24" s="3392"/>
      <c r="B24" s="3393"/>
      <c r="C24" s="1385" t="s">
        <v>1318</v>
      </c>
    </row>
    <row r="25" spans="1:3" ht="14.25">
      <c r="A25" s="3392"/>
      <c r="B25" s="3393"/>
      <c r="C25" s="1385" t="s">
        <v>1319</v>
      </c>
    </row>
    <row r="26" spans="1:3" ht="14.25">
      <c r="A26" s="3392"/>
      <c r="B26" s="3393"/>
      <c r="C26" s="1385" t="s">
        <v>1320</v>
      </c>
    </row>
    <row r="27" spans="1:3" ht="14.25">
      <c r="A27" s="3392"/>
      <c r="B27" s="3393"/>
      <c r="C27" s="1385" t="s">
        <v>1321</v>
      </c>
    </row>
    <row r="28" spans="1:3" ht="14.25">
      <c r="A28" s="3392"/>
      <c r="B28" s="3393"/>
      <c r="C28" s="1385" t="s">
        <v>1322</v>
      </c>
    </row>
    <row r="29" spans="1:3" ht="14.25">
      <c r="A29" s="3392"/>
      <c r="B29" s="3393"/>
      <c r="C29" s="1385" t="s">
        <v>1323</v>
      </c>
    </row>
    <row r="30" spans="1:3" ht="14.25">
      <c r="A30" s="3392"/>
      <c r="B30" s="3393"/>
      <c r="C30" s="1385" t="s">
        <v>1324</v>
      </c>
    </row>
    <row r="31" spans="1:3" ht="14.25">
      <c r="A31" s="3392"/>
      <c r="B31" s="339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44777</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f ca="1">IF(C4&lt;B2,"已过期",1119970066)</f>
        <v>1119970066</v>
      </c>
      <c r="C4" s="3034">
        <v>44876</v>
      </c>
      <c r="D4" s="3045" t="str">
        <f ca="1">A4&amp;"（注册号："&amp;B4&amp;"）"</f>
        <v>梁津（注册号：1119970066）</v>
      </c>
      <c r="E4" s="3047" t="s">
        <v>753</v>
      </c>
      <c r="F4" s="1272">
        <f ca="1">IF(G4&lt;B2,"已过期",96010014)</f>
        <v>96010014</v>
      </c>
      <c r="G4" s="3035">
        <v>47118</v>
      </c>
      <c r="H4" s="3036" t="str">
        <f ca="1">E4&amp;"（注册号："&amp;F4&amp;"）"</f>
        <v>梁津（注册号：96010014）</v>
      </c>
    </row>
    <row r="5" spans="1:8" ht="24" customHeight="1">
      <c r="A5" s="1272" t="s">
        <v>754</v>
      </c>
      <c r="B5" s="1272">
        <f ca="1">IF(C5&lt;B2,"已过期",1119970111)</f>
        <v>1119970111</v>
      </c>
      <c r="C5" s="3034">
        <v>44876</v>
      </c>
      <c r="D5" s="3045" t="str">
        <f t="shared" ref="D5:D14" ca="1" si="0">A5&amp;"（注册号："&amp;B5&amp;"）"</f>
        <v>叶凌（注册号：1119970111）</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f ca="1">IF(C7&lt;B2,"已过期",1120000080)</f>
        <v>1120000080</v>
      </c>
      <c r="C7" s="3034">
        <v>44876</v>
      </c>
      <c r="D7" s="3045" t="str">
        <f t="shared" ca="1" si="0"/>
        <v>欧红伟（注册号：1120000080）</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f ca="1">IF(C11&lt;B2,"已过期",1120070131)</f>
        <v>1120070131</v>
      </c>
      <c r="C11" s="3034">
        <v>44849</v>
      </c>
      <c r="D11" s="3045" t="str">
        <f t="shared" ca="1" si="0"/>
        <v>郑燚（注册号：1120070131）</v>
      </c>
      <c r="E11" s="3047" t="s">
        <v>760</v>
      </c>
      <c r="F11" s="1272">
        <f ca="1">IF(G11&lt;B2,"已过期",2014110011)</f>
        <v>2014110011</v>
      </c>
      <c r="G11" s="3035">
        <v>49302</v>
      </c>
      <c r="H11" s="3036" t="str">
        <f t="shared" ca="1" si="1"/>
        <v>郑燚（注册号：2014110011）</v>
      </c>
    </row>
    <row r="12" spans="1:8" ht="24" customHeight="1">
      <c r="A12" s="1272" t="s">
        <v>2654</v>
      </c>
      <c r="B12" s="1272">
        <f ca="1">IF(C12&lt;B2,"已过期",1120040230)</f>
        <v>1120040230</v>
      </c>
      <c r="C12" s="3037">
        <v>44864</v>
      </c>
      <c r="D12" s="3045" t="str">
        <f t="shared" ca="1" si="0"/>
        <v>苏海（注册号：1120040230）</v>
      </c>
      <c r="E12" s="3047" t="s">
        <v>2654</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2668</v>
      </c>
      <c r="B14" s="1272">
        <f ca="1">IF(C14&lt;B2,"已过期",1119980106)</f>
        <v>1119980106</v>
      </c>
      <c r="C14" s="3037">
        <v>44969</v>
      </c>
      <c r="D14" s="3045" t="str">
        <f t="shared" ca="1" si="0"/>
        <v>刘俊财（注册号：1119980106）</v>
      </c>
      <c r="E14" s="3047" t="s">
        <v>2767</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2771</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3"/>
      <c r="E18" s="3399" t="s">
        <v>764</v>
      </c>
      <c r="F18" s="3398"/>
      <c r="G18" s="3398"/>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2768</v>
      </c>
      <c r="B20" s="3040" t="s">
        <v>2769</v>
      </c>
      <c r="C20" s="3035">
        <v>44820</v>
      </c>
      <c r="D20" s="3048"/>
      <c r="E20" s="3050" t="s">
        <v>768</v>
      </c>
      <c r="F20" s="3040" t="s">
        <v>769</v>
      </c>
      <c r="G20" s="3041">
        <v>44377</v>
      </c>
    </row>
    <row r="21" spans="1:8" s="3023" customFormat="1" ht="24" customHeight="1">
      <c r="A21" s="3040"/>
      <c r="B21" s="3040"/>
      <c r="C21" s="3042"/>
      <c r="D21" s="3049"/>
      <c r="E21" s="3050" t="s">
        <v>770</v>
      </c>
      <c r="F21" s="3043" t="s">
        <v>2667</v>
      </c>
      <c r="G21" s="3044">
        <v>44012</v>
      </c>
    </row>
    <row r="22" spans="1:8" ht="24" customHeight="1">
      <c r="C22" s="3026"/>
      <c r="D22" s="3026"/>
      <c r="E22" s="3051"/>
      <c r="F22" s="3052"/>
      <c r="G22" s="3053"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40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本次估价的“房地产价值”是指在正常市场情况下，在价值时点2022年6月15日，估价对象规划用途为，假定未设立法定优先受偿款下的房地产市场价值。</v>
      </c>
    </row>
    <row r="54" spans="1:4">
      <c r="A54" s="3400"/>
      <c r="B54" s="9" t="s">
        <v>1462</v>
      </c>
      <c r="C54" s="9" t="s">
        <v>1463</v>
      </c>
    </row>
    <row r="55" spans="1:4">
      <c r="A55" s="3400"/>
      <c r="B55" s="9" t="s">
        <v>1464</v>
      </c>
      <c r="C55" s="9" t="s">
        <v>1465</v>
      </c>
    </row>
    <row r="56" spans="1:4">
      <c r="A56" s="3400"/>
      <c r="B56" s="9" t="s">
        <v>1466</v>
      </c>
      <c r="C56" s="9" t="s">
        <v>1467</v>
      </c>
    </row>
    <row r="57" spans="1:4">
      <c r="A57" s="340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2022-08-04T07:41:05Z</dcterms:modified>
</cp:coreProperties>
</file>