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D:\工作\2025-1-E000013密云区住宅用地\"/>
    </mc:Choice>
  </mc:AlternateContent>
  <xr:revisionPtr revIDLastSave="0" documentId="13_ncr:1_{AB811AE1-19F3-4299-BE2D-719E85633FEA}" xr6:coauthVersionLast="47" xr6:coauthVersionMax="47" xr10:uidLastSave="{00000000-0000-0000-0000-000000000000}"/>
  <bookViews>
    <workbookView xWindow="-120" yWindow="-120" windowWidth="21840" windowHeight="131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规证面积" sheetId="81" r:id="rId15"/>
    <sheet name="数据-汇总表" sheetId="6" r:id="rId16"/>
    <sheet name="数据-取费表" sheetId="1" r:id="rId17"/>
    <sheet name="估价对象房地状况" sheetId="20" state="hidden" r:id="rId18"/>
    <sheet name="系统读取表" sheetId="74" r:id="rId19"/>
    <sheet name="结果表-住宅" sheetId="9" r:id="rId20"/>
    <sheet name="成本法" sheetId="68" state="hidden"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住宅案例" sheetId="82" r:id="rId29"/>
    <sheet name="比较法-商业" sheetId="33" state="hidden" r:id="rId30"/>
    <sheet name="比较法-办公" sheetId="34" state="hidden" r:id="rId31"/>
    <sheet name="比较法-工业" sheetId="37" state="hidden" r:id="rId32"/>
    <sheet name="结果表-车位" sheetId="84" r:id="rId33"/>
    <sheet name="比较法-车位" sheetId="35" r:id="rId34"/>
    <sheet name="车位案例" sheetId="83"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5"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5">'比较法-仓储'!$A$1:$K$42,'比较法-仓储'!$A$45:$M$96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2">假设开发法!$A$1:$K$32</definedName>
    <definedName name="_xlnm.Print_Area" localSheetId="32">'结果表-车位'!$A$1:$I$127</definedName>
    <definedName name="_xlnm.Print_Area" localSheetId="19">'结果表-住宅'!$A$1:$I$127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'[1]不动产比较法-办公'!$B$119:$M$119</definedName>
    <definedName name="办公层高">'比较法-办公'!$B$119:$M$119</definedName>
    <definedName name="办公朝向" localSheetId="13">'[1]不动产比较法-办公'!$B$91:$M$91</definedName>
    <definedName name="办公朝向">'比较法-办公'!$B$91:$M$91</definedName>
    <definedName name="办公道路级别" localSheetId="13">'[1]不动产比较法-办公'!$B$87:$M$87</definedName>
    <definedName name="办公道路级别">'比较法-办公'!$B$87:$M$87</definedName>
    <definedName name="办公公共部分装修" localSheetId="13">'[1]不动产比较法-办公'!$B$108:$M$108</definedName>
    <definedName name="办公公共部分装修">'比较法-办公'!$B$108:$M$108</definedName>
    <definedName name="办公基础设施水平" localSheetId="13">'[1]不动产比较法-办公'!$B$117:$M$117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'比较法-办公'!$B$106:$M$106</definedName>
    <definedName name="办公建筑类型" localSheetId="13">'[1]不动产比较法-办公'!$B$101:$M$101</definedName>
    <definedName name="办公建筑类型">'比较法-办公'!$B$101:$M$101</definedName>
    <definedName name="办公交易情况" localSheetId="13">'[1]不动产比较法-办公'!$A$62:$M$62</definedName>
    <definedName name="办公交易情况">'比较法-办公'!$A$62:$M$62</definedName>
    <definedName name="办公楼层" localSheetId="13">'[1]不动产比较法-办公'!$B$89:$M$89</definedName>
    <definedName name="办公楼层">'比较法-办公'!$B$89:$M$89</definedName>
    <definedName name="办公内部装修" localSheetId="13">'[1]不动产比较法-办公'!$B$123:$M$123</definedName>
    <definedName name="办公内部装修">'比较法-办公'!$B$123:$M$123</definedName>
    <definedName name="办公物业管理" localSheetId="13">'[1]不动产比较法-办公'!$B$115:$M$115</definedName>
    <definedName name="办公物业管理">'比较法-办公'!$B$115:$M$115</definedName>
    <definedName name="办公用途" localSheetId="13">'[1]不动产比较法-办公'!$B$64:$M$64</definedName>
    <definedName name="办公用途">'比较法-办公'!$B$64:$M$64</definedName>
    <definedName name="仓储公共部分装修" localSheetId="13">'[1]不动产比较法-仓储'!$B$77:$M$77</definedName>
    <definedName name="仓储公共部分装修">'比较法-仓储'!$B$77:$M$77</definedName>
    <definedName name="仓储交易情况" localSheetId="13">'[1]不动产比较法-仓储'!$A$49:$M$49</definedName>
    <definedName name="仓储交易情况">'比较法-仓储'!$A$49:$M$49</definedName>
    <definedName name="仓储楼层" localSheetId="13">'[1]不动产比较法-仓储'!$B$69:$M$69</definedName>
    <definedName name="仓储楼层">'比较法-仓储'!$B$69:$M$69</definedName>
    <definedName name="仓储物业等级" localSheetId="13">'[1]不动产比较法-仓储'!$B$82:$M$82</definedName>
    <definedName name="仓储物业等级">'比较法-仓储'!$B$82:$M$82</definedName>
    <definedName name="仓储用途" localSheetId="13">'[1]不动产比较法-仓储'!$B$51:$M$51</definedName>
    <definedName name="仓储用途">'比较法-仓储'!$B$51:$M$51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'比较法-车位'!$B$83:$M$83</definedName>
    <definedName name="车位交易情况" localSheetId="13">'[1]不动产比较法-车位'!$A$51:$M$51</definedName>
    <definedName name="车位交易情况">'比较法-车位'!$A$51:$M$51</definedName>
    <definedName name="车位类型" localSheetId="13">'[1]不动产比较法-车位'!$B$93:$M$93</definedName>
    <definedName name="车位类型">'比较法-车位'!$B$93:$M$93</definedName>
    <definedName name="车位楼层" localSheetId="13">'[1]不动产比较法-车位'!$B$71:$M$71</definedName>
    <definedName name="车位楼层">'比较法-车位'!$B$71:$M$71</definedName>
    <definedName name="车位配套类型" localSheetId="13">'[1]不动产比较法-车位'!$B$79:$M$79</definedName>
    <definedName name="车位配套类型">'比较法-车位'!$B$79:$M$79</definedName>
    <definedName name="车位物业等级" localSheetId="13">'[1]不动产比较法-车位'!$B$88:$M$88</definedName>
    <definedName name="车位物业等级">'比较法-车位'!$B$88:$M$88</definedName>
    <definedName name="车位用途" localSheetId="13">'[1]不动产比较法-车位'!$B$53:$M$53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[1]定义!$G$2:$G$5</definedName>
    <definedName name="法定最高年限">定义!$G$1:$G$6</definedName>
    <definedName name="工业公共部分装修" localSheetId="13">'[1]不动产比较法-工业'!$B$95:$M$95</definedName>
    <definedName name="工业公共部分装修">'比较法-工业'!$B$95:$M$95</definedName>
    <definedName name="工业基础设施水平" localSheetId="13">'[1]不动产比较法-工业'!$B$102:$M$102</definedName>
    <definedName name="工业基础设施水平">'比较法-工业'!$B$102:$M$102</definedName>
    <definedName name="工业建筑结构" localSheetId="13">'[1]不动产比较法-工业'!$B$93:$M$93</definedName>
    <definedName name="工业建筑结构">'比较法-工业'!$B$93:$M$93</definedName>
    <definedName name="工业建筑类型" localSheetId="13">'[1]不动产比较法-工业'!$B$88:$M$88</definedName>
    <definedName name="工业建筑类型">'比较法-工业'!$B$88:$M$88</definedName>
    <definedName name="工业交易情况" localSheetId="13">'[1]不动产比较法-工业'!$A$55:$M$55</definedName>
    <definedName name="工业交易情况">'比较法-工业'!$A$55:$M$55</definedName>
    <definedName name="工业内部装修" localSheetId="13">'[1]不动产比较法-工业'!$B$104:$M$104</definedName>
    <definedName name="工业内部装修">'比较法-工业'!$B$104:$M$104</definedName>
    <definedName name="工业物业管理" localSheetId="13">'[1]不动产比较法-工业'!$B$100:$M$100</definedName>
    <definedName name="工业物业管理">'比较法-工业'!$B$100:$M$100</definedName>
    <definedName name="工业用途" localSheetId="13">'[1]不动产比较法-工业'!$B$57:$M$57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'[1]不动产比较法-商业'!$B$116:$M$116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'比较法-商业'!$B$107:$M$107</definedName>
    <definedName name="商业基础设施水平" localSheetId="13">'[1]不动产比较法-商业'!$B$112:$M$112</definedName>
    <definedName name="商业基础设施水平">'比较法-商业'!$B$112:$M$112</definedName>
    <definedName name="商业建筑结构" localSheetId="13">'[1]不动产比较法-商业'!$B$105:$M$105</definedName>
    <definedName name="商业建筑结构">'比较法-商业'!$B$105:$M$105</definedName>
    <definedName name="商业交易情况" localSheetId="13">'[1]不动产比较法-商业'!$A$61:$M$61</definedName>
    <definedName name="商业交易情况">'比较法-商业'!$A$61:$M$61</definedName>
    <definedName name="商业街名称" localSheetId="13">[1]修正!$C$71:$C$139</definedName>
    <definedName name="商业街名称">修正!$C$71:$C$138</definedName>
    <definedName name="商业进深比" localSheetId="13">'[1]不动产比较法-商业'!$B$120:$M$120</definedName>
    <definedName name="商业进深比">'比较法-商业'!$B$120:$M$120</definedName>
    <definedName name="商业类型" localSheetId="13">'[1]不动产比较法-商业'!$B$100:$M$100</definedName>
    <definedName name="商业类型">'比较法-商业'!$B$100:$M$100</definedName>
    <definedName name="商业临街状况" localSheetId="13">'[1]不动产比较法-商业'!$B$86:$M$86</definedName>
    <definedName name="商业临街状况">'比较法-商业'!$B$86:$M$86</definedName>
    <definedName name="商业楼层" localSheetId="13">'[1]不动产比较法-商业'!$B$92:$M$92</definedName>
    <definedName name="商业楼层">'比较法-商业'!$B$92:$M$92</definedName>
    <definedName name="商业内部装修" localSheetId="13">'[1]不动产比较法-商业'!$B$122:$M$122</definedName>
    <definedName name="商业内部装修">'比较法-商业'!$B$122:$M$122</definedName>
    <definedName name="商业人流量" localSheetId="13">'[1]不动产比较法-商业'!$B$90:$M$90</definedName>
    <definedName name="商业人流量">'比较法-商业'!$B$90:$M$90</definedName>
    <definedName name="商业业态" localSheetId="13">'[1]不动产比较法-商业'!$B$114:$M$114</definedName>
    <definedName name="商业业态">'比较法-商业'!$B$114:$M$114</definedName>
    <definedName name="商业用途" localSheetId="13">'[1]不动产比较法-商业'!$B$63:$M$63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'[1]不动产比较法-仓储'!$B$89:$M$89</definedName>
    <definedName name="是否封闭">'比较法-仓储'!$B$89:$M$89</definedName>
    <definedName name="是否直接入户" localSheetId="13">'[1]不动产比较法-车位'!$B$95:$M$95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13">'[1]比较法-住宅、综合'!$A$74:$M$74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3">'[1]比较法-工业'!$B$100:$M$100</definedName>
    <definedName name="套工土地级别">'土地比较法-工业'!$B$99:$M$99</definedName>
    <definedName name="套工用途" localSheetId="13">'[1]比较法-工业'!$B$71:$M$71</definedName>
    <definedName name="套工用途">'土地比较法-工业'!$B$70:$M$70</definedName>
    <definedName name="套工宗地开发程度">'土地比较法-工业'!$B$112:$M$112</definedName>
    <definedName name="套工宗地形状" localSheetId="13">'[1]比较法-工业'!$B$111:$M$111</definedName>
    <definedName name="套工宗地形状">'土地比较法-工业'!$B$110:$M$110</definedName>
    <definedName name="套综道路等级" localSheetId="13">'[1]比较法-住宅、综合'!$B$107:$M$107</definedName>
    <definedName name="套综道路等级">'土地比较法-住宅、综合'!$B$105:$M$105</definedName>
    <definedName name="套综工程地质条件" localSheetId="13">'[1]比较法-住宅、综合'!$B$126:$M$126</definedName>
    <definedName name="套综工程地质条件">'土地比较法-住宅、综合'!$B$124:$M$124</definedName>
    <definedName name="套综交易情况" localSheetId="13">'[1]比较法-住宅、综合'!$A$74:$M$74</definedName>
    <definedName name="套综交易情况">'土地比较法-住宅、综合'!$A$72:$M$72</definedName>
    <definedName name="套综临街宽度及深度" localSheetId="13">'[1]比较法-住宅、综合'!$B$122:$M$122</definedName>
    <definedName name="套综临街宽度及深度">'土地比较法-住宅、综合'!$B$120:$M$120</definedName>
    <definedName name="套综土地级别" localSheetId="13">'[1]比较法-住宅、综合'!$B$109:$M$109</definedName>
    <definedName name="套综土地级别">'土地比较法-住宅、综合'!$B$107:$M$107</definedName>
    <definedName name="套综用途" localSheetId="13">'[1]比较法-住宅、综合'!$B$76:$M$76</definedName>
    <definedName name="套综用途">'土地比较法-住宅、综合'!$B$74:$M$74</definedName>
    <definedName name="套综宗地内开发程度" localSheetId="13">'[1]比较法-住宅、综合'!$B$124:$M$124</definedName>
    <definedName name="套综宗地内开发程度">'土地比较法-住宅、综合'!$B$122:$M$122</definedName>
    <definedName name="套综宗地形状" localSheetId="13">'[1]比较法-住宅、综合'!$B$120:$M$120</definedName>
    <definedName name="套综宗地形状">'土地比较法-住宅、综合'!$B$118:$M$118</definedName>
    <definedName name="土地估价师" localSheetId="13">[1]估价师及机构信息!$D$3:$D$17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'[2]数据-汇总表'!$C$17:$C$26</definedName>
    <definedName name="项目类型">'数据-汇总表'!$C$17:$C$26</definedName>
    <definedName name="写字楼等级" localSheetId="13">'[1]不动产比较法-办公'!$B$113:$M$113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[1]定义!$A$1:$A$50</definedName>
    <definedName name="用途明细">定义!$A$1:$A$50</definedName>
    <definedName name="有无电梯" localSheetId="13">'[1]不动产比较法-仓储'!$B$84:$M$84</definedName>
    <definedName name="有无电梯">'比较法-仓储'!$B$84:$M$84</definedName>
    <definedName name="主用途" localSheetId="13">[1]定义!$F$1:$F$12</definedName>
    <definedName name="主用途">定义!$F$1:$F$12</definedName>
    <definedName name="住宅朝向" localSheetId="13">'[1]不动产比较法-住宅'!$B$88:$M$88</definedName>
    <definedName name="住宅朝向">'比较法-住宅'!$B$88:$M$88</definedName>
    <definedName name="住宅房型" localSheetId="13">'[1]不动产比较法-住宅'!$B$118:$M$118</definedName>
    <definedName name="住宅房型">'比较法-住宅'!$B$118:$M$118</definedName>
    <definedName name="住宅公共部分装修" localSheetId="13">'[1]不动产比较法-住宅'!$B$109:$M$109</definedName>
    <definedName name="住宅公共部分装修">'比较法-住宅'!$B$109:$M$109</definedName>
    <definedName name="住宅基础设施水平" localSheetId="13">'[1]不动产比较法-住宅'!$B$116:$M$116</definedName>
    <definedName name="住宅基础设施水平">'比较法-住宅'!$B$116:$M$116</definedName>
    <definedName name="住宅建筑结构" localSheetId="13">'[1]不动产比较法-住宅'!$B$105:$M$105</definedName>
    <definedName name="住宅建筑结构">'比较法-住宅'!$B$105:$M$105</definedName>
    <definedName name="住宅建筑类型" localSheetId="13">'[1]不动产比较法-住宅'!$B$100:$M$100</definedName>
    <definedName name="住宅建筑类型">'比较法-住宅'!$B$100:$M$100</definedName>
    <definedName name="住宅建筑品质" localSheetId="13">'[1]不动产比较法-住宅'!$B$107:$M$107</definedName>
    <definedName name="住宅建筑品质">'比较法-住宅'!$B$107:$M$107</definedName>
    <definedName name="住宅交易情况" localSheetId="13">'[1]不动产比较法-住宅'!$A$61:$M$61</definedName>
    <definedName name="住宅交易情况">'比较法-住宅'!$A$61:$M$61</definedName>
    <definedName name="住宅楼层" localSheetId="13">'[1]不动产比较法-住宅'!$B$86:$M$86</definedName>
    <definedName name="住宅楼层">'比较法-住宅'!$B$86:$M$86</definedName>
    <definedName name="住宅内部装修" localSheetId="13">'[1]不动产比较法-住宅'!$B$122:$M$122</definedName>
    <definedName name="住宅内部装修">'比较法-住宅'!$B$122:$M$122</definedName>
    <definedName name="住宅物业管理" localSheetId="13">'[1]不动产比较法-住宅'!$B$114:$M$114</definedName>
    <definedName name="住宅物业管理">'比较法-住宅'!$B$114:$M$114</definedName>
    <definedName name="住宅用途" localSheetId="1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O72" i="81" l="1"/>
  <c r="O71" i="81"/>
  <c r="O70" i="81"/>
  <c r="P64" i="81"/>
  <c r="P97" i="81"/>
  <c r="P58" i="81"/>
  <c r="U64" i="81"/>
  <c r="P101" i="81"/>
  <c r="P99" i="81" s="1"/>
  <c r="P98" i="81"/>
  <c r="P94" i="81"/>
  <c r="P93" i="81" s="1"/>
  <c r="U67" i="81"/>
  <c r="P66" i="81"/>
  <c r="P61" i="81" s="1"/>
  <c r="P65" i="81"/>
  <c r="U65" i="81" s="1"/>
  <c r="U63" i="81"/>
  <c r="U62" i="81"/>
  <c r="P60" i="81"/>
  <c r="U59" i="81"/>
  <c r="U57" i="81"/>
  <c r="U56" i="81"/>
  <c r="U58" i="81" l="1"/>
  <c r="U60" i="81"/>
  <c r="U55" i="81"/>
  <c r="P55" i="81"/>
  <c r="P54" i="81" s="1"/>
  <c r="U66" i="81"/>
  <c r="U61" i="81" s="1"/>
  <c r="U54" i="81" l="1"/>
  <c r="K43" i="81" l="1"/>
  <c r="L43" i="81"/>
  <c r="AH7" i="1" s="1"/>
  <c r="M41" i="81"/>
  <c r="Q11" i="81"/>
  <c r="Q7" i="81"/>
  <c r="I37" i="35"/>
  <c r="I31" i="35"/>
  <c r="G37" i="35"/>
  <c r="G31" i="35"/>
  <c r="E37" i="35"/>
  <c r="E31" i="35"/>
  <c r="I29" i="35"/>
  <c r="G29" i="35"/>
  <c r="Q149" i="83"/>
  <c r="Q148" i="83"/>
  <c r="R87" i="83"/>
  <c r="R86" i="83"/>
  <c r="T52" i="83"/>
  <c r="T51" i="83"/>
  <c r="I7" i="35"/>
  <c r="G7" i="35"/>
  <c r="E7" i="35"/>
  <c r="C21" i="35"/>
  <c r="C19" i="35"/>
  <c r="C17" i="35"/>
  <c r="C15" i="35"/>
  <c r="I37" i="21"/>
  <c r="Q3" i="81"/>
  <c r="I7" i="21"/>
  <c r="G7" i="21"/>
  <c r="E7" i="21"/>
  <c r="A126" i="84"/>
  <c r="A124" i="84"/>
  <c r="A122" i="84"/>
  <c r="A120" i="84"/>
  <c r="A118" i="84"/>
  <c r="E111" i="84"/>
  <c r="H112" i="84" s="1"/>
  <c r="E109" i="84"/>
  <c r="H109" i="84" s="1"/>
  <c r="E107" i="84"/>
  <c r="H106" i="84"/>
  <c r="H105" i="84"/>
  <c r="H104" i="84"/>
  <c r="H103" i="84"/>
  <c r="D120" i="84" s="1"/>
  <c r="D101" i="84"/>
  <c r="C101" i="84"/>
  <c r="C91" i="84"/>
  <c r="E90" i="84"/>
  <c r="D89" i="84"/>
  <c r="C89" i="84" s="1"/>
  <c r="C87" i="84" s="1"/>
  <c r="H77" i="84"/>
  <c r="D77" i="84"/>
  <c r="C77" i="84" s="1"/>
  <c r="C74" i="84" s="1"/>
  <c r="C76" i="84"/>
  <c r="F59" i="84"/>
  <c r="E59" i="84"/>
  <c r="N55" i="84" s="1"/>
  <c r="N56" i="84"/>
  <c r="M56" i="84"/>
  <c r="K56" i="84"/>
  <c r="J56" i="84"/>
  <c r="F56" i="84"/>
  <c r="O55" i="84"/>
  <c r="K55" i="84"/>
  <c r="J55" i="84"/>
  <c r="J57" i="84" s="1"/>
  <c r="J59" i="84" s="1"/>
  <c r="J61" i="84" s="1"/>
  <c r="I55" i="84"/>
  <c r="F55" i="84"/>
  <c r="O53" i="84" s="1"/>
  <c r="O54" i="84"/>
  <c r="N54" i="84"/>
  <c r="N53" i="84"/>
  <c r="K49" i="84"/>
  <c r="E48" i="84"/>
  <c r="N52" i="84" s="1"/>
  <c r="D48" i="84"/>
  <c r="M52" i="84" s="1"/>
  <c r="M47" i="84"/>
  <c r="F33" i="84"/>
  <c r="D27" i="84"/>
  <c r="C25" i="84"/>
  <c r="C24" i="84"/>
  <c r="D17" i="84"/>
  <c r="C17" i="84"/>
  <c r="L4" i="84"/>
  <c r="K4" i="84"/>
  <c r="A2" i="84"/>
  <c r="H1" i="84"/>
  <c r="D35" i="84"/>
  <c r="D34" i="84"/>
  <c r="M43" i="81" l="1"/>
  <c r="C31" i="35" s="1"/>
  <c r="C18" i="84"/>
  <c r="D18" i="84" s="1"/>
  <c r="D124" i="84"/>
  <c r="D125" i="84" s="1"/>
  <c r="H110" i="84"/>
  <c r="C92" i="84"/>
  <c r="C94" i="84"/>
  <c r="D121" i="84"/>
  <c r="K120" i="84"/>
  <c r="H111" i="84"/>
  <c r="D126" i="84" s="1"/>
  <c r="D127" i="84" s="1"/>
  <c r="M42" i="81" l="1"/>
  <c r="C20" i="6"/>
  <c r="C19" i="6"/>
  <c r="I13" i="3"/>
  <c r="F19" i="6" s="1"/>
  <c r="B14" i="74" s="1"/>
  <c r="E42" i="81"/>
  <c r="K14" i="3" s="1"/>
  <c r="G20" i="6" s="1"/>
  <c r="B15" i="74" s="1"/>
  <c r="O100" i="80" l="1"/>
  <c r="O98" i="80"/>
  <c r="O97" i="80"/>
  <c r="O96" i="80"/>
  <c r="O93" i="80" s="1"/>
  <c r="O92" i="80" s="1"/>
  <c r="R89" i="80"/>
  <c r="R88" i="80"/>
  <c r="O88" i="80"/>
  <c r="R87" i="80"/>
  <c r="O87" i="80"/>
  <c r="R86" i="80"/>
  <c r="R85" i="80"/>
  <c r="S84" i="80"/>
  <c r="R84" i="80"/>
  <c r="O83" i="80"/>
  <c r="O82" i="80"/>
  <c r="R82" i="80" s="1"/>
  <c r="R81" i="80"/>
  <c r="O80" i="80"/>
  <c r="R80" i="80" s="1"/>
  <c r="R79" i="80"/>
  <c r="R78" i="80"/>
  <c r="Z18" i="80"/>
  <c r="Y18" i="80"/>
  <c r="R18" i="80"/>
  <c r="Q18" i="80" s="1"/>
  <c r="Z17" i="80"/>
  <c r="Y17" i="80"/>
  <c r="R17" i="80"/>
  <c r="Q17" i="80" s="1"/>
  <c r="Z16" i="80"/>
  <c r="Y16" i="80"/>
  <c r="R16" i="80"/>
  <c r="Q16" i="80" s="1"/>
  <c r="Z15" i="80"/>
  <c r="Y15" i="80"/>
  <c r="R15" i="80"/>
  <c r="Q15" i="80" s="1"/>
  <c r="Z14" i="80"/>
  <c r="Y14" i="80"/>
  <c r="R14" i="80"/>
  <c r="Q14" i="80" s="1"/>
  <c r="Z13" i="80"/>
  <c r="Y13" i="80"/>
  <c r="R13" i="80"/>
  <c r="Q13" i="80" s="1"/>
  <c r="Z12" i="80"/>
  <c r="Y12" i="80"/>
  <c r="R12" i="80"/>
  <c r="Q12" i="80" s="1"/>
  <c r="Z11" i="80"/>
  <c r="Y11" i="80"/>
  <c r="R11" i="80"/>
  <c r="Q11" i="80" s="1"/>
  <c r="Z10" i="80"/>
  <c r="Y10" i="80"/>
  <c r="R10" i="80"/>
  <c r="Q10" i="80" s="1"/>
  <c r="Z9" i="80"/>
  <c r="Y9" i="80"/>
  <c r="R9" i="80"/>
  <c r="Q9" i="80" s="1"/>
  <c r="Z8" i="80"/>
  <c r="Y8" i="80"/>
  <c r="R8" i="80"/>
  <c r="Q8" i="80" s="1"/>
  <c r="Z7" i="80"/>
  <c r="Y7" i="80"/>
  <c r="R7" i="80"/>
  <c r="Q7" i="80" s="1"/>
  <c r="Z6" i="80"/>
  <c r="Y6" i="80"/>
  <c r="R6" i="80"/>
  <c r="Q6" i="80" s="1"/>
  <c r="Z5" i="80"/>
  <c r="Y5" i="80"/>
  <c r="R5" i="80"/>
  <c r="Q5" i="80" s="1"/>
  <c r="Z4" i="80"/>
  <c r="Y4" i="80"/>
  <c r="R4" i="80"/>
  <c r="Q4" i="80" s="1"/>
  <c r="Q1" i="80"/>
  <c r="R83" i="80" l="1"/>
  <c r="R77" i="80"/>
  <c r="R76" i="80" s="1"/>
  <c r="O77" i="80"/>
  <c r="O76" i="80" s="1"/>
  <c r="T84" i="80"/>
  <c r="C60" i="78" l="1"/>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C47" i="71"/>
  <c r="D47" i="71" s="1"/>
  <c r="D46"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B68" i="43"/>
  <c r="S18" i="36"/>
  <c r="H25" i="40"/>
  <c r="AB25" i="40" s="1"/>
  <c r="J25" i="40"/>
  <c r="H29" i="39"/>
  <c r="J29" i="39"/>
  <c r="AC29" i="39" s="1"/>
  <c r="J18" i="36"/>
  <c r="AC18" i="36" s="1"/>
  <c r="H18" i="35"/>
  <c r="AB18" i="35" s="1"/>
  <c r="J18" i="35"/>
  <c r="W18" i="35" s="1"/>
  <c r="H21" i="37"/>
  <c r="F21" i="37"/>
  <c r="H21" i="34"/>
  <c r="AB21" i="34" s="1"/>
  <c r="H21" i="33"/>
  <c r="U21" i="33" s="1"/>
  <c r="F21" i="33"/>
  <c r="E83" i="21"/>
  <c r="F83" i="21" s="1"/>
  <c r="H1" i="69"/>
  <c r="AC25" i="40"/>
  <c r="W25" i="40"/>
  <c r="U25" i="40"/>
  <c r="W29" i="39"/>
  <c r="W18" i="36"/>
  <c r="AB21" i="37"/>
  <c r="U21" i="37"/>
  <c r="U21" i="34"/>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B99" i="35"/>
  <c r="B97" i="35"/>
  <c r="H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F44" i="21" s="1"/>
  <c r="B98" i="21"/>
  <c r="H31" i="21" s="1"/>
  <c r="B96" i="21"/>
  <c r="B94" i="21"/>
  <c r="J29" i="21" s="1"/>
  <c r="AC29" i="21" s="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AB39" i="21" s="1"/>
  <c r="J34" i="21"/>
  <c r="W34" i="21" s="1"/>
  <c r="H36" i="21"/>
  <c r="U36" i="21"/>
  <c r="F35" i="21"/>
  <c r="AA35" i="21" s="1"/>
  <c r="J10" i="21"/>
  <c r="AC10" i="21" s="1"/>
  <c r="H26" i="21"/>
  <c r="AB26" i="21" s="1"/>
  <c r="AB19" i="21"/>
  <c r="J19" i="21"/>
  <c r="W19" i="21" s="1"/>
  <c r="J26" i="21"/>
  <c r="W26" i="21"/>
  <c r="F26" i="21"/>
  <c r="S26" i="21" s="1"/>
  <c r="AB41" i="21"/>
  <c r="F45" i="39"/>
  <c r="S45" i="39" s="1"/>
  <c r="J45" i="39"/>
  <c r="W45" i="39" s="1"/>
  <c r="J44" i="39"/>
  <c r="AC44" i="39"/>
  <c r="F36" i="39"/>
  <c r="S36" i="39" s="1"/>
  <c r="H36" i="39"/>
  <c r="AB36" i="39" s="1"/>
  <c r="J35" i="39"/>
  <c r="AC35" i="39" s="1"/>
  <c r="F35" i="39"/>
  <c r="AA35" i="39" s="1"/>
  <c r="U9" i="39"/>
  <c r="W40"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s="1"/>
  <c r="U31" i="35"/>
  <c r="F36" i="34"/>
  <c r="J35" i="34"/>
  <c r="H39" i="33"/>
  <c r="AB39" i="33" s="1"/>
  <c r="AA26" i="33"/>
  <c r="U33" i="33"/>
  <c r="U35" i="33"/>
  <c r="W33" i="33"/>
  <c r="W39" i="33"/>
  <c r="H39" i="37"/>
  <c r="AB39" i="37" s="1"/>
  <c r="F11" i="40"/>
  <c r="AA11" i="40" s="1"/>
  <c r="H11" i="40"/>
  <c r="AB11" i="40"/>
  <c r="W8" i="40"/>
  <c r="AB39" i="40"/>
  <c r="U9" i="40"/>
  <c r="S34"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5" i="39"/>
  <c r="H11" i="39"/>
  <c r="S40"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AB16" i="35" s="1"/>
  <c r="F16" i="35"/>
  <c r="S16" i="35" s="1"/>
  <c r="H14" i="35"/>
  <c r="AB14" i="35"/>
  <c r="J29" i="35"/>
  <c r="H33" i="35"/>
  <c r="J20" i="35"/>
  <c r="W20" i="35" s="1"/>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s="1"/>
  <c r="H42" i="21"/>
  <c r="U42" i="21" s="1"/>
  <c r="J44" i="34"/>
  <c r="F44" i="34"/>
  <c r="S44" i="34" s="1"/>
  <c r="J10" i="35"/>
  <c r="AC10" i="35" s="1"/>
  <c r="J14" i="21"/>
  <c r="W14" i="21" s="1"/>
  <c r="F14" i="21"/>
  <c r="S14" i="21" s="1"/>
  <c r="H14" i="21"/>
  <c r="U14" i="21" s="1"/>
  <c r="H28" i="21"/>
  <c r="AB28" i="21" s="1"/>
  <c r="F28" i="21"/>
  <c r="AA28" i="21" s="1"/>
  <c r="J28" i="21"/>
  <c r="W28" i="21" s="1"/>
  <c r="H30" i="21"/>
  <c r="U30" i="21" s="1"/>
  <c r="F30" i="21"/>
  <c r="S30" i="21" s="1"/>
  <c r="J30" i="21"/>
  <c r="AC30" i="21"/>
  <c r="J44" i="21"/>
  <c r="AC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31" i="33"/>
  <c r="AC45" i="33"/>
  <c r="U11" i="33"/>
  <c r="U19" i="21"/>
  <c r="F43" i="33"/>
  <c r="AA43" i="33" s="1"/>
  <c r="W15" i="34"/>
  <c r="AC15" i="34"/>
  <c r="W40" i="37"/>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BL128" i="3"/>
  <c r="AZ128" i="3" s="1"/>
  <c r="G129" i="3"/>
  <c r="BA131" i="3"/>
  <c r="BL132" i="3"/>
  <c r="AZ132" i="3"/>
  <c r="G133" i="3"/>
  <c r="BA135" i="3"/>
  <c r="AZ135" i="3" s="1"/>
  <c r="BL136" i="3"/>
  <c r="G137" i="3"/>
  <c r="BA139" i="3"/>
  <c r="AZ139" i="3" s="1"/>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AZ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C5" i="3"/>
  <c r="AZ506" i="3"/>
  <c r="AZ496" i="3"/>
  <c r="G548" i="3"/>
  <c r="G538" i="3"/>
  <c r="G520" i="3"/>
  <c r="G502" i="3"/>
  <c r="BS5" i="3"/>
  <c r="BP5" i="3"/>
  <c r="BN5" i="3"/>
  <c r="G29" i="6" s="1"/>
  <c r="BK5" i="3"/>
  <c r="BI5" i="3"/>
  <c r="BG5" i="3"/>
  <c r="BE5" i="3"/>
  <c r="G17" i="3"/>
  <c r="BA17" i="3"/>
  <c r="BT5" i="3"/>
  <c r="AZ350" i="3"/>
  <c r="BA15" i="3"/>
  <c r="BB5" i="3"/>
  <c r="E5" i="6" s="1"/>
  <c r="BR5" i="3"/>
  <c r="AZ380" i="3"/>
  <c r="G509" i="3"/>
  <c r="BL493" i="3"/>
  <c r="AZ493" i="3" s="1"/>
  <c r="U36" i="40"/>
  <c r="F83" i="43"/>
  <c r="H85" i="43" s="1"/>
  <c r="F50" i="43"/>
  <c r="H54" i="43" s="1"/>
  <c r="F72" i="43"/>
  <c r="H75" i="43" s="1"/>
  <c r="U17" i="39"/>
  <c r="AZ563" i="3"/>
  <c r="W37" i="37"/>
  <c r="W44" i="34"/>
  <c r="AC44" i="34"/>
  <c r="S15" i="37"/>
  <c r="U13" i="37"/>
  <c r="U12" i="40"/>
  <c r="AA12" i="40"/>
  <c r="J37" i="33"/>
  <c r="W37" i="33"/>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S20" i="35" s="1"/>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586" i="3"/>
  <c r="W12" i="33"/>
  <c r="AC12" i="33"/>
  <c r="AA32" i="36"/>
  <c r="S32" i="36"/>
  <c r="BL14" i="3"/>
  <c r="U30" i="33"/>
  <c r="AC13" i="34"/>
  <c r="AA47" i="34"/>
  <c r="W28" i="37"/>
  <c r="S19" i="39"/>
  <c r="F12" i="33"/>
  <c r="H12" i="39"/>
  <c r="AB12" i="39" s="1"/>
  <c r="F39" i="40"/>
  <c r="B12" i="1"/>
  <c r="E12" i="1" s="1"/>
  <c r="B10" i="1"/>
  <c r="E10" i="1" s="1"/>
  <c r="K12" i="1"/>
  <c r="M12" i="1" s="1"/>
  <c r="S13" i="1"/>
  <c r="AR13" i="1" s="1"/>
  <c r="R13" i="1"/>
  <c r="J51" i="67"/>
  <c r="C42" i="1"/>
  <c r="C24" i="12" s="1"/>
  <c r="AC34" i="33"/>
  <c r="AA34" i="33"/>
  <c r="B41" i="1"/>
  <c r="AB37" i="40"/>
  <c r="S35" i="40"/>
  <c r="U35" i="40"/>
  <c r="AC36"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AB27" i="35"/>
  <c r="AA33" i="35"/>
  <c r="S32" i="35"/>
  <c r="AA36" i="35"/>
  <c r="S28" i="35"/>
  <c r="U22"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S39" i="21"/>
  <c r="AA36" i="21"/>
  <c r="AC40" i="21"/>
  <c r="J15" i="21"/>
  <c r="F77" i="21"/>
  <c r="G77" i="21" s="1"/>
  <c r="E85" i="21"/>
  <c r="F23" i="21" s="1"/>
  <c r="AA14" i="21"/>
  <c r="D120" i="9"/>
  <c r="C18" i="9"/>
  <c r="D18" i="9" s="1"/>
  <c r="G13" i="3"/>
  <c r="BA13" i="3"/>
  <c r="BL17" i="3"/>
  <c r="AZ17" i="3"/>
  <c r="BL13" i="3"/>
  <c r="J56" i="9"/>
  <c r="J57" i="9" s="1"/>
  <c r="J59" i="9" s="1"/>
  <c r="J61" i="9" s="1"/>
  <c r="A24" i="51"/>
  <c r="B18" i="72" s="1"/>
  <c r="U29" i="34"/>
  <c r="G1" i="68"/>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S24" i="35"/>
  <c r="S35" i="35"/>
  <c r="W35"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F33" i="21"/>
  <c r="AA33" i="21" s="1"/>
  <c r="J33" i="21"/>
  <c r="AC33" i="21" s="1"/>
  <c r="H33" i="21"/>
  <c r="AB33" i="21" s="1"/>
  <c r="AA26" i="21"/>
  <c r="AB14" i="21"/>
  <c r="AB46" i="21"/>
  <c r="U13" i="21"/>
  <c r="AB13" i="21"/>
  <c r="H15" i="21"/>
  <c r="U15" i="21" s="1"/>
  <c r="J17" i="21"/>
  <c r="AC17" i="21" s="1"/>
  <c r="W39" i="21"/>
  <c r="AC14" i="21"/>
  <c r="W30" i="21"/>
  <c r="S46" i="21"/>
  <c r="H45" i="21"/>
  <c r="U45" i="21" s="1"/>
  <c r="F29" i="21"/>
  <c r="AA29" i="21" s="1"/>
  <c r="F13" i="21"/>
  <c r="AA13" i="21" s="1"/>
  <c r="H32" i="21"/>
  <c r="U32" i="21" s="1"/>
  <c r="H9" i="21"/>
  <c r="U9" i="21" s="1"/>
  <c r="J9" i="21"/>
  <c r="AC9" i="21" s="1"/>
  <c r="J32" i="21"/>
  <c r="W32" i="21" s="1"/>
  <c r="F32" i="21"/>
  <c r="AA32" i="21" s="1"/>
  <c r="AA31" i="21"/>
  <c r="W29" i="21"/>
  <c r="S19" i="21"/>
  <c r="S9" i="21"/>
  <c r="K141" i="21"/>
  <c r="K144" i="21"/>
  <c r="K143" i="21"/>
  <c r="U27" i="21"/>
  <c r="AB25" i="21"/>
  <c r="AA30" i="21"/>
  <c r="W13" i="21"/>
  <c r="F10" i="21"/>
  <c r="AA10" i="21" s="1"/>
  <c r="K145" i="21"/>
  <c r="W25" i="21"/>
  <c r="W31" i="21"/>
  <c r="S27" i="21"/>
  <c r="S17" i="21"/>
  <c r="AC27" i="21"/>
  <c r="AC26" i="21"/>
  <c r="AB29" i="21"/>
  <c r="S28" i="21"/>
  <c r="AC34" i="21"/>
  <c r="AB36" i="21"/>
  <c r="W30" i="40"/>
  <c r="C15" i="40"/>
  <c r="C17" i="40"/>
  <c r="C23" i="40"/>
  <c r="C21" i="40"/>
  <c r="U30" i="40"/>
  <c r="B56" i="43"/>
  <c r="B51" i="43"/>
  <c r="B54" i="43"/>
  <c r="B58" i="43"/>
  <c r="B62" i="43"/>
  <c r="B65" i="43"/>
  <c r="B69" i="43"/>
  <c r="D23" i="15"/>
  <c r="D22" i="15"/>
  <c r="E4" i="4"/>
  <c r="B5" i="62" s="1"/>
  <c r="B73" i="72" s="1"/>
  <c r="C4" i="4"/>
  <c r="F30" i="68"/>
  <c r="F48" i="68" s="1"/>
  <c r="AA39" i="40"/>
  <c r="S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13" i="21"/>
  <c r="AP7" i="1"/>
  <c r="A18" i="62"/>
  <c r="B64" i="72" s="1"/>
  <c r="U32" i="39"/>
  <c r="W23" i="37"/>
  <c r="J63" i="37"/>
  <c r="K63" i="37" s="1"/>
  <c r="L63" i="37" s="1"/>
  <c r="M63" i="37" s="1"/>
  <c r="J11" i="37"/>
  <c r="AC11" i="37" s="1"/>
  <c r="J11" i="34"/>
  <c r="W11" i="34" s="1"/>
  <c r="W27" i="33"/>
  <c r="AA17" i="33"/>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D35" i="9"/>
  <c r="B11" i="76"/>
  <c r="B9" i="76"/>
  <c r="D34" i="9"/>
  <c r="F37" i="67"/>
  <c r="E10" i="76"/>
  <c r="F7" i="73"/>
  <c r="E11" i="76"/>
  <c r="E2" i="68"/>
  <c r="D6" i="73"/>
  <c r="B12" i="76"/>
  <c r="M24" i="67"/>
  <c r="E8" i="76"/>
  <c r="F4" i="73"/>
  <c r="F5" i="73"/>
  <c r="AO13" i="1"/>
  <c r="B13" i="76"/>
  <c r="F9" i="67"/>
  <c r="E13" i="76"/>
  <c r="F3" i="73"/>
  <c r="E12" i="76"/>
  <c r="M23" i="67"/>
  <c r="F6" i="73"/>
  <c r="B8" i="76"/>
  <c r="E7" i="76"/>
  <c r="F26" i="67"/>
  <c r="B10" i="76"/>
  <c r="B7" i="76"/>
  <c r="E9" i="76"/>
  <c r="F20" i="31"/>
  <c r="D78" i="9" l="1"/>
  <c r="D93" i="84"/>
  <c r="D78" i="84"/>
  <c r="F48" i="9"/>
  <c r="O52" i="9" s="1"/>
  <c r="F54" i="84"/>
  <c r="D68" i="84"/>
  <c r="F48" i="84"/>
  <c r="O52" i="84" s="1"/>
  <c r="F53" i="84"/>
  <c r="F52" i="84"/>
  <c r="K7" i="1"/>
  <c r="M7" i="1" s="1"/>
  <c r="O7" i="1" s="1"/>
  <c r="P7" i="1" s="1"/>
  <c r="M18" i="84"/>
  <c r="B118" i="84" s="1"/>
  <c r="D3" i="35"/>
  <c r="AC31" i="35"/>
  <c r="U16" i="35"/>
  <c r="AC30" i="35"/>
  <c r="S27" i="35"/>
  <c r="U32" i="35"/>
  <c r="S31" i="35"/>
  <c r="U28" i="35"/>
  <c r="W28" i="35"/>
  <c r="W16" i="35"/>
  <c r="AA20" i="35"/>
  <c r="S14" i="35"/>
  <c r="AC20" i="35"/>
  <c r="AB20" i="35"/>
  <c r="AC18" i="35"/>
  <c r="AA16" i="35"/>
  <c r="U24" i="35"/>
  <c r="AB23" i="35"/>
  <c r="U40" i="21"/>
  <c r="AC38" i="21"/>
  <c r="H113" i="21"/>
  <c r="J37" i="21"/>
  <c r="W37" i="21" s="1"/>
  <c r="H37" i="21"/>
  <c r="U37" i="21" s="1"/>
  <c r="F37" i="21"/>
  <c r="AA37" i="21" s="1"/>
  <c r="W42" i="21"/>
  <c r="AB38" i="21"/>
  <c r="U39" i="21"/>
  <c r="S40" i="21"/>
  <c r="S42" i="21"/>
  <c r="AA43" i="21"/>
  <c r="U43" i="21"/>
  <c r="S41" i="21"/>
  <c r="AA38" i="21"/>
  <c r="U35" i="21"/>
  <c r="S35" i="21"/>
  <c r="AC35" i="21"/>
  <c r="U34" i="21"/>
  <c r="H23" i="21"/>
  <c r="AB23" i="21" s="1"/>
  <c r="F85" i="21"/>
  <c r="G85" i="21" s="1"/>
  <c r="J23" i="21"/>
  <c r="AC23" i="21" s="1"/>
  <c r="U17" i="21"/>
  <c r="AB32" i="21"/>
  <c r="S32" i="21"/>
  <c r="U23" i="21"/>
  <c r="AC21" i="21"/>
  <c r="AC19" i="21"/>
  <c r="AA15" i="21"/>
  <c r="AB31" i="21"/>
  <c r="U31" i="21"/>
  <c r="AB30" i="21"/>
  <c r="AA44" i="21"/>
  <c r="S44" i="21"/>
  <c r="H44" i="21"/>
  <c r="W44" i="21"/>
  <c r="AB45" i="21"/>
  <c r="W9" i="21"/>
  <c r="F34" i="15"/>
  <c r="F62" i="15" s="1"/>
  <c r="M20" i="67"/>
  <c r="F34" i="67"/>
  <c r="F62" i="67" s="1"/>
  <c r="F54" i="9"/>
  <c r="F32" i="15"/>
  <c r="F60" i="15" s="1"/>
  <c r="F52" i="9"/>
  <c r="F30" i="69"/>
  <c r="F48" i="69" s="1"/>
  <c r="F28" i="15"/>
  <c r="F32" i="67"/>
  <c r="F60" i="67" s="1"/>
  <c r="F28" i="67"/>
  <c r="C28" i="67" s="1"/>
  <c r="D68" i="9"/>
  <c r="F31" i="12"/>
  <c r="M18" i="15"/>
  <c r="M18" i="67"/>
  <c r="F30" i="11"/>
  <c r="C48" i="11" s="1"/>
  <c r="C21" i="68"/>
  <c r="C40" i="69"/>
  <c r="K6" i="1"/>
  <c r="AP6" i="1" s="1"/>
  <c r="C36" i="69" s="1"/>
  <c r="G1" i="15"/>
  <c r="B6" i="1"/>
  <c r="E6" i="1" s="1"/>
  <c r="G1" i="69"/>
  <c r="BA14" i="3"/>
  <c r="AZ14" i="3" s="1"/>
  <c r="H5" i="3"/>
  <c r="C19" i="39"/>
  <c r="B75" i="43"/>
  <c r="B67" i="43"/>
  <c r="C29" i="39"/>
  <c r="D121" i="9"/>
  <c r="D7" i="52" s="1"/>
  <c r="D6" i="52"/>
  <c r="AB34" i="35"/>
  <c r="U34" i="35"/>
  <c r="S23" i="21"/>
  <c r="AA23" i="21"/>
  <c r="W15" i="21"/>
  <c r="AC15" i="21"/>
  <c r="U36" i="33"/>
  <c r="AB36" i="33"/>
  <c r="W17" i="21"/>
  <c r="AB19" i="33"/>
  <c r="AC32" i="39"/>
  <c r="AB15" i="21"/>
  <c r="W25" i="33"/>
  <c r="AB9" i="21"/>
  <c r="S37" i="21"/>
  <c r="W45" i="21"/>
  <c r="AC45" i="21"/>
  <c r="AB36" i="35"/>
  <c r="U36" i="35"/>
  <c r="U12" i="39"/>
  <c r="AA27" i="40"/>
  <c r="AZ539" i="3"/>
  <c r="AZ529" i="3"/>
  <c r="AZ537" i="3"/>
  <c r="AZ518" i="3"/>
  <c r="AZ546" i="3"/>
  <c r="AB45" i="33"/>
  <c r="S14" i="37"/>
  <c r="U46" i="34"/>
  <c r="AA44" i="34"/>
  <c r="W36" i="34"/>
  <c r="BL587" i="3"/>
  <c r="AZ587" i="3" s="1"/>
  <c r="AA34" i="39"/>
  <c r="S34" i="39"/>
  <c r="AA19" i="33"/>
  <c r="AA30" i="40"/>
  <c r="AC11" i="39"/>
  <c r="F29" i="6"/>
  <c r="AZ391" i="3"/>
  <c r="AZ318" i="3"/>
  <c r="AZ364" i="3"/>
  <c r="AZ329" i="3"/>
  <c r="AZ306" i="3"/>
  <c r="AZ513" i="3"/>
  <c r="AZ502" i="3"/>
  <c r="U34" i="34"/>
  <c r="F12" i="34"/>
  <c r="S12" i="34" s="1"/>
  <c r="F12" i="35"/>
  <c r="J12" i="35"/>
  <c r="S9" i="40"/>
  <c r="AA9" i="40"/>
  <c r="H38" i="40"/>
  <c r="G570" i="3"/>
  <c r="S14" i="40"/>
  <c r="AA25" i="21"/>
  <c r="W44" i="33"/>
  <c r="AZ519" i="3"/>
  <c r="AZ531" i="3"/>
  <c r="AZ573" i="3"/>
  <c r="AZ583" i="3"/>
  <c r="AZ568" i="3"/>
  <c r="AZ576" i="3"/>
  <c r="AA14" i="34"/>
  <c r="C15" i="39"/>
  <c r="W22" i="35"/>
  <c r="BL585" i="3"/>
  <c r="AZ585" i="3" s="1"/>
  <c r="H12" i="34"/>
  <c r="AB31" i="36"/>
  <c r="U31" i="36"/>
  <c r="AB30" i="37"/>
  <c r="U30" i="37"/>
  <c r="J38" i="40"/>
  <c r="AC31" i="40"/>
  <c r="W31" i="40"/>
  <c r="AZ402" i="3"/>
  <c r="AZ406" i="3"/>
  <c r="S36" i="33"/>
  <c r="AA23" i="37"/>
  <c r="W33" i="34"/>
  <c r="AA40" i="34"/>
  <c r="U32" i="37"/>
  <c r="AZ345" i="3"/>
  <c r="AZ334" i="3"/>
  <c r="AZ372" i="3"/>
  <c r="AZ347" i="3"/>
  <c r="AZ337" i="3"/>
  <c r="AZ376" i="3"/>
  <c r="AZ309" i="3"/>
  <c r="AA11" i="39"/>
  <c r="AZ523" i="3"/>
  <c r="AZ547" i="3"/>
  <c r="AZ571" i="3"/>
  <c r="AZ579" i="3"/>
  <c r="AC11" i="35"/>
  <c r="AC9" i="34"/>
  <c r="W9" i="34"/>
  <c r="W27" i="35"/>
  <c r="H25" i="37"/>
  <c r="F25" i="37"/>
  <c r="G587" i="3"/>
  <c r="BA551" i="3"/>
  <c r="AZ551" i="3" s="1"/>
  <c r="BA550" i="3"/>
  <c r="BL548" i="3"/>
  <c r="AZ548" i="3" s="1"/>
  <c r="G398" i="3"/>
  <c r="G399" i="3"/>
  <c r="BL400" i="3"/>
  <c r="AZ400" i="3" s="1"/>
  <c r="BL408" i="3"/>
  <c r="BL411" i="3"/>
  <c r="BL413" i="3"/>
  <c r="AZ413" i="3" s="1"/>
  <c r="G415" i="3"/>
  <c r="G416" i="3"/>
  <c r="BL417" i="3"/>
  <c r="BL418" i="3"/>
  <c r="BL420" i="3"/>
  <c r="G422" i="3"/>
  <c r="BL424" i="3"/>
  <c r="G426" i="3"/>
  <c r="BL428" i="3"/>
  <c r="AZ428" i="3" s="1"/>
  <c r="BL429" i="3"/>
  <c r="BL432" i="3"/>
  <c r="BL435" i="3"/>
  <c r="BL436" i="3"/>
  <c r="BA439" i="3"/>
  <c r="BA440" i="3"/>
  <c r="AZ440" i="3" s="1"/>
  <c r="BA442" i="3"/>
  <c r="BA445" i="3"/>
  <c r="BA447" i="3"/>
  <c r="AZ447" i="3" s="1"/>
  <c r="BA449" i="3"/>
  <c r="BL453" i="3"/>
  <c r="BL454" i="3"/>
  <c r="BL459" i="3"/>
  <c r="G461" i="3"/>
  <c r="BA465" i="3"/>
  <c r="AZ465" i="3" s="1"/>
  <c r="BA467" i="3"/>
  <c r="BA468" i="3"/>
  <c r="BL471" i="3"/>
  <c r="BL475" i="3"/>
  <c r="BA477" i="3"/>
  <c r="BA478" i="3"/>
  <c r="BA481" i="3"/>
  <c r="G484" i="3"/>
  <c r="BA488" i="3"/>
  <c r="AZ488" i="3" s="1"/>
  <c r="BA491" i="3"/>
  <c r="BA319" i="3"/>
  <c r="AZ319" i="3" s="1"/>
  <c r="BL398" i="3"/>
  <c r="BL403" i="3"/>
  <c r="AZ403" i="3" s="1"/>
  <c r="BA408" i="3"/>
  <c r="AZ408" i="3" s="1"/>
  <c r="BA409" i="3"/>
  <c r="AZ409" i="3" s="1"/>
  <c r="BA411" i="3"/>
  <c r="AZ411" i="3" s="1"/>
  <c r="BL414" i="3"/>
  <c r="BL415" i="3"/>
  <c r="BA417" i="3"/>
  <c r="AZ417" i="3" s="1"/>
  <c r="BL421" i="3"/>
  <c r="BL422" i="3"/>
  <c r="AZ429" i="3"/>
  <c r="AZ432" i="3"/>
  <c r="AZ443" i="3"/>
  <c r="AZ453" i="3"/>
  <c r="AZ471" i="3"/>
  <c r="AZ487" i="3"/>
  <c r="G551" i="3"/>
  <c r="BL550" i="3"/>
  <c r="G542" i="3"/>
  <c r="BL15" i="3"/>
  <c r="AZ15" i="3" s="1"/>
  <c r="BA398" i="3"/>
  <c r="AZ398" i="3" s="1"/>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A303" i="3"/>
  <c r="AZ303" i="3" s="1"/>
  <c r="BA307" i="3"/>
  <c r="AZ307" i="3" s="1"/>
  <c r="G311" i="3"/>
  <c r="BL314" i="3"/>
  <c r="AZ314" i="3" s="1"/>
  <c r="G315" i="3"/>
  <c r="AZ404" i="3"/>
  <c r="AZ405" i="3"/>
  <c r="AZ419" i="3"/>
  <c r="AZ422" i="3"/>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A239" i="3"/>
  <c r="AZ239" i="3" s="1"/>
  <c r="BL239" i="3"/>
  <c r="BA241" i="3"/>
  <c r="BL241" i="3"/>
  <c r="BA244" i="3"/>
  <c r="AZ244" i="3" s="1"/>
  <c r="BL244" i="3"/>
  <c r="BA246" i="3"/>
  <c r="BA252" i="3"/>
  <c r="AZ252" i="3" s="1"/>
  <c r="BA254" i="3"/>
  <c r="AZ254" i="3" s="1"/>
  <c r="BA256" i="3"/>
  <c r="BL256" i="3"/>
  <c r="BA258" i="3"/>
  <c r="BL264" i="3"/>
  <c r="BL266" i="3"/>
  <c r="BA268" i="3"/>
  <c r="BL273" i="3"/>
  <c r="BA277" i="3"/>
  <c r="AZ277" i="3" s="1"/>
  <c r="BL277" i="3"/>
  <c r="BA282" i="3"/>
  <c r="BL282" i="3"/>
  <c r="BA284" i="3"/>
  <c r="BL290" i="3"/>
  <c r="BL291" i="3"/>
  <c r="AZ291" i="3" s="1"/>
  <c r="BL293" i="3"/>
  <c r="BL294" i="3"/>
  <c r="BA297" i="3"/>
  <c r="BL297" i="3"/>
  <c r="BL300" i="3"/>
  <c r="BA302" i="3"/>
  <c r="BA117" i="3"/>
  <c r="BA124" i="3"/>
  <c r="AZ124" i="3" s="1"/>
  <c r="BL127" i="3"/>
  <c r="AZ127" i="3" s="1"/>
  <c r="BA130" i="3"/>
  <c r="AZ130" i="3" s="1"/>
  <c r="BL130" i="3"/>
  <c r="BL137"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L123" i="3"/>
  <c r="AZ123" i="3" s="1"/>
  <c r="G127" i="3"/>
  <c r="BA129" i="3"/>
  <c r="BL133" i="3"/>
  <c r="AZ133" i="3" s="1"/>
  <c r="BL134"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AZ294" i="3" s="1"/>
  <c r="BL295" i="3"/>
  <c r="BA298" i="3"/>
  <c r="AZ298" i="3" s="1"/>
  <c r="BL301" i="3"/>
  <c r="AZ301" i="3" s="1"/>
  <c r="BL302" i="3"/>
  <c r="BA114" i="3"/>
  <c r="G126" i="3"/>
  <c r="G136" i="3"/>
  <c r="BA137" i="3"/>
  <c r="AZ137" i="3" s="1"/>
  <c r="BL138" i="3"/>
  <c r="BA140" i="3"/>
  <c r="AZ140" i="3" s="1"/>
  <c r="G150" i="3"/>
  <c r="G140" i="3"/>
  <c r="BL141" i="3"/>
  <c r="BL143" i="3"/>
  <c r="AZ143" i="3" s="1"/>
  <c r="G146" i="3"/>
  <c r="G147" i="3"/>
  <c r="G154" i="3"/>
  <c r="G156" i="3"/>
  <c r="BL157" i="3"/>
  <c r="AZ157" i="3" s="1"/>
  <c r="BL159" i="3"/>
  <c r="AZ159" i="3" s="1"/>
  <c r="G160" i="3"/>
  <c r="BL177" i="3"/>
  <c r="G179" i="3"/>
  <c r="BL183" i="3"/>
  <c r="AZ183" i="3" s="1"/>
  <c r="BA186" i="3"/>
  <c r="AZ186" i="3" s="1"/>
  <c r="BA190" i="3"/>
  <c r="G196" i="3"/>
  <c r="BA197" i="3"/>
  <c r="BL201" i="3"/>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BA57" i="3"/>
  <c r="AZ57" i="3" s="1"/>
  <c r="BL58" i="3"/>
  <c r="G60" i="3"/>
  <c r="BL64" i="3"/>
  <c r="G65" i="3"/>
  <c r="BL65" i="3"/>
  <c r="BL66" i="3"/>
  <c r="BL67" i="3"/>
  <c r="AZ67" i="3" s="1"/>
  <c r="G69" i="3"/>
  <c r="BA72" i="3"/>
  <c r="AZ72" i="3" s="1"/>
  <c r="BA73" i="3"/>
  <c r="BA80" i="3"/>
  <c r="BL84" i="3"/>
  <c r="BA90" i="3"/>
  <c r="BL94" i="3"/>
  <c r="AZ94" i="3" s="1"/>
  <c r="BA105" i="3"/>
  <c r="AZ105" i="3" s="1"/>
  <c r="BA106" i="3"/>
  <c r="BL108" i="3"/>
  <c r="C60" i="71"/>
  <c r="D59" i="71"/>
  <c r="AZ177" i="3"/>
  <c r="AZ201" i="3"/>
  <c r="AZ52" i="3"/>
  <c r="AZ65" i="3"/>
  <c r="AZ103" i="3"/>
  <c r="AA21" i="37"/>
  <c r="S21" i="37"/>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BA68" i="3"/>
  <c r="AA21" i="33"/>
  <c r="S21" i="33"/>
  <c r="C44" i="71"/>
  <c r="D43" i="71"/>
  <c r="C55" i="71"/>
  <c r="D54" i="7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G27" i="3"/>
  <c r="BA27" i="3"/>
  <c r="BL30" i="3"/>
  <c r="BL31" i="3"/>
  <c r="G37" i="3"/>
  <c r="BL40" i="3"/>
  <c r="BL41" i="3"/>
  <c r="BL45" i="3"/>
  <c r="BA48" i="3"/>
  <c r="BA49" i="3"/>
  <c r="AZ49" i="3" s="1"/>
  <c r="BA51" i="3"/>
  <c r="AZ51" i="3" s="1"/>
  <c r="G55" i="3"/>
  <c r="BL56" i="3"/>
  <c r="BA58" i="3"/>
  <c r="AZ58" i="3" s="1"/>
  <c r="BL59" i="3"/>
  <c r="BL60" i="3"/>
  <c r="BA61" i="3"/>
  <c r="AZ61" i="3" s="1"/>
  <c r="BL69" i="3"/>
  <c r="AZ69" i="3" s="1"/>
  <c r="BL70" i="3"/>
  <c r="AZ70" i="3" s="1"/>
  <c r="BL71" i="3"/>
  <c r="BL99" i="3"/>
  <c r="BA102" i="3"/>
  <c r="AB29" i="39"/>
  <c r="U29" i="39"/>
  <c r="C25" i="40"/>
  <c r="B88" i="43"/>
  <c r="T32" i="71"/>
  <c r="D32" i="71"/>
  <c r="T28" i="71"/>
  <c r="D28" i="71"/>
  <c r="U28" i="71" s="1"/>
  <c r="C27" i="71"/>
  <c r="C52" i="71"/>
  <c r="D51" i="71"/>
  <c r="V24" i="71"/>
  <c r="E23" i="71"/>
  <c r="E22" i="71" s="1"/>
  <c r="E21" i="71" s="1"/>
  <c r="E20" i="71"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BL111" i="3"/>
  <c r="AZ111" i="3" s="1"/>
  <c r="P66" i="71"/>
  <c r="C66" i="71"/>
  <c r="AA27" i="71"/>
  <c r="AB26" i="71"/>
  <c r="S28" i="71"/>
  <c r="C83" i="71"/>
  <c r="C79" i="71"/>
  <c r="C71" i="71"/>
  <c r="C39" i="71"/>
  <c r="X25" i="71"/>
  <c r="Y28" i="71"/>
  <c r="Z28" i="71" s="1"/>
  <c r="AA37" i="71"/>
  <c r="X28" i="71"/>
  <c r="X32" i="71"/>
  <c r="F40" i="71"/>
  <c r="V40" i="71" s="1"/>
  <c r="AB38" i="71"/>
  <c r="F67" i="71"/>
  <c r="F75" i="71"/>
  <c r="F74" i="71" s="1"/>
  <c r="B79" i="71"/>
  <c r="B78" i="71" s="1"/>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C27" i="67"/>
  <c r="B13" i="70"/>
  <c r="D9" i="69"/>
  <c r="D9" i="68"/>
  <c r="M9" i="15"/>
  <c r="M26" i="67"/>
  <c r="F43" i="15"/>
  <c r="F7" i="67"/>
  <c r="M28" i="67"/>
  <c r="F36" i="15"/>
  <c r="M22" i="67"/>
  <c r="M26" i="15"/>
  <c r="M6" i="67"/>
  <c r="F40" i="15"/>
  <c r="M24" i="15"/>
  <c r="L48" i="15"/>
  <c r="J15" i="15"/>
  <c r="F7" i="15"/>
  <c r="F43" i="67"/>
  <c r="F36" i="67"/>
  <c r="F13" i="67"/>
  <c r="J15" i="67"/>
  <c r="F26" i="15"/>
  <c r="M9" i="67"/>
  <c r="L47" i="15"/>
  <c r="F42" i="15"/>
  <c r="F16" i="67"/>
  <c r="F6" i="15"/>
  <c r="M28" i="15"/>
  <c r="D3" i="73"/>
  <c r="F38" i="67"/>
  <c r="M29" i="15"/>
  <c r="F40" i="67"/>
  <c r="F42" i="67"/>
  <c r="D4" i="73"/>
  <c r="M29" i="67"/>
  <c r="F9" i="15"/>
  <c r="C76" i="67"/>
  <c r="F8" i="67"/>
  <c r="M23" i="15"/>
  <c r="L47" i="67"/>
  <c r="M8" i="67"/>
  <c r="F38" i="15"/>
  <c r="F16" i="15"/>
  <c r="L48" i="67"/>
  <c r="C76" i="15"/>
  <c r="D5" i="73"/>
  <c r="F8" i="15"/>
  <c r="F13" i="15"/>
  <c r="F6" i="67"/>
  <c r="M8" i="15"/>
  <c r="M22" i="15"/>
  <c r="F37" i="15"/>
  <c r="M6" i="15"/>
  <c r="D7" i="73"/>
  <c r="M6" i="1" l="1"/>
  <c r="O6" i="1" s="1"/>
  <c r="Q16" i="1"/>
  <c r="F27" i="69" s="1"/>
  <c r="C47" i="69" s="1"/>
  <c r="D45" i="69" s="1"/>
  <c r="H16" i="1"/>
  <c r="AC37" i="21"/>
  <c r="W23" i="21"/>
  <c r="U44" i="21"/>
  <c r="AB44" i="21"/>
  <c r="C30" i="11"/>
  <c r="C48" i="69"/>
  <c r="C30" i="69"/>
  <c r="F66" i="15"/>
  <c r="M59" i="15"/>
  <c r="L59" i="15"/>
  <c r="Q74" i="15" s="1"/>
  <c r="N59" i="15"/>
  <c r="M7" i="15"/>
  <c r="J6" i="15" s="1"/>
  <c r="J18" i="15" s="1"/>
  <c r="F50" i="15"/>
  <c r="F68" i="15"/>
  <c r="F26" i="43"/>
  <c r="N94" i="46"/>
  <c r="N370" i="46"/>
  <c r="K16" i="1"/>
  <c r="E26" i="43"/>
  <c r="H26" i="43"/>
  <c r="P6" i="1"/>
  <c r="C13" i="12" s="1"/>
  <c r="J7" i="36"/>
  <c r="F51" i="15"/>
  <c r="C6" i="15"/>
  <c r="C32" i="15" s="1"/>
  <c r="F31" i="15"/>
  <c r="F68" i="67"/>
  <c r="Q71" i="67"/>
  <c r="F50" i="67"/>
  <c r="M7" i="67"/>
  <c r="J6" i="67" s="1"/>
  <c r="J18" i="67" s="1"/>
  <c r="F65" i="15"/>
  <c r="L56" i="67"/>
  <c r="I54" i="67"/>
  <c r="J53" i="67"/>
  <c r="F1" i="67" s="1"/>
  <c r="J57" i="67"/>
  <c r="J55" i="67" s="1"/>
  <c r="J58" i="67" s="1"/>
  <c r="Q50" i="67" s="1"/>
  <c r="F71" i="67"/>
  <c r="F51" i="67"/>
  <c r="C27" i="15"/>
  <c r="J57" i="15"/>
  <c r="J55" i="15" s="1"/>
  <c r="J58" i="15" s="1"/>
  <c r="Q50" i="15" s="1"/>
  <c r="I54" i="15"/>
  <c r="L58" i="15"/>
  <c r="Q60" i="15" s="1"/>
  <c r="J53" i="15"/>
  <c r="L56" i="15" s="1"/>
  <c r="Q71" i="15"/>
  <c r="C6" i="67"/>
  <c r="C32" i="67" s="1"/>
  <c r="F31" i="67"/>
  <c r="F66" i="67"/>
  <c r="F71" i="15"/>
  <c r="F64" i="15"/>
  <c r="L58" i="67"/>
  <c r="Q60" i="67" s="1"/>
  <c r="M59" i="67"/>
  <c r="N59" i="67"/>
  <c r="L59" i="67"/>
  <c r="Q74" i="67" s="1"/>
  <c r="F64" i="67"/>
  <c r="G16" i="1"/>
  <c r="F10" i="39" s="1"/>
  <c r="S10" i="39" s="1"/>
  <c r="F66" i="71"/>
  <c r="Q67" i="71"/>
  <c r="C40" i="71"/>
  <c r="D39" i="71"/>
  <c r="AZ102" i="3"/>
  <c r="AZ59" i="3"/>
  <c r="AZ45" i="3"/>
  <c r="AZ368" i="3"/>
  <c r="AZ353" i="3"/>
  <c r="AZ297" i="3"/>
  <c r="AZ256" i="3"/>
  <c r="AZ332" i="3"/>
  <c r="AZ483" i="3"/>
  <c r="AZ421" i="3"/>
  <c r="AZ414" i="3"/>
  <c r="W12" i="35"/>
  <c r="AC12" i="35"/>
  <c r="C70" i="71"/>
  <c r="D70" i="71" s="1"/>
  <c r="D71" i="71"/>
  <c r="D44" i="71"/>
  <c r="T44" i="71"/>
  <c r="AZ27" i="3"/>
  <c r="AZ197" i="3"/>
  <c r="AZ302" i="3"/>
  <c r="AZ284" i="3"/>
  <c r="AZ491" i="3"/>
  <c r="AB38" i="40"/>
  <c r="U38" i="40"/>
  <c r="D79" i="71"/>
  <c r="C78" i="71"/>
  <c r="D78" i="71" s="1"/>
  <c r="C36" i="71"/>
  <c r="D35" i="71"/>
  <c r="T52" i="71"/>
  <c r="D52" i="71"/>
  <c r="D60" i="71"/>
  <c r="T60" i="71"/>
  <c r="AZ550" i="3"/>
  <c r="AA25" i="37"/>
  <c r="S25" i="37"/>
  <c r="AC38" i="40"/>
  <c r="W38" i="40"/>
  <c r="G5" i="3"/>
  <c r="B3" i="3" s="1"/>
  <c r="E479" i="3" s="1"/>
  <c r="D83" i="71"/>
  <c r="C82" i="71"/>
  <c r="D82" i="71" s="1"/>
  <c r="O65" i="71"/>
  <c r="D66" i="71"/>
  <c r="O66" i="71"/>
  <c r="N67" i="71"/>
  <c r="B66" i="71"/>
  <c r="C26" i="71"/>
  <c r="D26" i="71" s="1"/>
  <c r="D27" i="71"/>
  <c r="C56" i="71"/>
  <c r="D55" i="71"/>
  <c r="AZ41" i="3"/>
  <c r="AZ31" i="3"/>
  <c r="AZ190" i="3"/>
  <c r="AZ121" i="3"/>
  <c r="AZ274" i="3"/>
  <c r="AZ282" i="3"/>
  <c r="AZ241" i="3"/>
  <c r="AB25" i="37"/>
  <c r="U25" i="37"/>
  <c r="AB12" i="34"/>
  <c r="U12" i="34"/>
  <c r="J7" i="37"/>
  <c r="K1" i="73"/>
  <c r="E584" i="3"/>
  <c r="E256" i="3"/>
  <c r="E279" i="3"/>
  <c r="E134" i="3"/>
  <c r="E489" i="3"/>
  <c r="E385" i="3"/>
  <c r="AA26" i="37"/>
  <c r="S26" i="37"/>
  <c r="BA5" i="3"/>
  <c r="E27" i="6" s="1"/>
  <c r="K26" i="6" s="1"/>
  <c r="M26" i="6" s="1"/>
  <c r="I26" i="6" s="1"/>
  <c r="S26" i="6" s="1"/>
  <c r="C19" i="71"/>
  <c r="T20" i="71"/>
  <c r="D20" i="71"/>
  <c r="U20" i="71" s="1"/>
  <c r="AZ5" i="3"/>
  <c r="E219" i="3"/>
  <c r="W40" i="40"/>
  <c r="AC40" i="40"/>
  <c r="AC12" i="21"/>
  <c r="W12" i="21"/>
  <c r="AB12" i="21"/>
  <c r="U12" i="21"/>
  <c r="AA27" i="34"/>
  <c r="S27" i="34"/>
  <c r="AC26" i="37"/>
  <c r="W26" i="37"/>
  <c r="BL5" i="3"/>
  <c r="B15" i="71"/>
  <c r="B14" i="71" s="1"/>
  <c r="B13" i="71" s="1"/>
  <c r="B12" i="71" s="1"/>
  <c r="S16" i="71"/>
  <c r="F7" i="36"/>
  <c r="S7" i="36" s="1"/>
  <c r="H7" i="36"/>
  <c r="U7" i="36" s="1"/>
  <c r="E94"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A7" i="36"/>
  <c r="R36" i="36" s="1"/>
  <c r="AC7" i="37"/>
  <c r="W7" i="37"/>
  <c r="F7" i="33"/>
  <c r="E58" i="21"/>
  <c r="AC7" i="36"/>
  <c r="V36" i="36" s="1"/>
  <c r="I36" i="36" s="1"/>
  <c r="W7" i="36"/>
  <c r="F7" i="37"/>
  <c r="M17" i="15"/>
  <c r="F59" i="15"/>
  <c r="P28" i="43"/>
  <c r="B66" i="40" s="1"/>
  <c r="P25" i="43"/>
  <c r="P29" i="43"/>
  <c r="P27" i="43"/>
  <c r="B70" i="39" s="1"/>
  <c r="M11" i="67"/>
  <c r="J10" i="67" s="1"/>
  <c r="F11" i="15"/>
  <c r="M11" i="15"/>
  <c r="J10" i="15" s="1"/>
  <c r="F11" i="67"/>
  <c r="AE11" i="1"/>
  <c r="AE6" i="1"/>
  <c r="AE9" i="1"/>
  <c r="F27" i="68"/>
  <c r="AE7" i="1"/>
  <c r="AE8" i="1"/>
  <c r="AE12" i="1"/>
  <c r="AE10" i="1"/>
  <c r="F41" i="67"/>
  <c r="G1" i="73"/>
  <c r="C16" i="15"/>
  <c r="C16" i="67"/>
  <c r="C29" i="69" l="1"/>
  <c r="D27" i="69" s="1"/>
  <c r="E191" i="3"/>
  <c r="E400" i="3"/>
  <c r="E231" i="3"/>
  <c r="E433" i="3"/>
  <c r="E128" i="3"/>
  <c r="E84" i="3"/>
  <c r="E514" i="3"/>
  <c r="E171" i="3"/>
  <c r="E530" i="3"/>
  <c r="E260" i="3"/>
  <c r="AM6" i="3"/>
  <c r="E369" i="3"/>
  <c r="E431" i="3"/>
  <c r="E472" i="3"/>
  <c r="E210" i="3"/>
  <c r="E516" i="3"/>
  <c r="E546" i="3"/>
  <c r="E487" i="3"/>
  <c r="E275" i="3"/>
  <c r="E69" i="3"/>
  <c r="E217" i="3"/>
  <c r="Z6" i="3"/>
  <c r="E545" i="3"/>
  <c r="E561" i="3"/>
  <c r="E476" i="3"/>
  <c r="E511" i="3"/>
  <c r="E30" i="3"/>
  <c r="E402" i="3"/>
  <c r="E438" i="3"/>
  <c r="E246" i="3"/>
  <c r="E335" i="3"/>
  <c r="E109" i="3"/>
  <c r="E214" i="3"/>
  <c r="E399" i="3"/>
  <c r="E533" i="3"/>
  <c r="E271" i="3"/>
  <c r="E314" i="3"/>
  <c r="E164" i="3"/>
  <c r="E574" i="3"/>
  <c r="E352" i="3"/>
  <c r="E80" i="3"/>
  <c r="E378" i="3"/>
  <c r="E248" i="3"/>
  <c r="AY6" i="3"/>
  <c r="E296" i="3"/>
  <c r="E445" i="3"/>
  <c r="E247" i="3"/>
  <c r="E211" i="3"/>
  <c r="E227" i="3"/>
  <c r="K6" i="3"/>
  <c r="E361" i="3"/>
  <c r="E343" i="3"/>
  <c r="E478" i="3"/>
  <c r="E450" i="3"/>
  <c r="V6" i="3"/>
  <c r="E274" i="3"/>
  <c r="E565" i="3"/>
  <c r="E208" i="3"/>
  <c r="E222" i="3"/>
  <c r="E118" i="3"/>
  <c r="E200" i="3"/>
  <c r="E535" i="3"/>
  <c r="E387" i="3"/>
  <c r="E322" i="3"/>
  <c r="E28" i="3"/>
  <c r="E327" i="3"/>
  <c r="E577" i="3"/>
  <c r="E347" i="3"/>
  <c r="E183" i="3"/>
  <c r="E555" i="3"/>
  <c r="E447" i="3"/>
  <c r="E549" i="3"/>
  <c r="E573" i="3"/>
  <c r="E395" i="3"/>
  <c r="E404" i="3"/>
  <c r="E262" i="3"/>
  <c r="E506" i="3"/>
  <c r="E403" i="3"/>
  <c r="E488" i="3"/>
  <c r="E178" i="3"/>
  <c r="E226" i="3"/>
  <c r="E578" i="3"/>
  <c r="E569" i="3"/>
  <c r="E444" i="3"/>
  <c r="E424" i="3"/>
  <c r="E213" i="3"/>
  <c r="O6" i="3"/>
  <c r="E257" i="3"/>
  <c r="E504" i="3"/>
  <c r="E250" i="3"/>
  <c r="E525" i="3"/>
  <c r="D26" i="43"/>
  <c r="C25" i="43" s="1"/>
  <c r="E131" i="3"/>
  <c r="E148" i="3"/>
  <c r="E263" i="3"/>
  <c r="E278" i="3"/>
  <c r="E570" i="3"/>
  <c r="AJ6" i="3"/>
  <c r="E273" i="3"/>
  <c r="E345" i="3"/>
  <c r="E368" i="3"/>
  <c r="E468" i="3"/>
  <c r="AK6" i="3"/>
  <c r="E350" i="3"/>
  <c r="E216" i="3"/>
  <c r="E410" i="3"/>
  <c r="E384" i="3"/>
  <c r="E414" i="3"/>
  <c r="E351" i="3"/>
  <c r="E527" i="3"/>
  <c r="E518" i="3"/>
  <c r="E407" i="3"/>
  <c r="E480" i="3"/>
  <c r="E576" i="3"/>
  <c r="E344" i="3"/>
  <c r="AN6" i="3"/>
  <c r="E418" i="3"/>
  <c r="E29" i="3"/>
  <c r="E145" i="3"/>
  <c r="E306" i="3"/>
  <c r="AD6" i="3"/>
  <c r="E36" i="3"/>
  <c r="T6" i="3"/>
  <c r="J5" i="15"/>
  <c r="J24" i="15" s="1"/>
  <c r="C49" i="15"/>
  <c r="Q61" i="67"/>
  <c r="Q61" i="15"/>
  <c r="E379" i="3"/>
  <c r="E288" i="3"/>
  <c r="E98" i="3"/>
  <c r="E341" i="3"/>
  <c r="E364" i="3"/>
  <c r="E326" i="3"/>
  <c r="E81" i="3"/>
  <c r="E3" i="6"/>
  <c r="D14" i="12" s="1"/>
  <c r="AA10" i="39"/>
  <c r="H10" i="39"/>
  <c r="U10" i="39" s="1"/>
  <c r="E142" i="3"/>
  <c r="E240" i="3"/>
  <c r="E483" i="3"/>
  <c r="E132" i="3"/>
  <c r="E100" i="3"/>
  <c r="AI6" i="3"/>
  <c r="E135" i="3"/>
  <c r="E172" i="3"/>
  <c r="E189" i="3"/>
  <c r="AB6" i="3"/>
  <c r="E311" i="3"/>
  <c r="E579" i="3"/>
  <c r="E268" i="3"/>
  <c r="E572" i="3"/>
  <c r="E182" i="3"/>
  <c r="E531" i="3"/>
  <c r="E485" i="3"/>
  <c r="E204" i="3"/>
  <c r="E74" i="3"/>
  <c r="E146" i="3"/>
  <c r="E465" i="3"/>
  <c r="E133" i="3"/>
  <c r="E181" i="3"/>
  <c r="E495" i="3"/>
  <c r="E91" i="3"/>
  <c r="E528" i="3"/>
  <c r="E439" i="3"/>
  <c r="E270" i="3"/>
  <c r="E388" i="3"/>
  <c r="E441" i="3"/>
  <c r="E186" i="3"/>
  <c r="AS6" i="3"/>
  <c r="E585" i="3"/>
  <c r="E567" i="3"/>
  <c r="E150" i="3"/>
  <c r="E562" i="3"/>
  <c r="E519" i="3"/>
  <c r="E253" i="3"/>
  <c r="E61" i="3"/>
  <c r="E130" i="3"/>
  <c r="E358" i="3"/>
  <c r="E282" i="3"/>
  <c r="E295" i="3"/>
  <c r="E443" i="3"/>
  <c r="I6" i="3"/>
  <c r="E55" i="3"/>
  <c r="Q6" i="3"/>
  <c r="E156" i="3"/>
  <c r="E254" i="3"/>
  <c r="E169" i="3"/>
  <c r="E390" i="3"/>
  <c r="E153" i="3"/>
  <c r="E272" i="3"/>
  <c r="E432" i="3"/>
  <c r="E397" i="3"/>
  <c r="E475" i="3"/>
  <c r="E532" i="3"/>
  <c r="E122" i="3"/>
  <c r="E167" i="3"/>
  <c r="E163" i="3"/>
  <c r="E323" i="3"/>
  <c r="E552" i="3"/>
  <c r="E170" i="3"/>
  <c r="E440" i="3"/>
  <c r="E412" i="3"/>
  <c r="E383" i="3"/>
  <c r="E389" i="3"/>
  <c r="E242" i="3"/>
  <c r="E119" i="3"/>
  <c r="X6" i="3"/>
  <c r="E423" i="3"/>
  <c r="E161" i="3"/>
  <c r="E563" i="3"/>
  <c r="E215" i="3"/>
  <c r="M6" i="3"/>
  <c r="E201" i="3"/>
  <c r="E509" i="3"/>
  <c r="E526" i="3"/>
  <c r="E377" i="3"/>
  <c r="E70" i="3"/>
  <c r="E557" i="3"/>
  <c r="AO6" i="3"/>
  <c r="E89" i="3"/>
  <c r="E362" i="3"/>
  <c r="E454" i="3"/>
  <c r="E406" i="3"/>
  <c r="E277" i="3"/>
  <c r="E77" i="3"/>
  <c r="E586" i="3"/>
  <c r="E180" i="3"/>
  <c r="E185" i="3"/>
  <c r="E538" i="3"/>
  <c r="E143" i="3"/>
  <c r="E305" i="3"/>
  <c r="E44" i="3"/>
  <c r="E162" i="3"/>
  <c r="E477" i="3"/>
  <c r="E107" i="3"/>
  <c r="E31" i="3"/>
  <c r="E72" i="3"/>
  <c r="E457" i="3"/>
  <c r="E193" i="3"/>
  <c r="E583" i="3"/>
  <c r="E290" i="3"/>
  <c r="E230" i="3"/>
  <c r="E151" i="3"/>
  <c r="E553" i="3"/>
  <c r="E166" i="3"/>
  <c r="P6" i="3"/>
  <c r="E32" i="3"/>
  <c r="E496" i="3"/>
  <c r="E330" i="3"/>
  <c r="AA6" i="3"/>
  <c r="E221" i="3"/>
  <c r="E298" i="3"/>
  <c r="E97" i="3"/>
  <c r="E501" i="3"/>
  <c r="E126" i="3"/>
  <c r="E548" i="3"/>
  <c r="E93" i="3"/>
  <c r="E471" i="3"/>
  <c r="E313" i="3"/>
  <c r="E82" i="3"/>
  <c r="E154" i="3"/>
  <c r="E462" i="3"/>
  <c r="E138" i="3"/>
  <c r="E165" i="3"/>
  <c r="E15" i="3"/>
  <c r="E427" i="3"/>
  <c r="E26" i="3"/>
  <c r="E96" i="3"/>
  <c r="E539" i="3"/>
  <c r="E212" i="3"/>
  <c r="E64" i="3"/>
  <c r="E309" i="3"/>
  <c r="E206" i="3"/>
  <c r="E556" i="3"/>
  <c r="E190" i="3"/>
  <c r="E116" i="3"/>
  <c r="J6" i="3"/>
  <c r="E346" i="3"/>
  <c r="E299" i="3"/>
  <c r="E20" i="3"/>
  <c r="E90" i="3"/>
  <c r="E520" i="3"/>
  <c r="E464" i="3"/>
  <c r="E542" i="3"/>
  <c r="Y6"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17" i="3"/>
  <c r="E249" i="3"/>
  <c r="E494" i="3"/>
  <c r="E308" i="3"/>
  <c r="E13" i="3"/>
  <c r="E232" i="3"/>
  <c r="E393" i="3"/>
  <c r="E419" i="3"/>
  <c r="E540" i="3"/>
  <c r="AQ6" i="3"/>
  <c r="E176" i="3"/>
  <c r="E521" i="3"/>
  <c r="E110" i="3"/>
  <c r="E375" i="3"/>
  <c r="E39" i="3"/>
  <c r="E179"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225" i="3"/>
  <c r="E456" i="3"/>
  <c r="E113" i="3"/>
  <c r="E482" i="3"/>
  <c r="E33" i="3"/>
  <c r="E59" i="3"/>
  <c r="E255" i="3"/>
  <c r="E459" i="3"/>
  <c r="E66" i="3"/>
  <c r="E374" i="3"/>
  <c r="E266" i="3"/>
  <c r="E284" i="3"/>
  <c r="E312" i="3"/>
  <c r="E348" i="3"/>
  <c r="E524" i="3"/>
  <c r="E123" i="3"/>
  <c r="E194" i="3"/>
  <c r="E60" i="3"/>
  <c r="E463" i="3"/>
  <c r="E507" i="3"/>
  <c r="E188" i="3"/>
  <c r="E324" i="3"/>
  <c r="E41" i="3"/>
  <c r="E451" i="3"/>
  <c r="E205" i="3"/>
  <c r="E86" i="3"/>
  <c r="AL6" i="3"/>
  <c r="E233" i="3"/>
  <c r="E160" i="3"/>
  <c r="E292" i="3"/>
  <c r="E499" i="3"/>
  <c r="E436" i="3"/>
  <c r="E354" i="3"/>
  <c r="E416" i="3"/>
  <c r="E386" i="3"/>
  <c r="E566" i="3"/>
  <c r="E265" i="3"/>
  <c r="E289" i="3"/>
  <c r="E325" i="3"/>
  <c r="E79" i="3"/>
  <c r="E372" i="3"/>
  <c r="E25" i="3"/>
  <c r="E376" i="3"/>
  <c r="E564" i="3"/>
  <c r="E329" i="3"/>
  <c r="E35" i="3"/>
  <c r="E356" i="3"/>
  <c r="E470" i="3"/>
  <c r="E512" i="3"/>
  <c r="E197" i="3"/>
  <c r="AF6" i="3"/>
  <c r="E174" i="3"/>
  <c r="E281" i="3"/>
  <c r="E68" i="3"/>
  <c r="E310" i="3"/>
  <c r="E484" i="3"/>
  <c r="E152" i="3"/>
  <c r="E466" i="3"/>
  <c r="Q73" i="67"/>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42" i="3"/>
  <c r="E198" i="3"/>
  <c r="E283" i="3"/>
  <c r="E355" i="3"/>
  <c r="E67" i="3"/>
  <c r="E371" i="3"/>
  <c r="E46" i="3"/>
  <c r="E409" i="3"/>
  <c r="E349" i="3"/>
  <c r="E95" i="3"/>
  <c r="E554" i="3"/>
  <c r="E442" i="3"/>
  <c r="E536"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E391" i="3"/>
  <c r="E513" i="3"/>
  <c r="E63" i="3"/>
  <c r="E184" i="3"/>
  <c r="E492" i="3"/>
  <c r="E267" i="3"/>
  <c r="E467" i="3"/>
  <c r="E544" i="3"/>
  <c r="E241" i="3"/>
  <c r="E417" i="3"/>
  <c r="E449" i="3"/>
  <c r="E575" i="3"/>
  <c r="Q73" i="15"/>
  <c r="Q52" i="67"/>
  <c r="Q52" i="15"/>
  <c r="AB7" i="36"/>
  <c r="T36" i="36" s="1"/>
  <c r="G36" i="36" s="1"/>
  <c r="G40" i="36" s="1"/>
  <c r="H40" i="36" s="1"/>
  <c r="J10" i="39"/>
  <c r="W10" i="39" s="1"/>
  <c r="H10" i="40"/>
  <c r="AB10" i="40" s="1"/>
  <c r="J10" i="40"/>
  <c r="AC10" i="40" s="1"/>
  <c r="F1" i="15"/>
  <c r="J5" i="67"/>
  <c r="J24" i="67" s="1"/>
  <c r="M17" i="67"/>
  <c r="F10" i="40"/>
  <c r="S10" i="40" s="1"/>
  <c r="F59" i="67"/>
  <c r="C49" i="67"/>
  <c r="E75" i="3"/>
  <c r="E332" i="3"/>
  <c r="E21" i="3"/>
  <c r="E264" i="3"/>
  <c r="E381" i="3"/>
  <c r="E144" i="3"/>
  <c r="E23" i="3"/>
  <c r="E300" i="3"/>
  <c r="E103" i="3"/>
  <c r="E425" i="3"/>
  <c r="E76" i="3"/>
  <c r="E363" i="3"/>
  <c r="E192" i="3"/>
  <c r="E56" i="3"/>
  <c r="E435" i="3"/>
  <c r="I3" i="6"/>
  <c r="E541" i="3"/>
  <c r="R6" i="3"/>
  <c r="E199" i="3"/>
  <c r="E510" i="3"/>
  <c r="D36" i="71"/>
  <c r="T36" i="71"/>
  <c r="T40" i="71"/>
  <c r="D40" i="71"/>
  <c r="N65" i="71"/>
  <c r="N66" i="71"/>
  <c r="Q66" i="71"/>
  <c r="Q65" i="71"/>
  <c r="E258" i="3"/>
  <c r="E37" i="3"/>
  <c r="E491" i="3"/>
  <c r="AP6" i="3"/>
  <c r="E430" i="3"/>
  <c r="E502" i="3"/>
  <c r="E286" i="3"/>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335" i="3"/>
  <c r="AY26" i="3"/>
  <c r="AY420" i="3"/>
  <c r="AY61" i="3"/>
  <c r="AY149" i="3"/>
  <c r="AY262" i="3"/>
  <c r="AY360" i="3"/>
  <c r="AY197" i="3"/>
  <c r="AY388" i="3"/>
  <c r="AY475" i="3"/>
  <c r="AY581"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56" i="3"/>
  <c r="BL6" i="3"/>
  <c r="AY184" i="3"/>
  <c r="AY241" i="3"/>
  <c r="AY338" i="3"/>
  <c r="AY550" i="3"/>
  <c r="AY586" i="3"/>
  <c r="AY298" i="3"/>
  <c r="AY321" i="3"/>
  <c r="AY450" i="3"/>
  <c r="AY575" i="3"/>
  <c r="AY110" i="3"/>
  <c r="AY120" i="3"/>
  <c r="AY330" i="3"/>
  <c r="AY528" i="3"/>
  <c r="AY195" i="3"/>
  <c r="AY375" i="3"/>
  <c r="AY413" i="3"/>
  <c r="AY21" i="3"/>
  <c r="AY396" i="3"/>
  <c r="AY479" i="3"/>
  <c r="AY415" i="3"/>
  <c r="AY545" i="3"/>
  <c r="AY19" i="3"/>
  <c r="AY248" i="3"/>
  <c r="AY408" i="3"/>
  <c r="AY71" i="3"/>
  <c r="AY293" i="3"/>
  <c r="AY477" i="3"/>
  <c r="BT6" i="3"/>
  <c r="D37" i="11"/>
  <c r="D19" i="11"/>
  <c r="C19" i="11" s="1"/>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6" i="37"/>
  <c r="H46" i="37" s="1"/>
  <c r="G47" i="37"/>
  <c r="H47" i="37" s="1"/>
  <c r="G48" i="35"/>
  <c r="U7" i="33"/>
  <c r="AB7" i="33"/>
  <c r="T48" i="33" s="1"/>
  <c r="G48" i="33" s="1"/>
  <c r="C53" i="67"/>
  <c r="C10" i="67"/>
  <c r="C5" i="67" s="1"/>
  <c r="C38" i="67" s="1"/>
  <c r="C53" i="15"/>
  <c r="C10" i="15"/>
  <c r="C5" i="15" s="1"/>
  <c r="C38" i="15" s="1"/>
  <c r="M27" i="15"/>
  <c r="F41" i="15"/>
  <c r="M27" i="67"/>
  <c r="C48" i="15" l="1"/>
  <c r="C66" i="15"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51" i="3"/>
  <c r="AY207" i="3"/>
  <c r="AY124" i="3"/>
  <c r="AY42" i="3"/>
  <c r="AY281" i="3"/>
  <c r="AY168" i="3"/>
  <c r="AY236" i="3"/>
  <c r="AY366" i="3"/>
  <c r="AY67" i="3"/>
  <c r="AY139" i="3"/>
  <c r="AY123" i="3"/>
  <c r="AY252" i="3"/>
  <c r="AY318" i="3"/>
  <c r="AY428" i="3"/>
  <c r="AY66" i="3"/>
  <c r="AY276" i="3"/>
  <c r="AY50" i="3"/>
  <c r="AY473" i="3"/>
  <c r="AY245" i="3"/>
  <c r="AY342" i="3"/>
  <c r="AY513" i="3"/>
  <c r="AY553" i="3"/>
  <c r="AY60"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176" i="3"/>
  <c r="AY297" i="3"/>
  <c r="AY289" i="3"/>
  <c r="AY441" i="3"/>
  <c r="AY260" i="3"/>
  <c r="AY310" i="3"/>
  <c r="AY549" i="3"/>
  <c r="AY97" i="3"/>
  <c r="AY44"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351" i="3"/>
  <c r="AY107" i="3"/>
  <c r="AY265" i="3"/>
  <c r="AY515" i="3"/>
  <c r="AY320" i="3"/>
  <c r="AY64" i="3"/>
  <c r="AY272" i="3"/>
  <c r="AY13" i="3"/>
  <c r="AY140" i="3"/>
  <c r="AY17" i="3"/>
  <c r="AY352" i="3"/>
  <c r="AY504" i="3"/>
  <c r="AY323" i="3"/>
  <c r="AY27" i="3"/>
  <c r="AY466" i="3"/>
  <c r="AY167" i="3"/>
  <c r="AY509" i="3"/>
  <c r="AY453" i="3"/>
  <c r="AY266" i="3"/>
  <c r="AY519" i="3"/>
  <c r="AY324" i="3"/>
  <c r="AY286" i="3"/>
  <c r="AY326" i="3"/>
  <c r="AY112" i="3"/>
  <c r="AY356" i="3"/>
  <c r="AY117" i="3"/>
  <c r="AY355" i="3"/>
  <c r="AY495" i="3"/>
  <c r="AY491" i="3"/>
  <c r="AY357" i="3"/>
  <c r="AY165" i="3"/>
  <c r="AY106" i="3"/>
  <c r="AY400" i="3"/>
  <c r="AY386" i="3"/>
  <c r="AY164" i="3"/>
  <c r="AY547" i="3"/>
  <c r="AY315" i="3"/>
  <c r="AY301" i="3"/>
  <c r="AY493" i="3"/>
  <c r="AY522" i="3"/>
  <c r="AY434" i="3"/>
  <c r="AY337" i="3"/>
  <c r="AY113" i="3"/>
  <c r="AY567" i="3"/>
  <c r="AY322" i="3"/>
  <c r="AY288" i="3"/>
  <c r="AY39" i="3"/>
  <c r="AY440" i="3"/>
  <c r="AY216" i="3"/>
  <c r="AY203" i="3"/>
  <c r="AY530" i="3"/>
  <c r="AY399" i="3"/>
  <c r="AY492" i="3"/>
  <c r="AY218" i="3"/>
  <c r="AY205" i="3"/>
  <c r="AY511" i="3"/>
  <c r="AY448" i="3"/>
  <c r="AY391" i="3"/>
  <c r="AY128" i="3"/>
  <c r="AY55" i="3"/>
  <c r="AY558" i="3"/>
  <c r="AY346" i="3"/>
  <c r="AY249" i="3"/>
  <c r="AY192" i="3"/>
  <c r="AY578" i="3"/>
  <c r="AY524" i="3"/>
  <c r="AY439" i="3"/>
  <c r="AY471" i="3"/>
  <c r="AY364" i="3"/>
  <c r="AY287" i="3"/>
  <c r="AY48" i="3"/>
  <c r="AY494" i="3"/>
  <c r="AY419" i="3"/>
  <c r="AY215" i="3"/>
  <c r="AY368" i="3"/>
  <c r="AY173" i="3"/>
  <c r="AY539" i="3"/>
  <c r="AY229" i="3"/>
  <c r="AY31" i="3"/>
  <c r="AY556" i="3"/>
  <c r="AY422" i="3"/>
  <c r="AY279" i="3"/>
  <c r="AY389" i="3"/>
  <c r="AY178" i="3"/>
  <c r="AY562" i="3"/>
  <c r="AY199" i="3"/>
  <c r="AY171" i="3"/>
  <c r="AY534" i="3"/>
  <c r="AY430" i="3"/>
  <c r="AY317" i="3"/>
  <c r="AY295" i="3"/>
  <c r="AY73" i="3"/>
  <c r="AY392" i="3"/>
  <c r="AY283" i="3"/>
  <c r="AY190" i="3"/>
  <c r="AY533" i="3"/>
  <c r="AY372" i="3"/>
  <c r="AY209" i="3"/>
  <c r="AY188" i="3"/>
  <c r="AA10" i="40"/>
  <c r="AY566" i="3"/>
  <c r="AY143" i="3"/>
  <c r="AY485" i="3"/>
  <c r="AY62" i="3"/>
  <c r="AY402" i="3"/>
  <c r="AY267" i="3"/>
  <c r="AY432" i="3"/>
  <c r="AY22" i="3"/>
  <c r="AY383" i="3"/>
  <c r="AY563" i="3"/>
  <c r="AY461" i="3"/>
  <c r="AY142" i="3"/>
  <c r="AY429" i="3"/>
  <c r="AY273" i="3"/>
  <c r="AY512" i="3"/>
  <c r="AY221" i="3"/>
  <c r="AY94" i="3"/>
  <c r="AY579" i="3"/>
  <c r="AY313" i="3"/>
  <c r="AY189" i="3"/>
  <c r="AY536" i="3"/>
  <c r="AY72" i="3"/>
  <c r="AY84" i="3"/>
  <c r="AY350" i="3"/>
  <c r="AY516" i="3"/>
  <c r="AY93" i="3"/>
  <c r="AY89" i="3"/>
  <c r="AY237" i="3"/>
  <c r="AY411" i="3"/>
  <c r="AY242" i="3"/>
  <c r="AY202" i="3"/>
  <c r="AY247" i="3"/>
  <c r="AY77" i="3"/>
  <c r="AY452" i="3"/>
  <c r="AY225" i="3"/>
  <c r="AY443" i="3"/>
  <c r="AY240" i="3"/>
  <c r="AY54" i="3"/>
  <c r="AY500" i="3"/>
  <c r="AY359" i="3"/>
  <c r="AY172" i="3"/>
  <c r="BP6" i="3"/>
  <c r="AY538" i="3"/>
  <c r="AY476" i="3"/>
  <c r="AY361" i="3"/>
  <c r="AY153" i="3"/>
  <c r="AY15" i="3"/>
  <c r="AY339" i="3"/>
  <c r="AY136" i="3"/>
  <c r="AY576" i="3"/>
  <c r="AY482" i="3"/>
  <c r="AY233" i="3"/>
  <c r="AY47" i="3"/>
  <c r="AY537" i="3"/>
  <c r="AY431" i="3"/>
  <c r="AY336" i="3"/>
  <c r="AY235" i="3"/>
  <c r="AY32" i="3"/>
  <c r="BD6" i="3"/>
  <c r="AY459" i="3"/>
  <c r="AY213" i="3"/>
  <c r="AY159" i="3"/>
  <c r="AY86" i="3"/>
  <c r="AY405" i="3"/>
  <c r="AY331" i="3"/>
  <c r="AY280" i="3"/>
  <c r="AY35" i="3"/>
  <c r="AY531" i="3"/>
  <c r="D3" i="6"/>
  <c r="AY410" i="3"/>
  <c r="AY487" i="3"/>
  <c r="AY369" i="3"/>
  <c r="AY129" i="3"/>
  <c r="AY80" i="3"/>
  <c r="AY584" i="3"/>
  <c r="AY406" i="3"/>
  <c r="AY275" i="3"/>
  <c r="AY373" i="3"/>
  <c r="AY162" i="3"/>
  <c r="AY573" i="3"/>
  <c r="AY116" i="3"/>
  <c r="AY132" i="3"/>
  <c r="AY508" i="3"/>
  <c r="AY454" i="3"/>
  <c r="AY130" i="3"/>
  <c r="AY222" i="3"/>
  <c r="AY182" i="3"/>
  <c r="AY535" i="3"/>
  <c r="AY425" i="3"/>
  <c r="AY18" i="3"/>
  <c r="AY561" i="3"/>
  <c r="AY462" i="3"/>
  <c r="AY333" i="3"/>
  <c r="AY114" i="3"/>
  <c r="AY109" i="3"/>
  <c r="AY219" i="3"/>
  <c r="AY299" i="3"/>
  <c r="AY206" i="3"/>
  <c r="AY569" i="3"/>
  <c r="AY395" i="3"/>
  <c r="AY261" i="3"/>
  <c r="AY115" i="3"/>
  <c r="AB10" i="39"/>
  <c r="F25" i="12"/>
  <c r="C26" i="12" s="1"/>
  <c r="D25" i="12" s="1"/>
  <c r="W10" i="40"/>
  <c r="F22" i="68"/>
  <c r="C23" i="68" s="1"/>
  <c r="F24" i="15"/>
  <c r="C24" i="15" s="1"/>
  <c r="F22" i="69"/>
  <c r="F41" i="69" s="1"/>
  <c r="F22" i="11"/>
  <c r="C26" i="11" s="1"/>
  <c r="D22" i="11" s="1"/>
  <c r="F24" i="67"/>
  <c r="C24" i="67" s="1"/>
  <c r="D3" i="34"/>
  <c r="D3" i="33"/>
  <c r="C17" i="4"/>
  <c r="B4" i="52" s="1"/>
  <c r="B43" i="72" s="1"/>
  <c r="M18" i="9"/>
  <c r="B118" i="9" s="1"/>
  <c r="B1" i="74" s="1"/>
  <c r="D3" i="21"/>
  <c r="E6" i="6"/>
  <c r="D6" i="6" s="1"/>
  <c r="H6" i="3"/>
  <c r="AC6" i="3"/>
  <c r="U10" i="40"/>
  <c r="D116" i="43"/>
  <c r="C48" i="67"/>
  <c r="C60" i="67" s="1"/>
  <c r="G41" i="36"/>
  <c r="H41" i="36" s="1"/>
  <c r="AC10" i="39"/>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25" i="6"/>
  <c r="D15" i="6"/>
  <c r="D22" i="6"/>
  <c r="D21" i="6"/>
  <c r="D24" i="6"/>
  <c r="D20" i="6"/>
  <c r="D26" i="6"/>
  <c r="D8" i="6"/>
  <c r="D14" i="6"/>
  <c r="D9" i="6"/>
  <c r="D10" i="6"/>
  <c r="D29" i="6"/>
  <c r="D19" i="6"/>
  <c r="C18" i="4"/>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C17" i="67"/>
  <c r="C17" i="15"/>
  <c r="C14" i="67"/>
  <c r="C60" i="15" l="1"/>
  <c r="C44" i="68"/>
  <c r="D41" i="68" s="1"/>
  <c r="D10" i="68"/>
  <c r="D10" i="11"/>
  <c r="C10" i="11" s="1"/>
  <c r="D20" i="12"/>
  <c r="C20" i="12" s="1"/>
  <c r="C18" i="12" s="1"/>
  <c r="M19" i="9"/>
  <c r="C118" i="9" s="1"/>
  <c r="B2" i="74" s="1"/>
  <c r="M19" i="84"/>
  <c r="C118" i="84" s="1"/>
  <c r="S20" i="6"/>
  <c r="L18" i="84"/>
  <c r="C26" i="68"/>
  <c r="D22" i="68" s="1"/>
  <c r="F41" i="68"/>
  <c r="C44" i="69"/>
  <c r="D41" i="69" s="1"/>
  <c r="C44" i="11"/>
  <c r="D41" i="11" s="1"/>
  <c r="C26" i="69"/>
  <c r="D22" i="69" s="1"/>
  <c r="C23" i="11"/>
  <c r="C24" i="11"/>
  <c r="C66" i="67"/>
  <c r="H22" i="6"/>
  <c r="R22" i="6" s="1"/>
  <c r="R9" i="1" s="1"/>
  <c r="E6" i="3"/>
  <c r="D30" i="6"/>
  <c r="H24" i="6"/>
  <c r="R24" i="6" s="1"/>
  <c r="R11" i="1" s="1"/>
  <c r="H21" i="6"/>
  <c r="R21" i="6" s="1"/>
  <c r="R8" i="1" s="1"/>
  <c r="C25" i="11"/>
  <c r="H25" i="6"/>
  <c r="R25" i="6" s="1"/>
  <c r="R12" i="1" s="1"/>
  <c r="E53" i="34"/>
  <c r="F53" i="34"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C15" i="12"/>
  <c r="C12" i="12"/>
  <c r="D27" i="6"/>
  <c r="D8" i="74"/>
  <c r="D7" i="74"/>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L19" i="84" l="1"/>
  <c r="C22" i="11"/>
  <c r="C31" i="11" s="1"/>
  <c r="D31" i="6"/>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E52" i="21" s="1"/>
  <c r="F52"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G43" i="35" l="1"/>
  <c r="H43" i="35" s="1"/>
  <c r="E53" i="21"/>
  <c r="F53" i="21" s="1"/>
  <c r="I53" i="21"/>
  <c r="J53" i="2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19" i="9"/>
  <c r="D2" i="33"/>
  <c r="L51" i="67"/>
  <c r="D22" i="9" l="1"/>
  <c r="G19" i="9"/>
  <c r="C102" i="9"/>
  <c r="C21" i="9"/>
  <c r="D102" i="9"/>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C20" i="9"/>
  <c r="D20" i="9"/>
  <c r="D2" i="35"/>
  <c r="G21" i="9" l="1"/>
  <c r="D14" i="74"/>
  <c r="G14" i="74" s="1"/>
  <c r="C103" i="9"/>
  <c r="G20" i="9"/>
  <c r="C32" i="9" s="1"/>
  <c r="D103" i="9"/>
  <c r="C8" i="71"/>
  <c r="D9"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84"/>
  <c r="AO10" i="1"/>
  <c r="AO11" i="1"/>
  <c r="D19" i="84"/>
  <c r="AO9" i="1"/>
  <c r="AO6" i="1"/>
  <c r="AO12" i="1"/>
  <c r="AO7" i="1"/>
  <c r="AO8" i="1"/>
  <c r="D21" i="84" l="1"/>
  <c r="D102" i="84"/>
  <c r="C102" i="84"/>
  <c r="D22" i="84"/>
  <c r="C21" i="84"/>
  <c r="G19" i="84"/>
  <c r="B3" i="35"/>
  <c r="C35" i="9"/>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84"/>
  <c r="C20" i="84"/>
  <c r="G21" i="84" l="1"/>
  <c r="D15" i="74"/>
  <c r="G15" i="74" s="1"/>
  <c r="D103" i="84"/>
  <c r="C103" i="84"/>
  <c r="G20" i="84"/>
  <c r="C32" i="84" s="1"/>
  <c r="C35" i="84" s="1"/>
  <c r="C34" i="8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5" i="74" l="1"/>
  <c r="F15"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5" i="74"/>
  <c r="D118" i="9"/>
  <c r="D4" i="52" s="1"/>
  <c r="B47" i="72" s="1"/>
  <c r="F118" i="9"/>
  <c r="G118" i="9" s="1"/>
  <c r="G4" i="52" s="1"/>
  <c r="B52" i="72" s="1"/>
  <c r="H118" i="9"/>
  <c r="C104" i="9" s="1"/>
  <c r="C6" i="74" l="1"/>
  <c r="H119" i="9"/>
  <c r="H5" i="52" s="1"/>
  <c r="D119" i="9"/>
  <c r="D5" i="52" s="1"/>
  <c r="B49" i="72" s="1"/>
  <c r="F4" i="52"/>
  <c r="B51" i="72" s="1"/>
  <c r="F119" i="9"/>
  <c r="F5" i="52" s="1"/>
  <c r="B53" i="72" s="1"/>
  <c r="H101" i="9"/>
  <c r="H4" i="52"/>
  <c r="I118" i="9"/>
  <c r="D45" i="9" l="1"/>
  <c r="M48" i="9"/>
  <c r="H107" i="9"/>
  <c r="D5" i="53"/>
  <c r="C105" i="9"/>
  <c r="E118" i="9"/>
  <c r="E4" i="52" s="1"/>
  <c r="B48" i="72" s="1"/>
  <c r="I4" i="52"/>
  <c r="H102" i="9"/>
  <c r="D7" i="53" s="1"/>
  <c r="B21" i="72" s="1"/>
  <c r="D6" i="53" l="1"/>
  <c r="B22" i="72" s="1"/>
  <c r="B20" i="72"/>
  <c r="D122" i="9"/>
  <c r="D13" i="53"/>
  <c r="M49" i="9"/>
  <c r="H108" i="9"/>
  <c r="D15" i="53" s="1"/>
  <c r="B31" i="72" s="1"/>
  <c r="D52" i="9"/>
  <c r="C78" i="9"/>
  <c r="C73" i="9" s="1"/>
  <c r="C93" i="9"/>
  <c r="C86" i="9" s="1"/>
  <c r="D53" i="9"/>
  <c r="D55" i="9"/>
  <c r="M53" i="9" s="1"/>
  <c r="C72" i="9"/>
  <c r="C85" i="9"/>
  <c r="C64" i="9"/>
  <c r="C63" i="9" s="1"/>
  <c r="C67" i="9" s="1"/>
  <c r="C79" i="9" l="1"/>
  <c r="C95" i="9"/>
  <c r="C96" i="9" s="1"/>
  <c r="E96" i="9" s="1"/>
  <c r="E97" i="9" s="1"/>
  <c r="L64" i="9"/>
  <c r="M64" i="9" s="1"/>
  <c r="L66" i="9"/>
  <c r="M66" i="9" s="1"/>
  <c r="L63" i="9"/>
  <c r="M63" i="9" s="1"/>
  <c r="L65" i="9"/>
  <c r="M65" i="9" s="1"/>
  <c r="L68" i="9"/>
  <c r="M68" i="9" s="1"/>
  <c r="L67" i="9"/>
  <c r="M67" i="9" s="1"/>
  <c r="C80" i="9"/>
  <c r="E80" i="9" s="1"/>
  <c r="E81" i="9" s="1"/>
  <c r="D14" i="53"/>
  <c r="B32" i="72" s="1"/>
  <c r="B30" i="72"/>
  <c r="D8" i="52"/>
  <c r="D123" i="9"/>
  <c r="D9" i="52" s="1"/>
  <c r="D59" i="9"/>
  <c r="M55" i="9" s="1"/>
  <c r="C68" i="9"/>
  <c r="D54" i="9" s="1"/>
  <c r="C81" i="9" l="1"/>
  <c r="M69" i="9"/>
  <c r="N69" i="9" s="1"/>
  <c r="C97" i="9"/>
  <c r="D58" i="9" s="1"/>
  <c r="D56" i="9" s="1"/>
  <c r="M54" i="9" s="1"/>
  <c r="N57" i="9" s="1"/>
  <c r="P57" i="9" l="1"/>
  <c r="N58" i="9"/>
  <c r="N59" i="9"/>
  <c r="N60" i="9" l="1"/>
  <c r="N61" i="9"/>
  <c r="D45" i="84"/>
  <c r="M48" i="84"/>
  <c r="M49" i="84"/>
  <c r="D52" i="84"/>
  <c r="D53" i="84"/>
  <c r="M53" i="84"/>
  <c r="D54" i="84"/>
  <c r="M54" i="84"/>
  <c r="D55" i="84"/>
  <c r="M55" i="84"/>
  <c r="D56" i="84"/>
  <c r="N57" i="84"/>
  <c r="P57" i="84"/>
  <c r="D58" i="84"/>
  <c r="N58" i="84"/>
  <c r="D59" i="84"/>
  <c r="N59" i="84"/>
  <c r="N60" i="84"/>
  <c r="N61" i="84"/>
  <c r="C63" i="84"/>
  <c r="L63" i="84"/>
  <c r="M63" i="84"/>
  <c r="C64" i="84"/>
  <c r="L64" i="84"/>
  <c r="M64" i="84"/>
  <c r="L65" i="84"/>
  <c r="M65" i="84"/>
  <c r="L66" i="84"/>
  <c r="M66" i="84"/>
  <c r="C67" i="84"/>
  <c r="L67" i="84"/>
  <c r="M67" i="84"/>
  <c r="C68" i="84"/>
  <c r="L68" i="84"/>
  <c r="M68" i="84"/>
  <c r="M69" i="84"/>
  <c r="N69" i="84"/>
  <c r="C72" i="84"/>
  <c r="C73" i="84"/>
  <c r="C78" i="84"/>
  <c r="C79" i="84"/>
  <c r="C80" i="84"/>
  <c r="E80" i="84"/>
  <c r="C81" i="84"/>
  <c r="E81" i="84"/>
  <c r="C85" i="84"/>
  <c r="C86" i="84"/>
  <c r="C93" i="84"/>
  <c r="C95" i="84"/>
  <c r="C96" i="84"/>
  <c r="E96" i="84"/>
  <c r="C97" i="84"/>
  <c r="E97" i="84"/>
  <c r="H101" i="84"/>
  <c r="H102" i="84"/>
  <c r="C104" i="84"/>
  <c r="C105" i="84"/>
  <c r="H107" i="84"/>
  <c r="H108" i="84"/>
  <c r="D118" i="84"/>
  <c r="E118" i="84"/>
  <c r="F118" i="84"/>
  <c r="G118" i="84"/>
  <c r="H118" i="84"/>
  <c r="I118" i="84"/>
  <c r="D119" i="84"/>
  <c r="F119" i="84"/>
  <c r="H119" i="84"/>
  <c r="D122" i="84"/>
  <c r="D123"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C36D40D-B6F5-4B69-B4B8-6A1CE6FB2C49}">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F4D1F11-4B97-491B-9933-5982EE96667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B19F990-F912-4ABC-81E7-80BB77A2503F}">
      <text>
        <r>
          <rPr>
            <sz val="11"/>
            <color indexed="81"/>
            <rFont val="宋体"/>
            <family val="3"/>
            <charset val="134"/>
          </rPr>
          <t>需在下方列示计算过程</t>
        </r>
        <r>
          <rPr>
            <sz val="9"/>
            <color indexed="81"/>
            <rFont val="宋体"/>
            <family val="3"/>
            <charset val="134"/>
          </rPr>
          <t xml:space="preserve">
</t>
        </r>
      </text>
    </comment>
    <comment ref="H75" authorId="2" shapeId="0" xr:uid="{6F4C64F6-8D60-49B6-B4D0-3A715A7A0EA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<sst xmlns="http://schemas.openxmlformats.org/spreadsheetml/2006/main" count="8337" uniqueCount="3467">
  <si>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</si>
  <si>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</si>
  <si>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</si>
  <si>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</si>
  <si>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</si>
  <si>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</si>
  <si>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</si>
  <si>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</si>
  <si>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</si>
  <si>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</si>
  <si>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</si>
  <si>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</si>
  <si>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</si>
  <si>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</si>
  <si>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</si>
  <si>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</si>
  <si>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</si>
  <si>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</si>
  <si>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</si>
  <si>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</si>
  <si>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</si>
  <si>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</si>
  <si>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</si>
  <si>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</si>
  <si>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</si>
  <si>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</si>
  <si>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</si>
  <si>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</si>
  <si>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</si>
  <si>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</si>
  <si>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</si>
  <si>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</si>
  <si>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</si>
  <si>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</si>
  <si>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</si>
  <si>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</si>
  <si>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</si>
  <si>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</si>
  <si>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</si>
  <si>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</si>
  <si>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</si>
  <si>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</si>
  <si>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</si>
  <si>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</si>
  <si>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</si>
  <si>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</si>
  <si>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</si>
  <si>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</si>
  <si>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</si>
  <si>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</si>
  <si>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</si>
  <si>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</si>
  <si>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</si>
  <si>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</si>
  <si>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</si>
  <si>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</si>
  <si>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</si>
  <si>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</si>
  <si>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</si>
  <si>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</si>
  <si>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</si>
  <si>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</si>
  <si>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</si>
  <si>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</si>
  <si>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</si>
  <si>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</si>
  <si>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</si>
  <si>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</si>
  <si>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</si>
  <si>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</si>
  <si>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</si>
  <si>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</si>
  <si>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</si>
  <si>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</si>
  <si>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</si>
  <si>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</si>
  <si>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</si>
  <si>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</si>
  <si>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</si>
  <si>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</si>
  <si>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</si>
  <si>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</si>
  <si>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</si>
  <si>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</si>
  <si>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</si>
  <si>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</si>
  <si>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</si>
  <si>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</si>
  <si>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</si>
  <si>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</si>
  <si>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</si>
  <si>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</si>
  <si>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</si>
  <si>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</si>
  <si>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</si>
  <si>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</si>
  <si>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</si>
  <si>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</si>
  <si>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</si>
  <si>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</si>
  <si>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</si>
  <si>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</si>
  <si>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</si>
  <si>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</si>
  <si>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</si>
  <si>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</si>
  <si>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</si>
  <si>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</si>
  <si>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</si>
  <si>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</si>
  <si>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</si>
  <si>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</si>
  <si>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</si>
  <si>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</si>
  <si>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</si>
  <si>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</si>
  <si>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</si>
  <si>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</si>
  <si>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</si>
  <si>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</si>
  <si>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</si>
  <si>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</si>
  <si>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</si>
  <si>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</si>
  <si>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</si>
  <si>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</si>
  <si>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</si>
  <si>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</si>
  <si>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</si>
  <si>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</si>
  <si>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</si>
  <si>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</si>
  <si>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</si>
  <si>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</si>
  <si>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</si>
  <si>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</si>
  <si>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</si>
  <si>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</si>
  <si>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</si>
  <si>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</si>
  <si>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</si>
  <si>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</si>
  <si>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</si>
  <si>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</si>
  <si>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</si>
  <si>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</si>
  <si>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</si>
  <si>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</si>
  <si>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</si>
  <si>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</si>
  <si>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</si>
  <si>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</si>
  <si>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</si>
  <si>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</si>
  <si>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</si>
  <si>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</si>
  <si>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</si>
  <si>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</si>
  <si>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</si>
  <si>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</si>
  <si>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</si>
  <si>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</si>
  <si>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</si>
  <si>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</si>
  <si>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</si>
  <si>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</si>
  <si>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</si>
  <si>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</si>
  <si>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</si>
  <si>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</si>
  <si>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</si>
  <si>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</si>
  <si>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</si>
  <si>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</si>
  <si>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</si>
  <si>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</si>
  <si>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</si>
  <si>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</si>
  <si>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</si>
  <si>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</si>
  <si>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</si>
  <si>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</si>
  <si>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</si>
  <si>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</si>
  <si>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</si>
  <si>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</si>
  <si>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</si>
  <si>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</si>
  <si>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</si>
  <si>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</si>
  <si>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</si>
  <si>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</si>
  <si>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</si>
  <si>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</si>
  <si>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</si>
  <si>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</si>
  <si>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</si>
  <si>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</si>
  <si>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</si>
  <si>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</si>
  <si>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</si>
  <si>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</si>
  <si>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</si>
  <si>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</si>
  <si>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</si>
  <si>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</si>
  <si>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</si>
  <si>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</si>
  <si>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</si>
  <si>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</si>
  <si>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</si>
  <si>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</si>
  <si>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</si>
  <si>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</si>
  <si>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</si>
  <si>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</si>
  <si>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</si>
  <si>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</si>
  <si>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</si>
  <si>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</si>
  <si>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</si>
  <si>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</si>
  <si>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</si>
  <si>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</si>
  <si>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</si>
  <si>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</si>
  <si>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</si>
  <si>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</si>
  <si>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</si>
  <si>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</si>
  <si>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</si>
  <si>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</si>
  <si>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</si>
  <si>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</si>
  <si>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</si>
  <si>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</si>
  <si>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</si>
  <si>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</si>
  <si>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</si>
  <si>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</si>
  <si>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</si>
  <si>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</si>
  <si>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</si>
  <si>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</si>
  <si>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</si>
  <si>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</si>
  <si>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</si>
  <si>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</si>
  <si>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</si>
  <si>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</si>
  <si>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</si>
  <si>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</si>
  <si>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</si>
  <si>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</si>
  <si>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</si>
  <si>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</si>
  <si>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</si>
  <si>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</si>
  <si>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</si>
  <si>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</si>
  <si>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</si>
  <si>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</si>
  <si>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</si>
  <si>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</si>
  <si>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</si>
  <si>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</si>
  <si>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</si>
  <si>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</si>
  <si>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</si>
  <si>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</si>
  <si>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</si>
  <si>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</si>
  <si>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</si>
  <si>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</si>
  <si>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</si>
  <si>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</si>
  <si>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</si>
  <si>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</si>
  <si>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</si>
  <si>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</si>
  <si>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</si>
  <si>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</si>
  <si>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</si>
  <si>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</si>
  <si>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</si>
  <si>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</si>
  <si>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</si>
  <si>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</si>
  <si>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</si>
  <si>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</si>
  <si>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</si>
  <si>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</si>
  <si>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</si>
  <si>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</si>
  <si>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</si>
  <si>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</si>
  <si>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</si>
  <si>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</si>
  <si>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</si>
  <si>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</si>
  <si>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</si>
  <si>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</si>
  <si>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</si>
  <si>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</si>
  <si>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</si>
  <si>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</si>
  <si>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</si>
  <si>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</si>
  <si>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</si>
  <si>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</si>
  <si>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</si>
  <si>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</si>
  <si>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</si>
  <si>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</si>
  <si>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</si>
  <si>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</si>
  <si>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</si>
  <si>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</si>
  <si>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</si>
  <si>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</si>
  <si>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</si>
  <si>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</si>
  <si>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</si>
  <si>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</si>
  <si>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</si>
  <si>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</si>
  <si>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</si>
  <si>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</si>
  <si>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</si>
  <si>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</si>
  <si>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</si>
  <si>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</si>
  <si>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</si>
  <si>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</si>
  <si>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</si>
  <si>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</si>
  <si>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</si>
  <si>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</si>
  <si>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</si>
  <si>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</si>
  <si>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</si>
  <si>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</si>
  <si>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</si>
  <si>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</si>
  <si>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</si>
  <si>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</si>
  <si>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</si>
  <si>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</si>
  <si>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</si>
  <si>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</si>
  <si>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</si>
  <si>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</si>
  <si>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</si>
  <si>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</si>
  <si>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</si>
  <si>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</si>
  <si>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</si>
  <si>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</si>
  <si>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</si>
  <si>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</si>
  <si>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</si>
  <si>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</si>
  <si>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</si>
  <si>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</si>
  <si>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</si>
  <si>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</si>
  <si>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</si>
  <si>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</si>
  <si>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</si>
  <si>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</si>
  <si>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</si>
  <si>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</si>
  <si>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</si>
  <si>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</si>
  <si>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</si>
  <si>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</si>
  <si>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</si>
  <si>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</si>
  <si>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</si>
  <si>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</si>
  <si>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</si>
  <si>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</si>
  <si>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</si>
  <si>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</si>
  <si>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</si>
  <si>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</si>
  <si>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</si>
  <si>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</si>
  <si>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</si>
  <si>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</si>
  <si>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</si>
  <si>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</si>
  <si>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</si>
  <si>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</si>
  <si>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</si>
  <si>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</si>
  <si>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</si>
  <si>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</si>
  <si>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</si>
  <si>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</si>
  <si>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</si>
  <si>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</si>
  <si>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</si>
  <si>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</si>
  <si>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</si>
  <si>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</si>
  <si>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</si>
  <si>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</si>
  <si>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</si>
  <si>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</si>
  <si>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</si>
  <si>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</si>
  <si>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</si>
  <si>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</si>
  <si>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</si>
  <si>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</si>
  <si>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</si>
  <si>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</si>
  <si>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</si>
  <si>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</si>
  <si>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</si>
  <si>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</si>
  <si>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</si>
  <si>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</si>
  <si>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</si>
  <si>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</si>
  <si>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</si>
  <si>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</si>
  <si>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</si>
  <si>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</si>
  <si>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</si>
  <si>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</si>
  <si>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</si>
  <si>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</si>
  <si>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</si>
  <si>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</si>
  <si>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</si>
  <si>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</si>
  <si>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</si>
  <si>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</si>
  <si>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</si>
  <si>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</si>
  <si>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</si>
  <si>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</si>
  <si>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</si>
  <si>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</si>
  <si>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</si>
  <si>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</si>
  <si>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</si>
  <si>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</si>
  <si>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</si>
  <si>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</si>
  <si>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</si>
  <si>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</si>
  <si>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</si>
  <si>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</si>
  <si>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</si>
  <si>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</si>
  <si>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</si>
  <si>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</si>
  <si>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</si>
  <si>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</si>
  <si>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</si>
  <si>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</si>
  <si>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</si>
  <si>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</si>
  <si>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</si>
  <si>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</si>
  <si>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</si>
  <si>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</si>
  <si>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</si>
  <si>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</si>
  <si>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</si>
  <si>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</si>
  <si>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</si>
  <si>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</si>
  <si>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</si>
  <si>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</si>
  <si>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</si>
  <si>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</si>
  <si>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</si>
  <si>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</si>
  <si>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</si>
  <si>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</si>
  <si>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</si>
  <si>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</si>
  <si>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</si>
  <si>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</si>
  <si>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</si>
  <si>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</si>
  <si>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</si>
  <si>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</si>
  <si>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</si>
  <si>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</si>
  <si>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</si>
  <si>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</si>
  <si>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</si>
  <si>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</si>
  <si>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</si>
  <si>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</si>
  <si>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</si>
  <si>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</si>
  <si>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</si>
  <si>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</si>
  <si>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</si>
  <si>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</si>
  <si>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</si>
  <si>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</si>
  <si>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</si>
  <si>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</si>
  <si>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</si>
  <si>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</si>
  <si>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</si>
  <si>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</si>
  <si>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</si>
  <si>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</si>
  <si>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</si>
  <si>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</si>
  <si>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</si>
  <si>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</si>
  <si>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</si>
  <si>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</si>
  <si>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</si>
  <si>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</si>
  <si>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</si>
  <si>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</si>
  <si>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</si>
  <si>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</si>
  <si>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</si>
  <si>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</si>
  <si>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</si>
  <si>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</si>
  <si>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</si>
  <si>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</si>
  <si>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</si>
  <si>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</si>
  <si>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</si>
  <si>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</si>
  <si>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</si>
  <si>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</si>
  <si>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</si>
  <si>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</si>
  <si>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</si>
  <si>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</si>
  <si>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</si>
  <si>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</si>
  <si>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</si>
  <si>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</si>
  <si>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</si>
  <si>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</si>
  <si>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</si>
  <si>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</si>
  <si>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</si>
  <si>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</si>
  <si>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</si>
  <si>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</si>
  <si>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</si>
  <si>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</si>
  <si>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</si>
  <si>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</si>
  <si>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</si>
  <si>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</si>
  <si>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</si>
  <si>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</si>
  <si>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</si>
  <si>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</si>
  <si>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</si>
  <si>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</si>
  <si>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</si>
  <si>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</si>
  <si>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</si>
  <si>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</si>
  <si>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</si>
  <si>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</si>
  <si>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</si>
  <si>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</si>
  <si>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</si>
  <si>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</si>
  <si>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</si>
  <si>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</si>
  <si>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</si>
  <si>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</si>
  <si>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</si>
  <si>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</si>
  <si>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</si>
  <si>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</si>
  <si>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</si>
  <si>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</si>
  <si>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</si>
  <si>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</si>
  <si>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</si>
  <si>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</si>
  <si>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</si>
  <si>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</si>
  <si>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</si>
  <si>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</si>
  <si>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</si>
  <si>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</si>
  <si>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</si>
  <si>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</si>
  <si>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</si>
  <si>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</si>
  <si>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</si>
  <si>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</si>
  <si>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</si>
  <si>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</si>
  <si>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</si>
  <si>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</si>
  <si>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</si>
  <si>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</si>
  <si>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</si>
  <si>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</si>
  <si>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</si>
  <si>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</si>
  <si>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</si>
  <si>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</si>
  <si>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</si>
  <si>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</si>
  <si>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</si>
  <si>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</si>
  <si>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</si>
  <si>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</si>
  <si>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</si>
  <si>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</si>
  <si>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</si>
  <si>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</si>
  <si>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</si>
  <si>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</si>
  <si>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</si>
  <si>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</si>
  <si>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</si>
  <si>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</si>
  <si>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</si>
  <si>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</si>
  <si>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</si>
  <si>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</si>
  <si>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</si>
  <si>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</si>
  <si>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</si>
  <si>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</si>
  <si>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</si>
  <si>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</si>
  <si>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</si>
  <si>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</si>
  <si>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</si>
  <si>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</si>
  <si>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</si>
  <si>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</si>
  <si>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</si>
  <si>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</si>
  <si>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</si>
  <si>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</si>
  <si>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</si>
  <si>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</si>
  <si>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</si>
  <si>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</si>
  <si>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</si>
  <si>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</si>
  <si>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</si>
  <si>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</si>
  <si>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</si>
  <si>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</si>
  <si>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</si>
  <si>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</si>
  <si>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</si>
  <si>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</si>
  <si>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</si>
  <si>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</si>
  <si>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</si>
  <si>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</si>
  <si>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</si>
  <si>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</si>
  <si>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</si>
  <si>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</si>
  <si>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</si>
  <si>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</si>
  <si>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</si>
  <si>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</si>
  <si>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</si>
  <si>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</si>
  <si>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</si>
  <si>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</si>
  <si>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</si>
  <si>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</si>
  <si>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</si>
  <si>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</si>
  <si>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</si>
  <si>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</si>
  <si>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</si>
  <si>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</si>
  <si>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</si>
  <si>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</si>
  <si>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</si>
  <si>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</si>
  <si>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</si>
  <si>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</si>
  <si>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</si>
  <si>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</si>
  <si>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</si>
  <si>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</si>
  <si>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</si>
  <si>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</si>
  <si>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</si>
  <si>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</si>
  <si>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</si>
  <si>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</si>
  <si>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</si>
  <si>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</si>
  <si>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</si>
  <si>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</si>
  <si>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</si>
  <si>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</si>
  <si>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</si>
  <si>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</si>
  <si>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</si>
  <si>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</si>
  <si>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</si>
  <si>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</si>
  <si>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</si>
  <si>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</si>
  <si>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</si>
  <si>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</si>
  <si>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</si>
  <si>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</si>
  <si>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</si>
  <si>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</si>
  <si>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</si>
  <si>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</si>
  <si>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</si>
  <si>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</si>
  <si>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</si>
  <si>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</si>
  <si>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</si>
  <si>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</si>
  <si>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</si>
  <si>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</si>
  <si>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</si>
  <si>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</si>
  <si>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</si>
  <si>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</si>
  <si>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</si>
  <si>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</si>
  <si>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</si>
  <si>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</si>
  <si>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</si>
  <si>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</si>
  <si>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</si>
  <si>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</si>
  <si>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</si>
  <si>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</si>
  <si>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</si>
  <si>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</si>
  <si>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</si>
  <si>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</si>
  <si>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</si>
  <si>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</si>
  <si>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</si>
  <si>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</si>
  <si>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</si>
  <si>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</si>
  <si>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</si>
  <si>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</si>
  <si>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</si>
  <si>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</si>
  <si>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</si>
  <si>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</si>
  <si>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</si>
  <si>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</si>
  <si>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</si>
  <si>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</si>
  <si>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</si>
  <si>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</si>
  <si>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</si>
  <si>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</si>
  <si>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</si>
  <si>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</si>
  <si>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</si>
  <si>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</si>
  <si>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</si>
  <si>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</si>
  <si>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</si>
  <si>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</si>
  <si>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</si>
  <si>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</si>
  <si>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</si>
  <si>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</si>
  <si>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</si>
  <si>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</si>
  <si>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</si>
  <si>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</si>
  <si>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</si>
  <si>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</si>
  <si>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</si>
  <si>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</si>
  <si>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</si>
  <si>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</si>
  <si>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</si>
  <si>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</si>
  <si>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</si>
  <si>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</si>
  <si>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</si>
  <si>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</si>
  <si>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</si>
  <si>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</si>
  <si>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</si>
  <si>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</si>
  <si>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</si>
  <si>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</si>
  <si>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</si>
  <si>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</si>
  <si>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</si>
  <si>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</si>
  <si>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</si>
  <si>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</si>
  <si>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</si>
  <si>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</si>
  <si>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</si>
  <si>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</si>
  <si>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</si>
  <si>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</si>
  <si>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</si>
  <si>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</si>
  <si>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</si>
  <si>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</si>
  <si>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</si>
  <si>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</si>
  <si>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</si>
  <si>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</si>
  <si>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</si>
  <si>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</si>
  <si>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</si>
  <si>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</si>
  <si>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</si>
  <si>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</si>
  <si>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</si>
  <si>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</si>
  <si>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</si>
  <si>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</si>
  <si>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</si>
  <si>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</si>
  <si>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</si>
  <si>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</si>
  <si>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</si>
  <si>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</si>
  <si>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</si>
  <si>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</si>
  <si>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</si>
  <si>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</si>
  <si>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</si>
  <si>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</si>
  <si>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</si>
  <si>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</si>
  <si>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</si>
  <si>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</si>
  <si>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</si>
  <si>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</si>
  <si>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</si>
  <si>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</si>
  <si>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</si>
  <si>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</si>
  <si>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</si>
  <si>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</si>
  <si>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</si>
  <si>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</si>
  <si>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</si>
  <si>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</si>
  <si>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</si>
  <si>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</si>
  <si>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</si>
  <si>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</si>
  <si>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</si>
  <si>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</si>
  <si>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</si>
  <si>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</si>
  <si>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</si>
  <si>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</si>
  <si>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</si>
  <si>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</si>
  <si>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</si>
  <si>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</si>
  <si>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</si>
  <si>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</si>
  <si>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</si>
  <si>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</si>
  <si>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</si>
  <si>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</si>
  <si>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</si>
  <si>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</si>
  <si>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</si>
  <si>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</si>
  <si>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</si>
  <si>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</si>
  <si>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</si>
  <si>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</si>
  <si>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</si>
  <si>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</si>
  <si>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</si>
  <si>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</si>
  <si>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</si>
  <si>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</si>
  <si>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</si>
  <si>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</si>
  <si>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</si>
  <si>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</si>
  <si>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</si>
  <si>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</si>
  <si>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</si>
  <si>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</si>
  <si>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</si>
  <si>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</si>
  <si>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</si>
  <si>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</si>
  <si>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</si>
  <si>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</si>
  <si>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</si>
  <si>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</si>
  <si>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</si>
  <si>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</si>
  <si>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</si>
  <si>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</si>
  <si>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</si>
  <si>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</si>
  <si>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</si>
  <si>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</si>
  <si>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</si>
  <si>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</si>
  <si>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</si>
  <si>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</si>
  <si>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</si>
  <si>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</si>
  <si>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</si>
  <si>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</si>
  <si>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</si>
  <si>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</si>
  <si>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</si>
  <si>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</si>
  <si>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</si>
  <si>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</si>
  <si>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</si>
  <si>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</si>
  <si>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</si>
  <si>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</si>
  <si>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</si>
  <si>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</si>
  <si>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</si>
  <si>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</si>
  <si>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</si>
  <si>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</si>
  <si>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</si>
  <si>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</si>
  <si>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</si>
  <si>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</si>
  <si>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</si>
  <si>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</si>
  <si>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</si>
  <si>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</si>
  <si>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</si>
  <si>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</si>
  <si>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</si>
  <si>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</si>
  <si>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</si>
  <si>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</si>
  <si>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</si>
  <si>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</si>
  <si>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</si>
  <si>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</si>
  <si>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</si>
  <si>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</si>
  <si>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</si>
  <si>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</si>
  <si>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</si>
  <si>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</si>
  <si>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</si>
  <si>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</si>
  <si>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</si>
  <si>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</si>
  <si>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</si>
  <si>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</si>
  <si>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</si>
  <si>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</si>
  <si>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</si>
  <si>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</si>
  <si>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</si>
  <si>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</si>
  <si>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</si>
  <si>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</si>
  <si>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</si>
  <si>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</si>
  <si>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</si>
  <si>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</si>
  <si>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</si>
  <si>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</si>
  <si>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</si>
  <si>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</si>
  <si>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</si>
  <si>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</si>
  <si>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</si>
  <si>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</si>
  <si>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</si>
  <si>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</si>
  <si>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</si>
  <si>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</si>
  <si>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</si>
  <si>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</si>
  <si>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</si>
  <si>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</si>
  <si>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</si>
  <si>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</si>
  <si>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</si>
  <si>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</si>
  <si>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</si>
  <si>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</si>
  <si>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</si>
  <si>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</si>
  <si>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</si>
  <si>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</si>
  <si>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</si>
  <si>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</si>
  <si>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</si>
  <si>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</si>
  <si>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</si>
  <si>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</si>
  <si>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</si>
  <si>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</si>
  <si>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</si>
  <si>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</si>
  <si>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</si>
  <si>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</si>
  <si>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</si>
  <si>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</si>
  <si>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</si>
  <si>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</si>
  <si>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</si>
  <si>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</si>
  <si>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</si>
  <si>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</si>
  <si>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</si>
  <si>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</si>
  <si>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</si>
  <si>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</si>
  <si>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</si>
  <si>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</si>
  <si>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</si>
  <si>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</si>
  <si>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</si>
  <si>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</si>
  <si>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</si>
  <si>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</si>
  <si>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</si>
  <si>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</si>
  <si>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</si>
  <si>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</si>
  <si>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</si>
  <si>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</si>
  <si>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</si>
  <si>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</si>
  <si>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</si>
  <si>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</si>
  <si>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</si>
  <si>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</si>
  <si>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</si>
  <si>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</si>
  <si>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</si>
  <si>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</si>
  <si>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</si>
  <si>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</si>
  <si>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</si>
  <si>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</si>
  <si>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</si>
  <si>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</si>
  <si>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</si>
  <si>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</si>
  <si>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</si>
  <si>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</si>
  <si>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</si>
  <si>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</si>
  <si>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</si>
  <si>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</si>
  <si>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</si>
  <si>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</si>
  <si>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</si>
  <si>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</si>
  <si>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</si>
  <si>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</si>
  <si>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</si>
  <si>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</si>
  <si>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</si>
  <si>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</si>
  <si>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</si>
  <si>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</si>
  <si>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</si>
  <si>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</si>
  <si>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</si>
  <si>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</si>
  <si>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</si>
  <si>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</si>
  <si>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</si>
  <si>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</si>
  <si>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</si>
  <si>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</si>
  <si>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</si>
  <si>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</si>
  <si>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</si>
  <si>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</si>
  <si>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</si>
  <si>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</si>
  <si>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</si>
  <si>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</si>
  <si>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</si>
  <si>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</si>
  <si>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</si>
  <si>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</si>
  <si>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</si>
  <si>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</si>
  <si>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</si>
  <si>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</si>
  <si>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</si>
  <si>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</si>
  <si>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</si>
  <si>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</si>
  <si>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</si>
  <si>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</si>
  <si>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</si>
  <si>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</si>
  <si>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</si>
  <si>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</si>
  <si>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</si>
  <si>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</si>
  <si>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</si>
  <si>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</si>
  <si>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</si>
  <si>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</si>
  <si>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</si>
  <si>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</si>
  <si>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</si>
  <si>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</si>
  <si>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</si>
  <si>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</si>
  <si>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</si>
  <si>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</si>
  <si>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</si>
  <si>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</si>
  <si>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</si>
  <si>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</si>
  <si>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</si>
  <si>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</si>
  <si>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</si>
  <si>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</si>
  <si>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</si>
  <si>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</si>
  <si>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</si>
  <si>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</si>
  <si>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</si>
  <si>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</si>
  <si>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</si>
  <si>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</si>
  <si>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</si>
  <si>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</si>
  <si>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</si>
  <si>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</si>
  <si>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</si>
  <si>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</si>
  <si>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</si>
  <si>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</si>
  <si>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</si>
  <si>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</si>
  <si>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</si>
  <si>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</si>
  <si>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</si>
  <si>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</si>
  <si>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</si>
  <si>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</si>
  <si>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</si>
  <si>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</si>
  <si>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</si>
  <si>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</si>
  <si>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</si>
  <si>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</si>
  <si>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</si>
  <si>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</si>
  <si>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</si>
  <si>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</si>
  <si>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</si>
  <si>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</si>
  <si>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</si>
  <si>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</si>
  <si>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</si>
  <si>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</si>
  <si>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</si>
  <si>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</si>
  <si>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</si>
  <si>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</si>
  <si>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</si>
  <si>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</si>
  <si>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</si>
  <si>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</si>
  <si>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</si>
  <si>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</si>
  <si>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</si>
  <si>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</si>
  <si>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</si>
  <si>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</si>
  <si>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</si>
  <si>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</si>
  <si>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</si>
  <si>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</si>
  <si>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</si>
  <si>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</si>
  <si>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</si>
  <si>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</si>
  <si>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</si>
  <si>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</si>
  <si>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</si>
  <si>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</si>
  <si>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</si>
  <si>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</si>
  <si>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</si>
  <si>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</si>
  <si>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</si>
  <si>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</si>
  <si>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</si>
  <si>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</si>
  <si>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</si>
  <si>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</si>
  <si>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</si>
  <si>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</si>
  <si>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</si>
  <si>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</si>
  <si>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</si>
  <si>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</si>
  <si>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</si>
  <si>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</si>
  <si>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</si>
  <si>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</si>
  <si>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</si>
  <si>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</si>
  <si>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</si>
  <si>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</si>
  <si>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</si>
  <si>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</si>
  <si>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</si>
  <si>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</si>
  <si>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</si>
  <si>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</si>
  <si>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</si>
  <si>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</si>
  <si>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</si>
  <si>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</si>
  <si>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</si>
  <si>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</si>
  <si>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</si>
  <si>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</si>
  <si>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</si>
  <si>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</si>
  <si>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</si>
  <si>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</si>
  <si>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</si>
  <si>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</si>
  <si>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</si>
  <si>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</si>
  <si>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</si>
  <si>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</si>
  <si>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</si>
  <si>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</si>
  <si>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</si>
  <si>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</si>
  <si>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</si>
  <si>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</si>
  <si>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</si>
  <si>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</si>
  <si>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</si>
  <si>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</si>
  <si>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</si>
  <si>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</si>
  <si>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</si>
  <si>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</si>
  <si>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</si>
  <si>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</si>
  <si>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</si>
  <si>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</si>
  <si>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</si>
  <si>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</si>
  <si>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</si>
  <si>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</si>
  <si>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</si>
  <si>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</si>
  <si>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</si>
  <si>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</si>
  <si>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</si>
  <si>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</si>
  <si>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</si>
  <si>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</si>
  <si>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</si>
  <si>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</si>
  <si>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</si>
  <si>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</si>
  <si>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</si>
  <si>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</si>
  <si>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</si>
  <si>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</si>
  <si>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</si>
  <si>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</si>
  <si>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</si>
  <si>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</si>
  <si>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</si>
  <si>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</si>
  <si>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</si>
  <si>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</si>
  <si>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</si>
  <si>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</si>
  <si>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</si>
  <si>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</si>
  <si>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</si>
  <si>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</si>
  <si>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</si>
  <si>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</si>
  <si>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</si>
  <si>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</si>
  <si>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</si>
  <si>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</si>
  <si>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</si>
  <si>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</si>
  <si>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</si>
  <si>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</si>
  <si>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</si>
  <si>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</si>
  <si>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</si>
  <si>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</si>
  <si>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</si>
  <si>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</si>
  <si>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</si>
  <si>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</si>
  <si>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</si>
  <si>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</si>
  <si>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</si>
  <si>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</si>
  <si>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</si>
  <si>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</si>
  <si>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</si>
  <si>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</si>
  <si>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</si>
  <si>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</si>
  <si>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</si>
  <si>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</si>
  <si>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</si>
  <si>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</si>
  <si>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</si>
  <si>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</si>
  <si>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</si>
  <si>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</si>
  <si>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</si>
  <si>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</si>
  <si>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</si>
  <si>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</si>
  <si>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</si>
  <si>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</si>
  <si>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</si>
  <si>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</si>
  <si>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</si>
  <si>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</si>
  <si>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</si>
  <si>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</si>
  <si>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</si>
  <si>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</si>
  <si>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</si>
  <si>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</si>
  <si>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</si>
  <si>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</si>
  <si>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</si>
  <si>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</si>
  <si>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</si>
  <si>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</si>
  <si>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</si>
  <si>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</si>
  <si>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</si>
  <si>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</si>
  <si>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</si>
  <si>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</si>
  <si>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</si>
  <si>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</si>
  <si>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</si>
  <si>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</si>
  <si>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</si>
  <si>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</si>
  <si>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</si>
  <si>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</si>
  <si>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</si>
  <si>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</si>
  <si>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</si>
  <si>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</si>
  <si>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</si>
  <si>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</si>
  <si>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</si>
  <si>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</si>
  <si>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</si>
  <si>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</si>
  <si>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</si>
  <si>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</si>
  <si>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</si>
  <si>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</si>
  <si>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</si>
  <si>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</si>
  <si>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</si>
  <si>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</si>
  <si>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</si>
  <si>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</si>
  <si>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</si>
  <si>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</si>
  <si>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</si>
  <si>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</si>
  <si>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</si>
  <si>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</si>
  <si>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</si>
  <si>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</si>
  <si>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</si>
  <si>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</si>
  <si>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</si>
  <si>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</si>
  <si>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</si>
  <si>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</si>
  <si>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</si>
  <si>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</si>
  <si>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</si>
  <si>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</si>
  <si>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</si>
  <si>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</si>
  <si>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</si>
  <si>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</si>
  <si>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</si>
  <si>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</si>
  <si>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</si>
  <si>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</si>
  <si>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</si>
  <si>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</si>
  <si>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</si>
  <si>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</si>
  <si>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</si>
  <si>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</si>
  <si>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</si>
  <si>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</si>
  <si>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</si>
  <si>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</si>
  <si>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</si>
  <si>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</si>
  <si>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</si>
  <si>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</si>
  <si>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</si>
  <si>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</si>
  <si>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</si>
  <si>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</si>
  <si>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</si>
  <si>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</si>
  <si>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</si>
  <si>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</si>
  <si>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</si>
  <si>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</si>
  <si>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</si>
  <si>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</si>
  <si>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</si>
  <si>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</si>
  <si>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</si>
  <si>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</si>
  <si>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</si>
  <si>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</si>
  <si>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</si>
  <si>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</si>
  <si>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</si>
  <si>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</si>
  <si>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</si>
  <si>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</si>
  <si>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</si>
  <si>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</si>
  <si>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</si>
  <si>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</si>
  <si>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</si>
  <si>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</si>
  <si>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</si>
  <si>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</si>
  <si>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</si>
  <si>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</si>
  <si>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</si>
  <si>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</si>
  <si>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</si>
  <si>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</si>
  <si>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</si>
  <si>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</si>
  <si>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</si>
  <si>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</si>
  <si>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</si>
  <si>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</si>
  <si>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</si>
  <si>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</si>
  <si>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</si>
  <si>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</si>
  <si>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</si>
  <si>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</si>
  <si>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</si>
  <si>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</si>
  <si>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</si>
  <si>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</si>
  <si>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</si>
  <si>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</si>
  <si>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</si>
  <si>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</si>
  <si>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</si>
  <si>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</si>
  <si>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</si>
  <si>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</si>
  <si>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</si>
  <si>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</si>
  <si>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</si>
  <si>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</si>
  <si>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</si>
  <si>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</si>
  <si>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</si>
  <si>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</si>
  <si>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</si>
  <si>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</si>
  <si>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</si>
  <si>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</si>
  <si>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</si>
  <si>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</si>
  <si>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</si>
  <si>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</si>
  <si>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</si>
  <si>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</si>
  <si>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</si>
  <si>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</si>
  <si>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</si>
  <si>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</si>
  <si>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</si>
  <si>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</si>
  <si>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</si>
  <si>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</si>
  <si>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</si>
  <si>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</si>
  <si>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</si>
  <si>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</si>
  <si>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</si>
  <si>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</si>
  <si>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</si>
  <si>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</si>
  <si>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</si>
  <si>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</si>
  <si>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</si>
  <si>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</si>
  <si>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</si>
  <si>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</si>
  <si>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</si>
  <si>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</si>
  <si>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</si>
  <si>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</si>
  <si>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</si>
  <si>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</si>
  <si>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</si>
  <si>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</si>
  <si>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</si>
  <si>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</si>
  <si>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</si>
  <si>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</si>
  <si>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</si>
  <si>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</si>
  <si>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</si>
  <si>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</si>
  <si>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</si>
  <si>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</si>
  <si>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</si>
  <si>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</si>
  <si>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</si>
  <si>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</si>
  <si>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</si>
  <si>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</si>
  <si>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</si>
  <si>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</si>
  <si>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</si>
  <si>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</si>
  <si>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</si>
  <si>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</si>
  <si>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</si>
  <si>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</si>
  <si>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</si>
  <si>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</si>
  <si>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</si>
  <si>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</si>
  <si>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</si>
  <si>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</si>
  <si>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</si>
  <si>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</si>
  <si>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</si>
  <si>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</si>
  <si>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</si>
  <si>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</si>
  <si>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</si>
  <si>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</si>
  <si>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</si>
  <si>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</si>
  <si>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</si>
  <si>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</si>
  <si>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</si>
  <si>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</si>
  <si>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</si>
  <si>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</si>
  <si>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</si>
  <si>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</si>
  <si>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</si>
  <si>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</si>
  <si>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</si>
  <si>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</si>
  <si>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</si>
  <si>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</si>
  <si>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</si>
  <si>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</si>
  <si>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</si>
  <si>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</si>
  <si>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</si>
  <si>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</si>
  <si>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</si>
  <si>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</si>
  <si>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</si>
  <si>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</si>
  <si>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</si>
  <si>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</si>
  <si>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</si>
  <si>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</si>
  <si>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</si>
  <si>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</si>
  <si>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</si>
  <si>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</si>
  <si>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</si>
  <si>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</si>
  <si>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</si>
  <si>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</si>
  <si>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</si>
  <si>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</si>
  <si>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</si>
  <si>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</si>
  <si>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</si>
  <si>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</si>
  <si>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</si>
  <si>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</si>
  <si>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</si>
  <si>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</si>
  <si>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</si>
  <si>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</si>
  <si>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</si>
  <si>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</si>
  <si>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</si>
  <si>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</si>
  <si>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</si>
  <si>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</si>
  <si>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</si>
  <si>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</si>
  <si>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</si>
  <si>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</si>
  <si>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</si>
  <si>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</si>
  <si>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</si>
  <si>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</si>
  <si>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</si>
  <si>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</si>
  <si>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</si>
  <si>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</si>
  <si>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</si>
  <si>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</si>
  <si>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</si>
  <si>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</si>
  <si>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</si>
  <si>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</si>
  <si>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</si>
  <si>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</si>
  <si>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</si>
  <si>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</si>
  <si>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</si>
  <si>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</si>
  <si>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</si>
  <si>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</si>
  <si>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</si>
  <si>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</si>
  <si>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</si>
  <si>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</si>
  <si>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</si>
  <si>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</si>
  <si>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</si>
  <si>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</si>
  <si>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</si>
  <si>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</si>
  <si>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</si>
  <si>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</si>
  <si>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</si>
  <si>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</si>
  <si>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</si>
  <si>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</si>
  <si>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</si>
  <si>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</si>
  <si>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</si>
  <si>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</si>
  <si>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</si>
  <si>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</si>
  <si>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</si>
  <si>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</si>
  <si>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</si>
  <si>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</si>
  <si>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</si>
  <si>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</si>
  <si>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</si>
  <si>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</si>
  <si>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</si>
  <si>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</si>
  <si>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</si>
  <si>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</si>
  <si>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</si>
  <si>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</si>
  <si>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</si>
  <si>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</si>
  <si>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</si>
  <si>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</si>
  <si>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</si>
  <si>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</si>
  <si>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</si>
  <si>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</si>
  <si>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</si>
  <si>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</si>
  <si>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</si>
  <si>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</si>
  <si>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</si>
  <si>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</si>
  <si>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</si>
  <si>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</si>
  <si>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</si>
  <si>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</si>
  <si>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</si>
  <si>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</si>
  <si>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</si>
  <si>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</si>
  <si>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</si>
  <si>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</si>
  <si>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</si>
  <si>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</si>
  <si>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</si>
  <si>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</si>
  <si>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</si>
  <si>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</si>
  <si>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</si>
  <si>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</si>
  <si>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</si>
  <si>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</si>
  <si>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</si>
  <si>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</si>
  <si>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</si>
  <si>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</si>
  <si>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</si>
  <si>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</si>
  <si>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</si>
  <si>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</si>
  <si>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</si>
  <si>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</si>
  <si>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</si>
  <si>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</si>
  <si>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</si>
  <si>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</si>
  <si>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</si>
  <si>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</si>
  <si>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</si>
  <si>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</si>
  <si>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</si>
  <si>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</si>
  <si>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</si>
  <si>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</si>
  <si>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</si>
  <si>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</si>
  <si>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</si>
  <si>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</si>
  <si>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</si>
  <si>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</si>
  <si>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</si>
  <si>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</si>
  <si>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</si>
  <si>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</si>
  <si>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</si>
  <si>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</si>
  <si>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</si>
  <si>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</si>
  <si>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</si>
  <si>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</si>
  <si>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</si>
  <si>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</si>
  <si>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</si>
  <si>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</si>
  <si>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</si>
  <si>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</si>
  <si>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</si>
  <si>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</si>
  <si>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</si>
  <si>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</si>
  <si>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</si>
  <si>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</si>
  <si>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</si>
  <si>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</si>
  <si>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</si>
  <si>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</si>
  <si>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</si>
  <si>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</si>
  <si>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</si>
  <si>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</si>
  <si>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</si>
  <si>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</si>
  <si>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</si>
  <si>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</si>
  <si>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</si>
  <si>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</si>
  <si>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</si>
  <si>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</si>
  <si>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</si>
  <si>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</si>
  <si>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</si>
  <si>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</si>
  <si>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</si>
  <si>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</si>
  <si>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</si>
  <si>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</si>
  <si>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</si>
  <si>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</si>
  <si>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</si>
  <si>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</si>
  <si>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</si>
  <si>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</si>
  <si>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</si>
  <si>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</si>
  <si>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</si>
  <si>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</si>
  <si>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</si>
  <si>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</si>
  <si>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</si>
  <si>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</si>
  <si>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</si>
  <si>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</si>
  <si>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</si>
  <si>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</si>
  <si>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</si>
  <si>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</si>
  <si>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</si>
  <si>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</si>
  <si>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</si>
  <si>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</si>
  <si>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</si>
  <si>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</si>
  <si>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</si>
  <si>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</si>
  <si>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</si>
  <si>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</si>
  <si>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</si>
  <si>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</si>
  <si>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</si>
  <si>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</si>
  <si>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</si>
  <si>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</si>
  <si>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</si>
  <si>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</si>
  <si>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</si>
  <si>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</si>
  <si>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</si>
  <si>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</si>
  <si>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</si>
  <si>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</si>
  <si>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</si>
  <si>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</si>
  <si>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</si>
  <si>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</si>
  <si>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</si>
  <si>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</si>
  <si>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</si>
  <si>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</si>
  <si>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</si>
  <si>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</si>
  <si>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</si>
  <si>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</si>
  <si>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</si>
  <si>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</si>
  <si>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</si>
  <si>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</si>
  <si>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</si>
  <si>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</si>
  <si>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</si>
  <si>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</si>
  <si>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</si>
  <si>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</si>
  <si>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</si>
  <si>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</si>
  <si>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</si>
  <si>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</si>
  <si>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</si>
  <si>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</si>
  <si>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</si>
  <si>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</si>
  <si>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</si>
  <si>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</si>
  <si>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</si>
  <si>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</si>
  <si>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</si>
  <si>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</si>
  <si>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</si>
  <si>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</si>
  <si>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</si>
  <si>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</si>
  <si>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</si>
  <si>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</si>
  <si>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</si>
  <si>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</si>
  <si>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</si>
  <si>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</si>
  <si>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</si>
  <si>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</si>
  <si>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</si>
  <si>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</si>
  <si>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</si>
  <si>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</si>
  <si>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</si>
  <si>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</si>
  <si>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</si>
  <si>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</si>
  <si>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</si>
  <si>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</si>
  <si>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</si>
  <si>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</si>
  <si>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</si>
  <si>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</si>
  <si>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</si>
  <si>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</si>
  <si>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</si>
  <si>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</si>
  <si>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</si>
  <si>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</si>
  <si>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</si>
  <si>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</si>
  <si>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</si>
  <si>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</si>
  <si>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</si>
  <si>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</si>
  <si>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</si>
  <si>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</si>
  <si>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</si>
  <si>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</si>
  <si>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</si>
  <si>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</si>
  <si>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</si>
  <si>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</si>
  <si>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</si>
  <si>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</si>
  <si>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</si>
  <si>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</si>
  <si>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</si>
  <si>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</si>
  <si>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</si>
  <si>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</si>
  <si>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</si>
  <si>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</si>
  <si>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</si>
  <si>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</si>
  <si>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</si>
  <si>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</si>
  <si>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</si>
  <si>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</si>
  <si>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</si>
  <si>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</si>
  <si>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</si>
  <si>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</si>
  <si>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</si>
  <si>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</si>
  <si>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</si>
  <si>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</si>
  <si>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</si>
  <si>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</si>
  <si>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</si>
  <si>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</si>
  <si>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</si>
  <si>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</si>
  <si>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</si>
  <si>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</si>
  <si>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</si>
  <si>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</si>
  <si>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</si>
  <si>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</si>
  <si>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</si>
  <si>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</si>
  <si>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</si>
  <si>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</si>
  <si>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</si>
  <si>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</si>
  <si>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</si>
  <si>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</si>
  <si>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</si>
  <si>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</si>
  <si>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</si>
  <si>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</si>
  <si>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</si>
  <si>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</si>
  <si>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</si>
  <si>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</si>
  <si>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</si>
  <si>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</si>
  <si>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</si>
  <si>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</si>
  <si>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</si>
  <si>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</si>
  <si>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</si>
  <si>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</si>
  <si>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</si>
  <si>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</si>
  <si>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</si>
  <si>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</si>
  <si>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</si>
  <si>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</si>
  <si>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</si>
  <si>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</si>
  <si>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</si>
  <si>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</si>
  <si>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</si>
  <si>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</si>
  <si>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</si>
  <si>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</si>
  <si>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</si>
  <si>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</si>
  <si>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</si>
  <si>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</si>
  <si>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</si>
  <si>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</si>
  <si>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</si>
  <si>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</si>
  <si>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</si>
  <si>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</si>
  <si>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</si>
  <si>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</si>
  <si>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</si>
  <si>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</si>
  <si>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</si>
  <si>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</si>
  <si>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</si>
  <si>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</si>
  <si>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</si>
  <si>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</si>
  <si>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</si>
  <si>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</si>
  <si>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</si>
  <si>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</si>
  <si>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</si>
  <si>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</si>
  <si>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</si>
  <si>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</si>
  <si>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</si>
  <si>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</si>
  <si>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</si>
  <si>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</si>
  <si>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</si>
  <si>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</si>
  <si>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</si>
  <si>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</si>
  <si>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</si>
  <si>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</si>
  <si>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</si>
  <si>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</si>
  <si>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</si>
  <si>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</si>
  <si>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</si>
  <si>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</si>
  <si>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</si>
  <si>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</si>
  <si>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</si>
  <si>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</si>
  <si>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</si>
  <si>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</si>
  <si>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</si>
  <si>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</si>
  <si>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</si>
  <si>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</si>
  <si>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</si>
  <si>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</si>
  <si>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</si>
  <si>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</si>
  <si>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</si>
  <si>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</si>
  <si>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</si>
  <si>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</si>
  <si>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</si>
  <si>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</si>
  <si>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</si>
  <si>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</si>
  <si>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</si>
  <si>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</si>
  <si>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</si>
  <si>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</si>
  <si>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</si>
  <si>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</si>
  <si>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</si>
  <si>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</si>
  <si>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</si>
  <si>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</si>
  <si>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</si>
  <si>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</si>
  <si>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</si>
  <si>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</si>
  <si>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</si>
  <si>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</si>
  <si>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</si>
  <si>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</si>
  <si>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</si>
  <si>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</si>
  <si>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</si>
  <si>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</si>
  <si>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</si>
  <si>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</si>
  <si>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</si>
  <si>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</si>
  <si>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</si>
  <si>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</si>
  <si>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</si>
  <si>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</si>
  <si>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</si>
  <si>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</si>
  <si>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</si>
  <si>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</si>
  <si>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</si>
  <si>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</si>
  <si>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</si>
  <si>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</si>
  <si>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</si>
  <si>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</si>
  <si>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</si>
  <si>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</si>
  <si>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</si>
  <si>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</si>
  <si>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</si>
  <si>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</si>
  <si>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</si>
  <si>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</si>
  <si>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</si>
  <si>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</si>
  <si>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</si>
  <si>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</si>
  <si>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</si>
  <si>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</si>
  <si>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</si>
  <si>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</si>
  <si>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</si>
  <si>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</si>
  <si>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</si>
  <si>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</si>
  <si>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</si>
  <si>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</si>
  <si>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</si>
  <si>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</si>
  <si>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</si>
  <si>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</si>
  <si>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</si>
  <si>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</si>
  <si>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</si>
  <si>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</si>
  <si>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</si>
  <si>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</si>
  <si>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</si>
  <si>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</si>
  <si>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</si>
  <si>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</si>
  <si>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</si>
  <si>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</si>
  <si>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</si>
  <si>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</si>
  <si>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</si>
  <si>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</si>
  <si>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</si>
  <si>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</si>
  <si>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</si>
  <si>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</si>
  <si>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</si>
  <si>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</si>
  <si>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</si>
  <si>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</si>
  <si>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</si>
  <si>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</si>
  <si>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</si>
  <si>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</si>
  <si>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</si>
  <si>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</si>
  <si>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</si>
  <si>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</si>
  <si>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</si>
  <si>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</si>
  <si>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</si>
  <si>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</si>
  <si>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</si>
  <si>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</si>
  <si>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</si>
  <si>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</si>
  <si>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</si>
  <si>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</si>
  <si>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</si>
  <si>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</si>
  <si>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</si>
  <si>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</si>
  <si>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</si>
  <si>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</si>
  <si>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</si>
  <si>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</si>
  <si>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</si>
  <si>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</si>
  <si>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</si>
  <si>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</si>
  <si>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</si>
  <si>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</si>
  <si>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</si>
  <si>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</si>
  <si>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</si>
  <si>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</si>
  <si>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</si>
  <si>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</si>
  <si>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</si>
  <si>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</si>
  <si>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</si>
  <si>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</si>
  <si>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</si>
  <si>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</si>
  <si>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</si>
  <si>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</si>
  <si>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</si>
  <si>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</si>
  <si>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</si>
  <si>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</si>
  <si>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</si>
  <si>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</si>
  <si>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</si>
  <si>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</si>
  <si>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</si>
  <si>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</si>
  <si>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</si>
  <si>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</si>
  <si>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</si>
  <si>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</si>
  <si>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</si>
  <si>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</si>
  <si>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</si>
  <si>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</si>
  <si>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</si>
  <si>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</si>
  <si>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</si>
  <si>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</si>
  <si>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</si>
  <si>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</si>
  <si>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</si>
  <si>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</si>
  <si>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</si>
  <si>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</si>
  <si>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</si>
  <si>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</si>
  <si>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</si>
  <si>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</si>
  <si>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</si>
  <si>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</si>
  <si>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</si>
  <si>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</si>
  <si>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</si>
  <si>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</si>
  <si>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</si>
  <si>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</si>
  <si>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</si>
  <si>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</si>
  <si>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</si>
  <si>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</si>
  <si>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</si>
  <si>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</si>
  <si>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</si>
  <si>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</si>
  <si>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</si>
  <si>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</si>
  <si>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</si>
  <si>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</si>
  <si>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</si>
  <si>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</si>
  <si>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</si>
  <si>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</si>
  <si>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</si>
  <si>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</si>
  <si>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</si>
  <si>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</si>
  <si>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</si>
  <si>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</si>
  <si>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</si>
  <si>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</si>
  <si>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</si>
  <si>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</si>
  <si>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</si>
  <si>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</si>
  <si>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</si>
  <si>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</si>
  <si>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</si>
  <si>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</si>
  <si>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</si>
  <si>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</si>
  <si>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</si>
  <si>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</si>
  <si>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</si>
  <si>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</si>
  <si>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</si>
  <si>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</si>
  <si>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</si>
  <si>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</si>
  <si>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</si>
  <si>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</si>
  <si>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</si>
  <si>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</si>
  <si>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</si>
  <si>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</si>
  <si>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</si>
  <si>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</si>
  <si>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</si>
  <si>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</si>
  <si>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</si>
  <si>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</si>
  <si>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</si>
  <si>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</si>
  <si>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</si>
  <si>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</si>
  <si>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</si>
  <si>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</si>
  <si>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</si>
  <si>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</si>
  <si>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</si>
  <si>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</si>
  <si>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</si>
  <si>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</si>
  <si>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</si>
  <si>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</si>
  <si>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</si>
  <si>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</si>
  <si>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</si>
  <si>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</si>
  <si>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</si>
  <si>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</si>
  <si>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</si>
  <si>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</si>
  <si>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</si>
  <si>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</si>
  <si>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</si>
  <si>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</si>
  <si>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</si>
  <si>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</si>
  <si>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</si>
  <si>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</si>
  <si>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</si>
  <si>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</si>
  <si>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</si>
  <si>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</si>
  <si>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</si>
  <si>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</si>
  <si>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</si>
  <si>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</si>
  <si>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</si>
  <si>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</si>
  <si>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</si>
  <si>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</si>
  <si>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</si>
  <si>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</si>
  <si>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</si>
  <si>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</si>
  <si>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</si>
  <si>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</si>
  <si>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</si>
  <si>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</si>
  <si>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</si>
  <si>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</si>
  <si>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</si>
  <si>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</si>
  <si>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</si>
  <si>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</si>
  <si>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</si>
  <si>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</si>
  <si>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</si>
  <si>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</si>
  <si>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</si>
  <si>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</si>
  <si>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</si>
  <si>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</si>
  <si>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</si>
  <si>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</si>
  <si>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</si>
  <si>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</si>
  <si>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</si>
  <si>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</si>
  <si>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</si>
  <si>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</si>
  <si>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</si>
  <si>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</si>
  <si>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</si>
  <si>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</si>
  <si>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</si>
  <si>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</si>
  <si>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</si>
  <si>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</si>
  <si>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</si>
  <si>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</si>
  <si>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</si>
  <si>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</si>
  <si>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</si>
  <si>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</si>
  <si>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</si>
  <si>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</si>
  <si>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</si>
  <si>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</si>
  <si>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</si>
  <si>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</si>
  <si>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</si>
  <si>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</si>
  <si>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</si>
  <si>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</si>
  <si>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</si>
  <si>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</si>
  <si>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</si>
  <si>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</si>
  <si>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</si>
  <si>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</si>
  <si>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</si>
  <si>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</si>
  <si>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</si>
  <si>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</si>
  <si>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</si>
  <si>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</si>
  <si>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</si>
  <si>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</si>
  <si>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</si>
  <si>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</si>
  <si>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</si>
  <si>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</si>
  <si>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</si>
  <si>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</si>
  <si>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</si>
  <si>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</si>
  <si>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</si>
  <si>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</si>
  <si>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</si>
  <si>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</si>
  <si>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</si>
  <si>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</si>
  <si>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</si>
  <si>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</si>
  <si>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</si>
  <si>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</si>
  <si>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</si>
  <si>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</si>
  <si>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</si>
  <si>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</si>
  <si>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</si>
  <si>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</si>
  <si>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</si>
  <si>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</si>
  <si>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</si>
  <si>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</si>
  <si>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</si>
  <si>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</si>
  <si>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</si>
  <si>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</si>
  <si>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</si>
  <si>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</si>
  <si>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</si>
  <si>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</si>
  <si>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</si>
  <si>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</si>
  <si>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</si>
  <si>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</si>
  <si>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</si>
  <si>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</si>
  <si>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</si>
  <si>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</si>
  <si>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</si>
  <si>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</si>
  <si>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</si>
  <si>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</si>
  <si>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</si>
  <si>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</si>
  <si>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</si>
  <si>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</si>
  <si>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</si>
  <si>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</si>
  <si>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</si>
  <si>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</si>
  <si>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</si>
  <si>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</si>
  <si>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</si>
  <si>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</si>
  <si>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</si>
  <si>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</si>
  <si>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</si>
  <si>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</si>
  <si>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</si>
  <si>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</si>
  <si>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</si>
  <si>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</si>
  <si>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</si>
  <si>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</si>
  <si>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</si>
  <si>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</si>
  <si>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</si>
  <si>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</si>
  <si>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</si>
  <si>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</si>
  <si>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</si>
  <si>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</si>
  <si>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</si>
  <si>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</si>
  <si>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</si>
  <si>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</si>
  <si>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</si>
  <si>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</si>
  <si>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</si>
  <si>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</si>
  <si>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</si>
  <si>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</si>
  <si>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</si>
  <si>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</si>
  <si>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</si>
  <si>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</si>
  <si>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</si>
  <si>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</si>
  <si>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</si>
  <si>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</si>
  <si>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</si>
  <si>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</si>
  <si>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</si>
  <si>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</si>
  <si>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</si>
  <si>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</si>
  <si>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</si>
  <si>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</si>
  <si>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</si>
  <si>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</si>
  <si>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</si>
  <si>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</si>
  <si>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</si>
  <si>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</si>
  <si>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</si>
  <si>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</si>
  <si>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</si>
  <si>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</si>
  <si>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</si>
  <si>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</si>
  <si>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</si>
  <si>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</si>
  <si>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</si>
  <si>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</si>
  <si>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</si>
  <si>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</si>
  <si>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</si>
  <si>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</si>
  <si>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</si>
  <si>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</si>
  <si>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</si>
  <si>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</si>
  <si>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</si>
  <si>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</si>
  <si>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</si>
  <si>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</si>
  <si>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</si>
  <si>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</si>
  <si>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</si>
  <si>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</si>
  <si>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</si>
  <si>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</si>
  <si>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</si>
  <si>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</si>
  <si>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</si>
  <si>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</si>
  <si>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</si>
  <si>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</si>
  <si>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</si>
  <si>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</si>
  <si>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</si>
  <si>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</si>
  <si>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</si>
  <si>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</si>
  <si>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</si>
  <si>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</si>
  <si>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</si>
  <si>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</si>
  <si>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</si>
  <si>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</si>
  <si>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</si>
  <si>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</si>
  <si>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</si>
  <si>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</si>
  <si>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</si>
  <si>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</si>
  <si>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</si>
  <si>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</si>
  <si>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</si>
  <si>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</si>
  <si>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</si>
  <si>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</si>
  <si>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</si>
  <si>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</si>
  <si>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</si>
  <si>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</si>
  <si>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</si>
  <si>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</si>
  <si>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</si>
  <si>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</si>
  <si>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</si>
  <si>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</si>
  <si>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</si>
  <si>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</si>
  <si>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</si>
  <si>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</si>
  <si>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</si>
  <si>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</si>
  <si>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</si>
  <si>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</si>
  <si>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</si>
  <si>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</si>
  <si>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</si>
  <si>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</si>
  <si>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</si>
  <si>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</si>
  <si>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</si>
  <si>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</si>
  <si>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</si>
  <si>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</si>
  <si>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</si>
  <si>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</si>
  <si>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</si>
  <si>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</si>
  <si>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</si>
  <si>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</si>
  <si>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</si>
  <si>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</si>
  <si>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</si>
  <si>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</si>
  <si>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</si>
  <si>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</si>
  <si>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</si>
  <si>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</si>
  <si>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</si>
  <si>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</si>
  <si>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</si>
  <si>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</si>
  <si>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</si>
  <si>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</si>
  <si>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</si>
  <si>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</si>
  <si>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</si>
  <si>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</si>
  <si>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</si>
  <si>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</si>
  <si>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</si>
  <si>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</si>
  <si>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</si>
  <si>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</si>
  <si>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</si>
  <si>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</si>
  <si>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</si>
  <si>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</si>
  <si>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</si>
  <si>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</si>
  <si>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</si>
  <si>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</si>
  <si>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</si>
  <si>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</si>
  <si>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</si>
  <si>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</si>
  <si>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</si>
  <si>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</si>
  <si>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</si>
  <si>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</si>
  <si>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</si>
  <si>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</si>
  <si>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</si>
  <si>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</si>
  <si>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</si>
  <si>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</si>
  <si>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</si>
  <si>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</si>
  <si>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</si>
  <si>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</si>
  <si>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</si>
  <si>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</si>
  <si>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</si>
  <si>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</si>
  <si>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</si>
  <si>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</si>
  <si>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</si>
  <si>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</si>
  <si>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</si>
  <si>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</si>
  <si>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</si>
  <si>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</si>
  <si>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</si>
  <si>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</si>
  <si>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</si>
  <si>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</si>
  <si>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</si>
  <si>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</si>
  <si>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</si>
  <si>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</si>
  <si>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</si>
  <si>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</si>
  <si>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</si>
  <si>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</si>
  <si>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</si>
  <si>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</si>
  <si>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</si>
  <si>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</si>
  <si>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</si>
  <si>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</si>
  <si>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</si>
  <si>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</si>
  <si>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</si>
  <si>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</si>
  <si>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</si>
  <si>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</si>
  <si>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</si>
  <si>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</si>
  <si>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</si>
  <si>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</si>
  <si>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</si>
  <si>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</si>
  <si>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</si>
  <si>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</si>
  <si>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</si>
  <si>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</si>
  <si>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</si>
  <si>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</si>
  <si>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</si>
  <si>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</si>
  <si>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</si>
  <si>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</si>
  <si>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</si>
  <si>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</si>
  <si>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</si>
  <si>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</si>
  <si>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</si>
  <si>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</si>
  <si>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</si>
  <si>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</si>
  <si>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</si>
  <si>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</si>
  <si>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</si>
  <si>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</si>
  <si>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</si>
  <si>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</si>
  <si>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</si>
  <si>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</si>
  <si>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</si>
  <si>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</si>
  <si>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</si>
  <si>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</si>
  <si>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</si>
  <si>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</si>
  <si>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</si>
  <si>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</si>
  <si>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</si>
  <si>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</si>
  <si>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</si>
  <si>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</si>
  <si>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</si>
  <si>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</si>
  <si>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</si>
  <si>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</si>
  <si>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</si>
  <si>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</si>
  <si>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</si>
  <si>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</si>
  <si>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</si>
  <si>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</si>
  <si>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</si>
  <si>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</si>
  <si>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</si>
  <si>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</si>
  <si>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</si>
  <si>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</si>
  <si>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</si>
  <si>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</si>
  <si>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</si>
  <si>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</si>
  <si>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</si>
  <si>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</si>
  <si>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</si>
  <si>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</si>
  <si>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</si>
  <si>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</si>
  <si>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</si>
  <si>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</si>
  <si>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</si>
  <si>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</si>
  <si>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</si>
  <si>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</si>
  <si>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</si>
  <si>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</si>
  <si>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</si>
  <si>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</si>
  <si>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</si>
  <si>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</si>
  <si>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</si>
  <si>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</si>
  <si>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</si>
  <si>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</si>
  <si>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</si>
  <si>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</si>
  <si>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</si>
  <si>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</si>
  <si>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</si>
  <si>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</si>
  <si>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</si>
  <si>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</si>
  <si>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</si>
  <si>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</si>
  <si>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</si>
  <si>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</si>
  <si>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</si>
  <si>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</si>
  <si>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</si>
  <si>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</si>
  <si>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</si>
  <si>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</si>
  <si>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</si>
  <si>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</si>
  <si>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</si>
  <si>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</si>
  <si>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</si>
  <si>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</si>
  <si>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</si>
  <si>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</si>
  <si>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</si>
  <si>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</si>
  <si>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</si>
  <si>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</si>
  <si>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</si>
  <si>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</si>
  <si>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</si>
  <si>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</si>
  <si>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</si>
  <si>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</si>
  <si>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</si>
  <si>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</si>
  <si>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</si>
  <si>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</si>
  <si>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</si>
  <si>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</si>
  <si>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</si>
  <si>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</si>
  <si>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</si>
  <si>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</si>
  <si>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</si>
  <si>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</si>
  <si>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</si>
  <si>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</si>
  <si>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</si>
  <si>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</si>
  <si>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</si>
  <si>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</si>
  <si>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</si>
  <si>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</si>
  <si>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</si>
  <si>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</si>
  <si>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</si>
  <si>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</si>
  <si>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</si>
  <si>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</si>
  <si>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</si>
  <si>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</si>
  <si>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</si>
  <si>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</si>
  <si>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</si>
  <si>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</si>
  <si>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</si>
  <si>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</si>
  <si>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</si>
  <si>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</si>
  <si>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</si>
  <si>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</si>
  <si>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</si>
  <si>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</si>
  <si>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</si>
  <si>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</si>
  <si>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</si>
  <si>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</si>
  <si>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</si>
  <si>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</si>
  <si>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</si>
  <si>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</si>
  <si>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</si>
  <si>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</si>
  <si>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</si>
  <si>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</si>
  <si>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</si>
  <si>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</si>
  <si>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</si>
  <si>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</si>
  <si>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</si>
  <si>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</si>
  <si>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</si>
  <si>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</si>
  <si>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</si>
  <si>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</si>
  <si>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</si>
  <si>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</si>
  <si>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</si>
  <si>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</si>
  <si>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</si>
  <si>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</si>
  <si>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</si>
  <si>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</si>
  <si>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</si>
  <si>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</si>
  <si>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</si>
  <si>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</si>
  <si>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</si>
  <si>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</si>
  <si>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</si>
  <si>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</si>
  <si>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</si>
  <si>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</si>
  <si>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</si>
  <si>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</si>
  <si>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</si>
  <si>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</si>
  <si>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</si>
  <si>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</si>
  <si>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</si>
  <si>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</si>
  <si>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</si>
  <si>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</si>
  <si>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</si>
  <si>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</si>
  <si>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</si>
  <si>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</si>
  <si>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</si>
  <si>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</si>
  <si>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</si>
  <si>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</si>
  <si>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</si>
  <si>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</si>
  <si>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</si>
  <si>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</si>
  <si>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</si>
  <si>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</si>
  <si>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</si>
  <si>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</si>
  <si>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</si>
  <si>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</si>
  <si>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</si>
  <si>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</si>
  <si>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</si>
  <si>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</si>
  <si>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</si>
  <si>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</si>
  <si>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</si>
  <si>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</si>
  <si>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</si>
  <si>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</si>
  <si>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</si>
  <si>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</si>
  <si>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</si>
  <si>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</si>
  <si>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</si>
  <si>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</si>
  <si>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</si>
  <si>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</si>
  <si>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</si>
  <si>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</si>
  <si>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</si>
  <si>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</si>
  <si>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</si>
  <si>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</si>
  <si>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</si>
  <si>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</si>
  <si>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</si>
  <si>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</si>
  <si>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</si>
  <si>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</si>
  <si>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</si>
  <si>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</si>
  <si>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</si>
  <si>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</si>
  <si>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</si>
  <si>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</si>
  <si>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</si>
  <si>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</si>
  <si>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</si>
  <si>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</si>
  <si>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</si>
  <si>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</si>
  <si>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</si>
  <si>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</si>
  <si>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</si>
  <si>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</si>
  <si>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</si>
  <si>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</si>
  <si>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</si>
  <si>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</si>
  <si>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</si>
  <si>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</si>
  <si>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</si>
  <si>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</si>
  <si>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</si>
  <si>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</si>
  <si>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</si>
  <si>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</si>
  <si>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</si>
  <si>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</si>
  <si>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</si>
  <si>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</si>
  <si>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</si>
  <si>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</si>
  <si>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</si>
  <si>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</si>
  <si>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</si>
  <si>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</si>
  <si>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</si>
  <si>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</si>
  <si>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</si>
  <si>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</si>
  <si>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</si>
  <si>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</si>
  <si>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</si>
  <si>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</si>
  <si>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</si>
  <si>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</si>
  <si>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</si>
  <si>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</si>
  <si>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</si>
  <si>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</si>
  <si>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</si>
  <si>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</si>
  <si>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</si>
  <si>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</si>
  <si>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</si>
  <si>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</si>
  <si>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</si>
  <si>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</si>
  <si>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</si>
  <si>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</si>
  <si>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</si>
  <si>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</si>
  <si>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</si>
  <si>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</si>
  <si>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</si>
  <si>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</si>
  <si>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</si>
  <si>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</si>
  <si>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</si>
  <si>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</si>
  <si>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</si>
  <si>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</si>
  <si>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</si>
  <si>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</si>
  <si>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</si>
  <si>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</si>
  <si>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</si>
  <si>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</si>
  <si>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</si>
  <si>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</si>
  <si>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</si>
  <si>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</si>
  <si>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</si>
  <si>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</si>
  <si>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</si>
  <si>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</si>
  <si>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</si>
  <si>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</si>
  <si>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</si>
  <si>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</si>
  <si>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</si>
  <si>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</si>
  <si>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</si>
  <si>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</si>
  <si>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</si>
  <si>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</si>
  <si>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</si>
  <si>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</si>
  <si>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</si>
  <si>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</si>
  <si>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</si>
  <si>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</si>
  <si>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</si>
  <si>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</si>
  <si>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</si>
  <si>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</si>
  <si>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</si>
  <si>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</si>
  <si>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</si>
  <si>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</si>
  <si>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</si>
  <si>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</si>
  <si>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</si>
  <si>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</si>
  <si>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</si>
  <si>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</si>
  <si>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</si>
  <si>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</si>
  <si>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</si>
  <si>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</si>
  <si>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</si>
  <si>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</si>
  <si>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</si>
  <si>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</si>
  <si>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</si>
  <si>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</si>
  <si>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</si>
  <si>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</si>
  <si>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</si>
  <si>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</si>
  <si>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</si>
  <si>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</si>
  <si>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</si>
  <si>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</si>
  <si>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</si>
  <si>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</si>
  <si>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</si>
  <si>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</si>
  <si>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</si>
  <si>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</si>
  <si>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</si>
  <si>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</si>
  <si>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</si>
  <si>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</si>
  <si>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</si>
  <si>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</si>
  <si>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</si>
  <si>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</si>
  <si>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</si>
  <si>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</si>
  <si>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</si>
  <si>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</si>
  <si>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</si>
  <si>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</si>
  <si>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</si>
  <si>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</si>
  <si>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</si>
  <si>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</si>
  <si>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</si>
  <si>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</si>
  <si>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</si>
  <si>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</si>
  <si>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</si>
  <si>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</si>
  <si>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</si>
  <si>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</si>
  <si>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</si>
  <si>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</si>
  <si>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</si>
  <si>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</si>
  <si>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</si>
  <si>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</si>
  <si>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</si>
  <si>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</si>
  <si>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</si>
  <si>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</si>
  <si>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</si>
  <si>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</si>
  <si>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</si>
  <si>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</si>
  <si>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</si>
  <si>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</si>
  <si>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</si>
  <si>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</si>
  <si>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</si>
  <si>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</si>
  <si>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</si>
  <si>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</si>
  <si>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</si>
  <si>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</si>
  <si>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</si>
  <si>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</si>
  <si>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</si>
  <si>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</si>
  <si>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</si>
  <si>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</si>
  <si>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</si>
  <si>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</si>
  <si>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</si>
  <si>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</si>
  <si>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</si>
  <si>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</si>
  <si>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</si>
  <si>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</si>
  <si>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</si>
  <si>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</si>
  <si>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</si>
  <si>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</si>
  <si>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</si>
  <si>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</si>
  <si>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</si>
  <si>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</si>
  <si>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</si>
  <si>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</si>
  <si>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</si>
  <si>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</si>
  <si>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</si>
  <si>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</si>
  <si>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</si>
  <si>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</si>
  <si>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</si>
  <si>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</si>
  <si>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</si>
  <si>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</si>
  <si>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</si>
  <si>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</si>
  <si>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</si>
  <si>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</si>
  <si>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</si>
  <si>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</si>
  <si>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</si>
  <si>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</si>
  <si>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</si>
  <si>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</si>
  <si>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</si>
  <si>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</si>
  <si>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</si>
  <si>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</si>
  <si>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</si>
  <si>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</si>
  <si>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</si>
  <si>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</si>
  <si>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</si>
  <si>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</si>
  <si>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</si>
  <si>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</si>
  <si>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</si>
  <si>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</si>
  <si>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</si>
  <si>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</si>
  <si>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</si>
  <si>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</si>
  <si>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</si>
  <si>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</si>
  <si>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</si>
  <si>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</si>
  <si>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</si>
  <si>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</si>
  <si>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</si>
  <si>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</si>
  <si>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</si>
  <si>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</si>
  <si>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</si>
  <si>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</si>
  <si>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</si>
  <si>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</si>
  <si>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</si>
  <si>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</si>
  <si>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</si>
  <si>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</si>
  <si>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</si>
  <si>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</si>
  <si>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</si>
  <si>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</si>
  <si>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</si>
  <si>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</si>
  <si>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</si>
  <si>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</si>
  <si>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</si>
  <si>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</si>
  <si>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</si>
  <si>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</si>
  <si>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</si>
  <si>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</si>
  <si>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</si>
  <si>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</si>
  <si>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</si>
  <si>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</si>
  <si>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</si>
  <si>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</si>
  <si>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</si>
  <si>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</si>
  <si>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</si>
  <si>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</si>
  <si>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</si>
  <si>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</si>
  <si>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</si>
  <si>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</si>
  <si>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</si>
  <si>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</si>
  <si>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</si>
  <si>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</si>
  <si>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</si>
  <si>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</si>
  <si>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</si>
  <si>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</si>
  <si>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</si>
  <si>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</si>
  <si>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</si>
  <si>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</si>
  <si>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</si>
  <si>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</si>
  <si>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</si>
  <si>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</si>
  <si>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</si>
  <si>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</si>
  <si>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</si>
  <si>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</si>
  <si>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</si>
  <si>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</si>
  <si>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</si>
  <si>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</si>
  <si>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</si>
  <si>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</si>
  <si>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</si>
  <si>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</si>
  <si>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</si>
  <si>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</si>
  <si>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</si>
  <si>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</si>
  <si>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</si>
  <si>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</si>
  <si>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</si>
  <si>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</si>
  <si>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</si>
  <si>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</si>
  <si>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</si>
  <si>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</si>
  <si>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</si>
  <si>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</si>
  <si>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</si>
  <si>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</si>
  <si>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</si>
  <si>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</si>
  <si>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</si>
  <si>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</si>
  <si>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</si>
  <si>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</si>
  <si>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</si>
  <si>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</si>
  <si>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</si>
  <si>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</si>
  <si>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</si>
  <si>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</si>
  <si>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</si>
  <si>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</si>
  <si>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</si>
  <si>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</si>
  <si>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</si>
  <si>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</si>
  <si>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</si>
  <si>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</si>
  <si>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</si>
  <si>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</si>
  <si>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</si>
  <si>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</si>
  <si>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</si>
  <si>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</si>
  <si>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</si>
  <si>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</si>
  <si>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</si>
  <si>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</si>
  <si>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</si>
  <si>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</si>
  <si>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</si>
  <si>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</si>
  <si>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</si>
  <si>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</si>
  <si>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</si>
  <si>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</si>
  <si>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</si>
  <si>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</si>
  <si>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</si>
  <si>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</si>
  <si>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</si>
  <si>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</si>
  <si>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</si>
  <si>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</si>
  <si>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</si>
  <si>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</si>
  <si>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</si>
  <si>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</si>
  <si>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</si>
  <si>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</si>
  <si>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</si>
  <si>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</si>
  <si>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</si>
  <si>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</si>
  <si>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</si>
  <si>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</si>
  <si>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</si>
  <si>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</si>
  <si>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</si>
  <si>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</si>
  <si>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</si>
  <si>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</si>
  <si>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</si>
  <si>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</si>
  <si>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</si>
  <si>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</si>
  <si>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</si>
  <si>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</si>
  <si>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</si>
  <si>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</si>
  <si>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</si>
  <si>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</si>
  <si>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</si>
  <si>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</si>
  <si>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房地产抵押价值</t>
  </si>
  <si>
    <t>房地产市场价值</t>
  </si>
  <si>
    <t>北京市</t>
  </si>
  <si>
    <t>企业</t>
  </si>
  <si>
    <t>住宅用地面积</t>
    <phoneticPr fontId="134" type="noConversion"/>
  </si>
  <si>
    <t>0066地块</t>
    <phoneticPr fontId="134" type="noConversion"/>
  </si>
  <si>
    <t>总面积</t>
    <phoneticPr fontId="134" type="noConversion"/>
  </si>
  <si>
    <t>商业</t>
    <phoneticPr fontId="134" type="noConversion"/>
  </si>
  <si>
    <t>物业</t>
    <phoneticPr fontId="134" type="noConversion"/>
  </si>
  <si>
    <t>配套</t>
    <phoneticPr fontId="134" type="noConversion"/>
  </si>
  <si>
    <t>人防</t>
    <phoneticPr fontId="134" type="noConversion"/>
  </si>
  <si>
    <t>车库</t>
    <phoneticPr fontId="134" type="noConversion"/>
  </si>
  <si>
    <t>1#住宅楼</t>
    <phoneticPr fontId="134" type="noConversion"/>
  </si>
  <si>
    <t>2#住宅楼</t>
    <phoneticPr fontId="134" type="noConversion"/>
  </si>
  <si>
    <t>3#住宅楼</t>
  </si>
  <si>
    <t>4#住宅楼</t>
  </si>
  <si>
    <t>5#住宅楼</t>
  </si>
  <si>
    <t>6#住宅楼</t>
  </si>
  <si>
    <t>7#住宅楼</t>
  </si>
  <si>
    <t>8#住宅楼</t>
  </si>
  <si>
    <t>9#住宅楼</t>
  </si>
  <si>
    <t>10#住宅楼</t>
  </si>
  <si>
    <t>11#住宅楼</t>
  </si>
  <si>
    <t>12#住宅楼</t>
  </si>
  <si>
    <t>13#住宅楼</t>
  </si>
  <si>
    <t>14#住宅楼</t>
  </si>
  <si>
    <t>15#住宅楼</t>
  </si>
  <si>
    <t>066地块</t>
    <phoneticPr fontId="134" type="noConversion"/>
  </si>
  <si>
    <t>总建筑面积</t>
    <phoneticPr fontId="134" type="noConversion"/>
  </si>
  <si>
    <t>地上建筑面积</t>
    <phoneticPr fontId="134" type="noConversion"/>
  </si>
  <si>
    <t>其他商服</t>
    <phoneticPr fontId="134" type="noConversion"/>
  </si>
  <si>
    <t>地下建筑面积</t>
    <phoneticPr fontId="134" type="noConversion"/>
  </si>
  <si>
    <t>地下车库</t>
    <phoneticPr fontId="134" type="noConversion"/>
  </si>
  <si>
    <t>080地块</t>
    <phoneticPr fontId="134" type="noConversion"/>
  </si>
  <si>
    <t>住宅</t>
  </si>
  <si>
    <t>住宅</t>
    <phoneticPr fontId="3" type="noConversion"/>
  </si>
  <si>
    <t>地下车库</t>
  </si>
  <si>
    <t>地下车库</t>
    <phoneticPr fontId="3" type="noConversion"/>
  </si>
  <si>
    <t>是</t>
  </si>
  <si>
    <t>地上</t>
  </si>
  <si>
    <t>地下</t>
  </si>
  <si>
    <t>项目模式</t>
  </si>
  <si>
    <t>售价</t>
  </si>
  <si>
    <t>成新度</t>
  </si>
  <si>
    <t>比较法-车位</t>
  </si>
  <si>
    <t>比较法-住宅</t>
  </si>
  <si>
    <t>国祥源境</t>
    <phoneticPr fontId="3" type="noConversion"/>
  </si>
  <si>
    <t>祥誉佳园</t>
    <phoneticPr fontId="3" type="noConversion"/>
  </si>
  <si>
    <t>国祥雲著</t>
    <phoneticPr fontId="3" type="noConversion"/>
  </si>
  <si>
    <t>正常</t>
  </si>
  <si>
    <t>住宅</t>
    <phoneticPr fontId="24" type="noConversion"/>
  </si>
  <si>
    <t>较好</t>
  </si>
  <si>
    <t>一般</t>
  </si>
  <si>
    <t>60-70</t>
    <phoneticPr fontId="24" type="noConversion"/>
  </si>
  <si>
    <t>多层、小高层</t>
    <phoneticPr fontId="24" type="noConversion"/>
  </si>
  <si>
    <t>钢混</t>
    <phoneticPr fontId="24" type="noConversion"/>
  </si>
  <si>
    <t>精装修</t>
    <phoneticPr fontId="24" type="noConversion"/>
  </si>
  <si>
    <t>专业</t>
    <phoneticPr fontId="24" type="noConversion"/>
  </si>
  <si>
    <t>七通</t>
  </si>
  <si>
    <t>七通</t>
    <phoneticPr fontId="24" type="noConversion"/>
  </si>
  <si>
    <t>平层</t>
    <phoneticPr fontId="24" type="noConversion"/>
  </si>
  <si>
    <t>国祥府</t>
    <phoneticPr fontId="3" type="noConversion"/>
  </si>
  <si>
    <t>北京恒大上河院</t>
    <phoneticPr fontId="3" type="noConversion"/>
  </si>
  <si>
    <t>元/车位</t>
  </si>
  <si>
    <t>车位</t>
  </si>
  <si>
    <t>车位</t>
    <phoneticPr fontId="31" type="noConversion"/>
  </si>
  <si>
    <t>1:1.2</t>
    <phoneticPr fontId="31" type="noConversion"/>
  </si>
  <si>
    <t>普通装修</t>
    <phoneticPr fontId="31" type="noConversion"/>
  </si>
  <si>
    <t>专业</t>
    <phoneticPr fontId="31" type="noConversion"/>
  </si>
  <si>
    <t>普通车位</t>
    <phoneticPr fontId="31" type="noConversion"/>
  </si>
  <si>
    <t>均价</t>
    <phoneticPr fontId="134" type="noConversion"/>
  </si>
  <si>
    <t>40-50</t>
    <phoneticPr fontId="31" type="noConversion"/>
  </si>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</sst>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47" fillId="0" borderId="0" xfId="10" applyFont="1">
      <alignment vertical="center"/>
    </xf>
    <xf numFmtId="0" fontId="147" fillId="5" borderId="0" xfId="10" applyFont="1" applyFill="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0" fillId="9" borderId="0" xfId="0" applyFill="1">
      <alignment vertical="center"/>
    </xf>
    <xf numFmtId="0" fontId="147" fillId="9"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3" Type="http://schemas.openxmlformats.org/officeDocument/2006/relationships/image" Target="../media/image24.png"/><Relationship Id="rId7" Type="http://schemas.openxmlformats.org/officeDocument/2006/relationships/image" Target="../media/image36.png"/><Relationship Id="rId12" Type="http://schemas.openxmlformats.org/officeDocument/2006/relationships/image" Target="../media/image41.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26.png"/><Relationship Id="rId15" Type="http://schemas.openxmlformats.org/officeDocument/2006/relationships/image" Target="../media/image44.png"/><Relationship Id="rId10" Type="http://schemas.openxmlformats.org/officeDocument/2006/relationships/image" Target="../media/image39.png"/><Relationship Id="rId4" Type="http://schemas.openxmlformats.org/officeDocument/2006/relationships/image" Target="../media/image25.png"/><Relationship Id="rId9" Type="http://schemas.openxmlformats.org/officeDocument/2006/relationships/image" Target="../media/image38.png"/><Relationship Id="rId14"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144122</xdr:rowOff>
    </xdr:from>
    <xdr:to>
      <xdr:col>7</xdr:col>
      <xdr:colOff>177832</xdr:colOff>
      <xdr:row>73</xdr:row>
      <xdr:rowOff>90958</xdr:rowOff>
    </xdr:to>
    <xdr:pic>
      <xdr:nvPicPr>
        <xdr:cNvPr id="2" name="图片 1">
          <a:extLst>
            <a:ext uri="{FF2B5EF4-FFF2-40B4-BE49-F238E27FC236}">
              <a16:creationId xmlns:a16="http://schemas.microsoft.com/office/drawing/2014/main" id="{5149D3E9-48CE-42B4-93BC-4D4A177350D7}"/>
            </a:ext>
          </a:extLst>
        </xdr:cNvPr>
        <xdr:cNvPicPr>
          <a:picLocks noChangeAspect="1"/>
        </xdr:cNvPicPr>
      </xdr:nvPicPr>
      <xdr:blipFill>
        <a:blip xmlns:r="http://schemas.openxmlformats.org/officeDocument/2006/relationships" r:embed="rId1"/>
        <a:stretch>
          <a:fillRect/>
        </a:stretch>
      </xdr:blipFill>
      <xdr:spPr>
        <a:xfrm>
          <a:off x="0" y="7202147"/>
          <a:ext cx="4978432" cy="6099986"/>
        </a:xfrm>
        <a:prstGeom prst="rect">
          <a:avLst/>
        </a:prstGeom>
      </xdr:spPr>
    </xdr:pic>
    <xdr:clientData/>
  </xdr:twoCellAnchor>
  <xdr:twoCellAnchor editAs="oneCell">
    <xdr:from>
      <xdr:col>0</xdr:col>
      <xdr:colOff>0</xdr:colOff>
      <xdr:row>18</xdr:row>
      <xdr:rowOff>47623</xdr:rowOff>
    </xdr:from>
    <xdr:to>
      <xdr:col>13</xdr:col>
      <xdr:colOff>251258</xdr:colOff>
      <xdr:row>24</xdr:row>
      <xdr:rowOff>109394</xdr:rowOff>
    </xdr:to>
    <xdr:pic>
      <xdr:nvPicPr>
        <xdr:cNvPr id="3" name="图片 2">
          <a:extLst>
            <a:ext uri="{FF2B5EF4-FFF2-40B4-BE49-F238E27FC236}">
              <a16:creationId xmlns:a16="http://schemas.microsoft.com/office/drawing/2014/main" id="{3E252FFE-8414-49BB-8392-665766C9175E}"/>
            </a:ext>
          </a:extLst>
        </xdr:cNvPr>
        <xdr:cNvPicPr>
          <a:picLocks noChangeAspect="1"/>
        </xdr:cNvPicPr>
      </xdr:nvPicPr>
      <xdr:blipFill>
        <a:blip xmlns:r="http://schemas.openxmlformats.org/officeDocument/2006/relationships" r:embed="rId2"/>
        <a:stretch>
          <a:fillRect/>
        </a:stretch>
      </xdr:blipFill>
      <xdr:spPr>
        <a:xfrm>
          <a:off x="0" y="3305173"/>
          <a:ext cx="9166658" cy="1147621"/>
        </a:xfrm>
        <a:prstGeom prst="rect">
          <a:avLst/>
        </a:prstGeom>
      </xdr:spPr>
    </xdr:pic>
    <xdr:clientData/>
  </xdr:twoCellAnchor>
  <xdr:twoCellAnchor editAs="oneCell">
    <xdr:from>
      <xdr:col>0</xdr:col>
      <xdr:colOff>0</xdr:colOff>
      <xdr:row>25</xdr:row>
      <xdr:rowOff>47623</xdr:rowOff>
    </xdr:from>
    <xdr:to>
      <xdr:col>13</xdr:col>
      <xdr:colOff>441735</xdr:colOff>
      <xdr:row>40</xdr:row>
      <xdr:rowOff>149669</xdr:rowOff>
    </xdr:to>
    <xdr:pic>
      <xdr:nvPicPr>
        <xdr:cNvPr id="4" name="图片 3">
          <a:extLst>
            <a:ext uri="{FF2B5EF4-FFF2-40B4-BE49-F238E27FC236}">
              <a16:creationId xmlns:a16="http://schemas.microsoft.com/office/drawing/2014/main" id="{BB11480B-5F81-46C5-93EA-0545C439662E}"/>
            </a:ext>
          </a:extLst>
        </xdr:cNvPr>
        <xdr:cNvPicPr>
          <a:picLocks noChangeAspect="1"/>
        </xdr:cNvPicPr>
      </xdr:nvPicPr>
      <xdr:blipFill>
        <a:blip xmlns:r="http://schemas.openxmlformats.org/officeDocument/2006/relationships" r:embed="rId3"/>
        <a:stretch>
          <a:fillRect/>
        </a:stretch>
      </xdr:blipFill>
      <xdr:spPr>
        <a:xfrm>
          <a:off x="0" y="4571998"/>
          <a:ext cx="9357135" cy="2816671"/>
        </a:xfrm>
        <a:prstGeom prst="rect">
          <a:avLst/>
        </a:prstGeom>
      </xdr:spPr>
    </xdr:pic>
    <xdr:clientData/>
  </xdr:twoCellAnchor>
  <xdr:twoCellAnchor editAs="oneCell">
    <xdr:from>
      <xdr:col>0</xdr:col>
      <xdr:colOff>0</xdr:colOff>
      <xdr:row>0</xdr:row>
      <xdr:rowOff>0</xdr:rowOff>
    </xdr:from>
    <xdr:to>
      <xdr:col>10</xdr:col>
      <xdr:colOff>370565</xdr:colOff>
      <xdr:row>18</xdr:row>
      <xdr:rowOff>71026</xdr:rowOff>
    </xdr:to>
    <xdr:pic>
      <xdr:nvPicPr>
        <xdr:cNvPr id="5" name="图片 4">
          <a:extLst>
            <a:ext uri="{FF2B5EF4-FFF2-40B4-BE49-F238E27FC236}">
              <a16:creationId xmlns:a16="http://schemas.microsoft.com/office/drawing/2014/main" id="{4ECD2BBF-421D-4889-996D-CB1181714DB4}"/>
            </a:ext>
          </a:extLst>
        </xdr:cNvPr>
        <xdr:cNvPicPr>
          <a:picLocks noChangeAspect="1"/>
        </xdr:cNvPicPr>
      </xdr:nvPicPr>
      <xdr:blipFill>
        <a:blip xmlns:r="http://schemas.openxmlformats.org/officeDocument/2006/relationships" r:embed="rId4"/>
        <a:stretch>
          <a:fillRect/>
        </a:stretch>
      </xdr:blipFill>
      <xdr:spPr>
        <a:xfrm>
          <a:off x="0" y="0"/>
          <a:ext cx="7228565" cy="3328576"/>
        </a:xfrm>
        <a:prstGeom prst="rect">
          <a:avLst/>
        </a:prstGeom>
      </xdr:spPr>
    </xdr:pic>
    <xdr:clientData/>
  </xdr:twoCellAnchor>
  <xdr:twoCellAnchor editAs="oneCell">
    <xdr:from>
      <xdr:col>23</xdr:col>
      <xdr:colOff>3968</xdr:colOff>
      <xdr:row>81</xdr:row>
      <xdr:rowOff>10583</xdr:rowOff>
    </xdr:from>
    <xdr:to>
      <xdr:col>39</xdr:col>
      <xdr:colOff>676130</xdr:colOff>
      <xdr:row>118</xdr:row>
      <xdr:rowOff>174042</xdr:rowOff>
    </xdr:to>
    <xdr:pic>
      <xdr:nvPicPr>
        <xdr:cNvPr id="6" name="图片 5">
          <a:extLst>
            <a:ext uri="{FF2B5EF4-FFF2-40B4-BE49-F238E27FC236}">
              <a16:creationId xmlns:a16="http://schemas.microsoft.com/office/drawing/2014/main" id="{842EA1F5-9D1D-4ABB-A88C-938BDA5972BC}"/>
            </a:ext>
          </a:extLst>
        </xdr:cNvPr>
        <xdr:cNvPicPr>
          <a:picLocks noChangeAspect="1"/>
        </xdr:cNvPicPr>
      </xdr:nvPicPr>
      <xdr:blipFill>
        <a:blip xmlns:r="http://schemas.openxmlformats.org/officeDocument/2006/relationships" r:embed="rId5"/>
        <a:stretch>
          <a:fillRect/>
        </a:stretch>
      </xdr:blipFill>
      <xdr:spPr>
        <a:xfrm>
          <a:off x="16625093" y="14669558"/>
          <a:ext cx="11644962" cy="6859534"/>
        </a:xfrm>
        <a:prstGeom prst="rect">
          <a:avLst/>
        </a:prstGeom>
      </xdr:spPr>
    </xdr:pic>
    <xdr:clientData/>
  </xdr:twoCellAnchor>
  <xdr:twoCellAnchor editAs="oneCell">
    <xdr:from>
      <xdr:col>0</xdr:col>
      <xdr:colOff>0</xdr:colOff>
      <xdr:row>74</xdr:row>
      <xdr:rowOff>127000</xdr:rowOff>
    </xdr:from>
    <xdr:to>
      <xdr:col>12</xdr:col>
      <xdr:colOff>2143</xdr:colOff>
      <xdr:row>111</xdr:row>
      <xdr:rowOff>108178</xdr:rowOff>
    </xdr:to>
    <xdr:pic>
      <xdr:nvPicPr>
        <xdr:cNvPr id="7" name="图片 6">
          <a:extLst>
            <a:ext uri="{FF2B5EF4-FFF2-40B4-BE49-F238E27FC236}">
              <a16:creationId xmlns:a16="http://schemas.microsoft.com/office/drawing/2014/main" id="{D2024E0B-C917-44ED-A320-0E3D4C0DFB44}"/>
            </a:ext>
          </a:extLst>
        </xdr:cNvPr>
        <xdr:cNvPicPr>
          <a:picLocks noChangeAspect="1"/>
        </xdr:cNvPicPr>
      </xdr:nvPicPr>
      <xdr:blipFill>
        <a:blip xmlns:r="http://schemas.openxmlformats.org/officeDocument/2006/relationships" r:embed="rId6"/>
        <a:stretch>
          <a:fillRect/>
        </a:stretch>
      </xdr:blipFill>
      <xdr:spPr>
        <a:xfrm>
          <a:off x="0" y="13519150"/>
          <a:ext cx="8231743" cy="6677253"/>
        </a:xfrm>
        <a:prstGeom prst="rect">
          <a:avLst/>
        </a:prstGeom>
      </xdr:spPr>
    </xdr:pic>
    <xdr:clientData/>
  </xdr:twoCellAnchor>
  <xdr:twoCellAnchor editAs="oneCell">
    <xdr:from>
      <xdr:col>0</xdr:col>
      <xdr:colOff>0</xdr:colOff>
      <xdr:row>112</xdr:row>
      <xdr:rowOff>0</xdr:rowOff>
    </xdr:from>
    <xdr:to>
      <xdr:col>12</xdr:col>
      <xdr:colOff>59286</xdr:colOff>
      <xdr:row>147</xdr:row>
      <xdr:rowOff>7679</xdr:rowOff>
    </xdr:to>
    <xdr:pic>
      <xdr:nvPicPr>
        <xdr:cNvPr id="8" name="图片 7">
          <a:extLst>
            <a:ext uri="{FF2B5EF4-FFF2-40B4-BE49-F238E27FC236}">
              <a16:creationId xmlns:a16="http://schemas.microsoft.com/office/drawing/2014/main" id="{F71D0725-F3E0-4555-90DA-6E9E25B80F3F}"/>
            </a:ext>
          </a:extLst>
        </xdr:cNvPr>
        <xdr:cNvPicPr>
          <a:picLocks noChangeAspect="1"/>
        </xdr:cNvPicPr>
      </xdr:nvPicPr>
      <xdr:blipFill>
        <a:blip xmlns:r="http://schemas.openxmlformats.org/officeDocument/2006/relationships" r:embed="rId7"/>
        <a:stretch>
          <a:fillRect/>
        </a:stretch>
      </xdr:blipFill>
      <xdr:spPr>
        <a:xfrm>
          <a:off x="0" y="20269200"/>
          <a:ext cx="8288886" cy="6341804"/>
        </a:xfrm>
        <a:prstGeom prst="rect">
          <a:avLst/>
        </a:prstGeom>
      </xdr:spPr>
    </xdr:pic>
    <xdr:clientData/>
  </xdr:twoCellAnchor>
  <xdr:twoCellAnchor editAs="oneCell">
    <xdr:from>
      <xdr:col>12</xdr:col>
      <xdr:colOff>42332</xdr:colOff>
      <xdr:row>103</xdr:row>
      <xdr:rowOff>2</xdr:rowOff>
    </xdr:from>
    <xdr:to>
      <xdr:col>23</xdr:col>
      <xdr:colOff>10</xdr:colOff>
      <xdr:row>124</xdr:row>
      <xdr:rowOff>59847</xdr:rowOff>
    </xdr:to>
    <xdr:pic>
      <xdr:nvPicPr>
        <xdr:cNvPr id="9" name="图片 8">
          <a:extLst>
            <a:ext uri="{FF2B5EF4-FFF2-40B4-BE49-F238E27FC236}">
              <a16:creationId xmlns:a16="http://schemas.microsoft.com/office/drawing/2014/main" id="{38A76BB7-7163-457E-8930-EBE786AB906A}"/>
            </a:ext>
          </a:extLst>
        </xdr:cNvPr>
        <xdr:cNvPicPr>
          <a:picLocks noChangeAspect="1"/>
        </xdr:cNvPicPr>
      </xdr:nvPicPr>
      <xdr:blipFill>
        <a:blip xmlns:r="http://schemas.openxmlformats.org/officeDocument/2006/relationships" r:embed="rId8"/>
        <a:stretch>
          <a:fillRect/>
        </a:stretch>
      </xdr:blipFill>
      <xdr:spPr>
        <a:xfrm>
          <a:off x="8271932" y="18640427"/>
          <a:ext cx="8349203" cy="3860320"/>
        </a:xfrm>
        <a:prstGeom prst="rect">
          <a:avLst/>
        </a:prstGeom>
      </xdr:spPr>
    </xdr:pic>
    <xdr:clientData/>
  </xdr:twoCellAnchor>
  <xdr:twoCellAnchor editAs="oneCell">
    <xdr:from>
      <xdr:col>7</xdr:col>
      <xdr:colOff>370416</xdr:colOff>
      <xdr:row>42</xdr:row>
      <xdr:rowOff>127000</xdr:rowOff>
    </xdr:from>
    <xdr:to>
      <xdr:col>17</xdr:col>
      <xdr:colOff>349345</xdr:colOff>
      <xdr:row>61</xdr:row>
      <xdr:rowOff>32392</xdr:rowOff>
    </xdr:to>
    <xdr:pic>
      <xdr:nvPicPr>
        <xdr:cNvPr id="10" name="图片 9">
          <a:extLst>
            <a:ext uri="{FF2B5EF4-FFF2-40B4-BE49-F238E27FC236}">
              <a16:creationId xmlns:a16="http://schemas.microsoft.com/office/drawing/2014/main" id="{89C8A4AE-42F4-4361-82D3-220597BCF5D3}"/>
            </a:ext>
          </a:extLst>
        </xdr:cNvPr>
        <xdr:cNvPicPr>
          <a:picLocks noChangeAspect="1"/>
        </xdr:cNvPicPr>
      </xdr:nvPicPr>
      <xdr:blipFill>
        <a:blip xmlns:r="http://schemas.openxmlformats.org/officeDocument/2006/relationships" r:embed="rId9"/>
        <a:stretch>
          <a:fillRect/>
        </a:stretch>
      </xdr:blipFill>
      <xdr:spPr>
        <a:xfrm>
          <a:off x="5171016" y="7727950"/>
          <a:ext cx="7684654" cy="3343917"/>
        </a:xfrm>
        <a:prstGeom prst="rect">
          <a:avLst/>
        </a:prstGeom>
      </xdr:spPr>
    </xdr:pic>
    <xdr:clientData/>
  </xdr:twoCellAnchor>
  <xdr:twoCellAnchor editAs="oneCell">
    <xdr:from>
      <xdr:col>12</xdr:col>
      <xdr:colOff>232834</xdr:colOff>
      <xdr:row>67</xdr:row>
      <xdr:rowOff>126999</xdr:rowOff>
    </xdr:from>
    <xdr:to>
      <xdr:col>20</xdr:col>
      <xdr:colOff>682834</xdr:colOff>
      <xdr:row>71</xdr:row>
      <xdr:rowOff>169238</xdr:rowOff>
    </xdr:to>
    <xdr:pic>
      <xdr:nvPicPr>
        <xdr:cNvPr id="11" name="图片 10">
          <a:extLst>
            <a:ext uri="{FF2B5EF4-FFF2-40B4-BE49-F238E27FC236}">
              <a16:creationId xmlns:a16="http://schemas.microsoft.com/office/drawing/2014/main" id="{0F000415-798F-999B-10F6-F7F1D3F4658B}"/>
            </a:ext>
          </a:extLst>
        </xdr:cNvPr>
        <xdr:cNvPicPr>
          <a:picLocks noChangeAspect="1"/>
        </xdr:cNvPicPr>
      </xdr:nvPicPr>
      <xdr:blipFill>
        <a:blip xmlns:r="http://schemas.openxmlformats.org/officeDocument/2006/relationships" r:embed="rId10"/>
        <a:stretch>
          <a:fillRect/>
        </a:stretch>
      </xdr:blipFill>
      <xdr:spPr>
        <a:xfrm>
          <a:off x="8487834" y="12181416"/>
          <a:ext cx="6800000" cy="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227225</xdr:colOff>
      <xdr:row>39</xdr:row>
      <xdr:rowOff>8688</xdr:rowOff>
    </xdr:to>
    <xdr:pic>
      <xdr:nvPicPr>
        <xdr:cNvPr id="2" name="图片 1">
          <a:extLst>
            <a:ext uri="{FF2B5EF4-FFF2-40B4-BE49-F238E27FC236}">
              <a16:creationId xmlns:a16="http://schemas.microsoft.com/office/drawing/2014/main" id="{CC64B7F1-ABAA-E4E2-0D1C-85713D881B35}"/>
            </a:ext>
          </a:extLst>
        </xdr:cNvPr>
        <xdr:cNvPicPr>
          <a:picLocks noChangeAspect="1"/>
        </xdr:cNvPicPr>
      </xdr:nvPicPr>
      <xdr:blipFill>
        <a:blip xmlns:r="http://schemas.openxmlformats.org/officeDocument/2006/relationships" r:embed="rId1"/>
        <a:stretch>
          <a:fillRect/>
        </a:stretch>
      </xdr:blipFill>
      <xdr:spPr>
        <a:xfrm>
          <a:off x="0" y="0"/>
          <a:ext cx="11000000" cy="6695238"/>
        </a:xfrm>
        <a:prstGeom prst="rect">
          <a:avLst/>
        </a:prstGeom>
      </xdr:spPr>
    </xdr:pic>
    <xdr:clientData/>
  </xdr:twoCellAnchor>
  <xdr:twoCellAnchor editAs="oneCell">
    <xdr:from>
      <xdr:col>0</xdr:col>
      <xdr:colOff>0</xdr:colOff>
      <xdr:row>44</xdr:row>
      <xdr:rowOff>0</xdr:rowOff>
    </xdr:from>
    <xdr:to>
      <xdr:col>10</xdr:col>
      <xdr:colOff>456271</xdr:colOff>
      <xdr:row>50</xdr:row>
      <xdr:rowOff>123681</xdr:rowOff>
    </xdr:to>
    <xdr:pic>
      <xdr:nvPicPr>
        <xdr:cNvPr id="3" name="图片 2">
          <a:extLst>
            <a:ext uri="{FF2B5EF4-FFF2-40B4-BE49-F238E27FC236}">
              <a16:creationId xmlns:a16="http://schemas.microsoft.com/office/drawing/2014/main" id="{0A385DEB-459C-B56F-6322-11F401214FE1}"/>
            </a:ext>
          </a:extLst>
        </xdr:cNvPr>
        <xdr:cNvPicPr>
          <a:picLocks noChangeAspect="1"/>
        </xdr:cNvPicPr>
      </xdr:nvPicPr>
      <xdr:blipFill>
        <a:blip xmlns:r="http://schemas.openxmlformats.org/officeDocument/2006/relationships" r:embed="rId2"/>
        <a:stretch>
          <a:fillRect/>
        </a:stretch>
      </xdr:blipFill>
      <xdr:spPr>
        <a:xfrm>
          <a:off x="0" y="7543800"/>
          <a:ext cx="7428571" cy="1152381"/>
        </a:xfrm>
        <a:prstGeom prst="rect">
          <a:avLst/>
        </a:prstGeom>
      </xdr:spPr>
    </xdr:pic>
    <xdr:clientData/>
  </xdr:twoCellAnchor>
  <xdr:twoCellAnchor editAs="oneCell">
    <xdr:from>
      <xdr:col>0</xdr:col>
      <xdr:colOff>0</xdr:colOff>
      <xdr:row>51</xdr:row>
      <xdr:rowOff>0</xdr:rowOff>
    </xdr:from>
    <xdr:to>
      <xdr:col>13</xdr:col>
      <xdr:colOff>122681</xdr:colOff>
      <xdr:row>88</xdr:row>
      <xdr:rowOff>170603</xdr:rowOff>
    </xdr:to>
    <xdr:pic>
      <xdr:nvPicPr>
        <xdr:cNvPr id="5" name="图片 4">
          <a:extLst>
            <a:ext uri="{FF2B5EF4-FFF2-40B4-BE49-F238E27FC236}">
              <a16:creationId xmlns:a16="http://schemas.microsoft.com/office/drawing/2014/main" id="{7E47A674-2DB7-92EE-BD40-5305F7899267}"/>
            </a:ext>
          </a:extLst>
        </xdr:cNvPr>
        <xdr:cNvPicPr>
          <a:picLocks noChangeAspect="1"/>
        </xdr:cNvPicPr>
      </xdr:nvPicPr>
      <xdr:blipFill>
        <a:blip xmlns:r="http://schemas.openxmlformats.org/officeDocument/2006/relationships" r:embed="rId3"/>
        <a:stretch>
          <a:fillRect/>
        </a:stretch>
      </xdr:blipFill>
      <xdr:spPr>
        <a:xfrm>
          <a:off x="0" y="8743950"/>
          <a:ext cx="9152381" cy="6771428"/>
        </a:xfrm>
        <a:prstGeom prst="rect">
          <a:avLst/>
        </a:prstGeom>
      </xdr:spPr>
    </xdr:pic>
    <xdr:clientData/>
  </xdr:twoCellAnchor>
  <xdr:twoCellAnchor editAs="oneCell">
    <xdr:from>
      <xdr:col>0</xdr:col>
      <xdr:colOff>0</xdr:colOff>
      <xdr:row>90</xdr:row>
      <xdr:rowOff>161925</xdr:rowOff>
    </xdr:from>
    <xdr:to>
      <xdr:col>12</xdr:col>
      <xdr:colOff>589433</xdr:colOff>
      <xdr:row>129</xdr:row>
      <xdr:rowOff>122981</xdr:rowOff>
    </xdr:to>
    <xdr:pic>
      <xdr:nvPicPr>
        <xdr:cNvPr id="6" name="图片 5">
          <a:extLst>
            <a:ext uri="{FF2B5EF4-FFF2-40B4-BE49-F238E27FC236}">
              <a16:creationId xmlns:a16="http://schemas.microsoft.com/office/drawing/2014/main" id="{5CA17654-78FE-115E-CA2D-3BC0677734C8}"/>
            </a:ext>
          </a:extLst>
        </xdr:cNvPr>
        <xdr:cNvPicPr>
          <a:picLocks noChangeAspect="1"/>
        </xdr:cNvPicPr>
      </xdr:nvPicPr>
      <xdr:blipFill>
        <a:blip xmlns:r="http://schemas.openxmlformats.org/officeDocument/2006/relationships" r:embed="rId4"/>
        <a:stretch>
          <a:fillRect/>
        </a:stretch>
      </xdr:blipFill>
      <xdr:spPr>
        <a:xfrm>
          <a:off x="0" y="15849600"/>
          <a:ext cx="8933333" cy="6752381"/>
        </a:xfrm>
        <a:prstGeom prst="rect">
          <a:avLst/>
        </a:prstGeom>
      </xdr:spPr>
    </xdr:pic>
    <xdr:clientData/>
  </xdr:twoCellAnchor>
  <xdr:twoCellAnchor editAs="oneCell">
    <xdr:from>
      <xdr:col>14</xdr:col>
      <xdr:colOff>47625</xdr:colOff>
      <xdr:row>41</xdr:row>
      <xdr:rowOff>38100</xdr:rowOff>
    </xdr:from>
    <xdr:to>
      <xdr:col>18</xdr:col>
      <xdr:colOff>323334</xdr:colOff>
      <xdr:row>50</xdr:row>
      <xdr:rowOff>161717</xdr:rowOff>
    </xdr:to>
    <xdr:pic>
      <xdr:nvPicPr>
        <xdr:cNvPr id="7" name="图片 6">
          <a:extLst>
            <a:ext uri="{FF2B5EF4-FFF2-40B4-BE49-F238E27FC236}">
              <a16:creationId xmlns:a16="http://schemas.microsoft.com/office/drawing/2014/main" id="{E857C567-A31A-A71E-0D97-C09BBFE61D1D}"/>
            </a:ext>
          </a:extLst>
        </xdr:cNvPr>
        <xdr:cNvPicPr>
          <a:picLocks noChangeAspect="1"/>
        </xdr:cNvPicPr>
      </xdr:nvPicPr>
      <xdr:blipFill>
        <a:blip xmlns:r="http://schemas.openxmlformats.org/officeDocument/2006/relationships" r:embed="rId5"/>
        <a:stretch>
          <a:fillRect/>
        </a:stretch>
      </xdr:blipFill>
      <xdr:spPr>
        <a:xfrm>
          <a:off x="9763125" y="7067550"/>
          <a:ext cx="4123809" cy="1666667"/>
        </a:xfrm>
        <a:prstGeom prst="rect">
          <a:avLst/>
        </a:prstGeom>
      </xdr:spPr>
    </xdr:pic>
    <xdr:clientData/>
  </xdr:twoCellAnchor>
  <xdr:twoCellAnchor editAs="oneCell">
    <xdr:from>
      <xdr:col>16</xdr:col>
      <xdr:colOff>142875</xdr:colOff>
      <xdr:row>101</xdr:row>
      <xdr:rowOff>133350</xdr:rowOff>
    </xdr:from>
    <xdr:to>
      <xdr:col>20</xdr:col>
      <xdr:colOff>418584</xdr:colOff>
      <xdr:row>111</xdr:row>
      <xdr:rowOff>75992</xdr:rowOff>
    </xdr:to>
    <xdr:pic>
      <xdr:nvPicPr>
        <xdr:cNvPr id="8" name="图片 7">
          <a:extLst>
            <a:ext uri="{FF2B5EF4-FFF2-40B4-BE49-F238E27FC236}">
              <a16:creationId xmlns:a16="http://schemas.microsoft.com/office/drawing/2014/main" id="{3DE8C09A-6D3F-44FC-9579-55EA1D576AC5}"/>
            </a:ext>
          </a:extLst>
        </xdr:cNvPr>
        <xdr:cNvPicPr>
          <a:picLocks noChangeAspect="1"/>
        </xdr:cNvPicPr>
      </xdr:nvPicPr>
      <xdr:blipFill>
        <a:blip xmlns:r="http://schemas.openxmlformats.org/officeDocument/2006/relationships" r:embed="rId5"/>
        <a:stretch>
          <a:fillRect/>
        </a:stretch>
      </xdr:blipFill>
      <xdr:spPr>
        <a:xfrm>
          <a:off x="11715750" y="17802225"/>
          <a:ext cx="4123809" cy="1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636638</xdr:colOff>
      <xdr:row>19</xdr:row>
      <xdr:rowOff>161498</xdr:rowOff>
    </xdr:to>
    <xdr:pic>
      <xdr:nvPicPr>
        <xdr:cNvPr id="2" name="图片 1">
          <a:extLst>
            <a:ext uri="{FF2B5EF4-FFF2-40B4-BE49-F238E27FC236}">
              <a16:creationId xmlns:a16="http://schemas.microsoft.com/office/drawing/2014/main" id="{A67F206C-9CED-0234-8F80-C099FD0E1BA1}"/>
            </a:ext>
          </a:extLst>
        </xdr:cNvPr>
        <xdr:cNvPicPr>
          <a:picLocks noChangeAspect="1"/>
        </xdr:cNvPicPr>
      </xdr:nvPicPr>
      <xdr:blipFill>
        <a:blip xmlns:r="http://schemas.openxmlformats.org/officeDocument/2006/relationships" r:embed="rId1"/>
        <a:stretch>
          <a:fillRect/>
        </a:stretch>
      </xdr:blipFill>
      <xdr:spPr>
        <a:xfrm>
          <a:off x="0" y="0"/>
          <a:ext cx="12295238" cy="3419048"/>
        </a:xfrm>
        <a:prstGeom prst="rect">
          <a:avLst/>
        </a:prstGeom>
      </xdr:spPr>
    </xdr:pic>
    <xdr:clientData/>
  </xdr:twoCellAnchor>
  <xdr:twoCellAnchor editAs="oneCell">
    <xdr:from>
      <xdr:col>0</xdr:col>
      <xdr:colOff>85725</xdr:colOff>
      <xdr:row>20</xdr:row>
      <xdr:rowOff>0</xdr:rowOff>
    </xdr:from>
    <xdr:to>
      <xdr:col>17</xdr:col>
      <xdr:colOff>389030</xdr:colOff>
      <xdr:row>51</xdr:row>
      <xdr:rowOff>132669</xdr:rowOff>
    </xdr:to>
    <xdr:pic>
      <xdr:nvPicPr>
        <xdr:cNvPr id="4" name="图片 3">
          <a:extLst>
            <a:ext uri="{FF2B5EF4-FFF2-40B4-BE49-F238E27FC236}">
              <a16:creationId xmlns:a16="http://schemas.microsoft.com/office/drawing/2014/main" id="{638BCD8F-CECC-AF46-24C4-32F88FC44D94}"/>
            </a:ext>
          </a:extLst>
        </xdr:cNvPr>
        <xdr:cNvPicPr>
          <a:picLocks noChangeAspect="1"/>
        </xdr:cNvPicPr>
      </xdr:nvPicPr>
      <xdr:blipFill>
        <a:blip xmlns:r="http://schemas.openxmlformats.org/officeDocument/2006/relationships" r:embed="rId2"/>
        <a:stretch>
          <a:fillRect/>
        </a:stretch>
      </xdr:blipFill>
      <xdr:spPr>
        <a:xfrm>
          <a:off x="85725" y="3429000"/>
          <a:ext cx="11961905" cy="5447619"/>
        </a:xfrm>
        <a:prstGeom prst="rect">
          <a:avLst/>
        </a:prstGeom>
      </xdr:spPr>
    </xdr:pic>
    <xdr:clientData/>
  </xdr:twoCellAnchor>
  <xdr:twoCellAnchor editAs="oneCell">
    <xdr:from>
      <xdr:col>0</xdr:col>
      <xdr:colOff>0</xdr:colOff>
      <xdr:row>52</xdr:row>
      <xdr:rowOff>0</xdr:rowOff>
    </xdr:from>
    <xdr:to>
      <xdr:col>17</xdr:col>
      <xdr:colOff>579495</xdr:colOff>
      <xdr:row>74</xdr:row>
      <xdr:rowOff>75719</xdr:rowOff>
    </xdr:to>
    <xdr:pic>
      <xdr:nvPicPr>
        <xdr:cNvPr id="5" name="图片 4">
          <a:extLst>
            <a:ext uri="{FF2B5EF4-FFF2-40B4-BE49-F238E27FC236}">
              <a16:creationId xmlns:a16="http://schemas.microsoft.com/office/drawing/2014/main" id="{BDAF6AC3-F9C9-CAF8-5004-7D7B368E084A}"/>
            </a:ext>
          </a:extLst>
        </xdr:cNvPr>
        <xdr:cNvPicPr>
          <a:picLocks noChangeAspect="1"/>
        </xdr:cNvPicPr>
      </xdr:nvPicPr>
      <xdr:blipFill>
        <a:blip xmlns:r="http://schemas.openxmlformats.org/officeDocument/2006/relationships" r:embed="rId3"/>
        <a:stretch>
          <a:fillRect/>
        </a:stretch>
      </xdr:blipFill>
      <xdr:spPr>
        <a:xfrm>
          <a:off x="0" y="8915400"/>
          <a:ext cx="12238095" cy="3847619"/>
        </a:xfrm>
        <a:prstGeom prst="rect">
          <a:avLst/>
        </a:prstGeom>
      </xdr:spPr>
    </xdr:pic>
    <xdr:clientData/>
  </xdr:twoCellAnchor>
  <xdr:twoCellAnchor editAs="oneCell">
    <xdr:from>
      <xdr:col>0</xdr:col>
      <xdr:colOff>0</xdr:colOff>
      <xdr:row>75</xdr:row>
      <xdr:rowOff>0</xdr:rowOff>
    </xdr:from>
    <xdr:to>
      <xdr:col>17</xdr:col>
      <xdr:colOff>341400</xdr:colOff>
      <xdr:row>101</xdr:row>
      <xdr:rowOff>132776</xdr:rowOff>
    </xdr:to>
    <xdr:pic>
      <xdr:nvPicPr>
        <xdr:cNvPr id="6" name="图片 5">
          <a:extLst>
            <a:ext uri="{FF2B5EF4-FFF2-40B4-BE49-F238E27FC236}">
              <a16:creationId xmlns:a16="http://schemas.microsoft.com/office/drawing/2014/main" id="{36BF3BC5-7538-4B64-410D-8B65A721877B}"/>
            </a:ext>
          </a:extLst>
        </xdr:cNvPr>
        <xdr:cNvPicPr>
          <a:picLocks noChangeAspect="1"/>
        </xdr:cNvPicPr>
      </xdr:nvPicPr>
      <xdr:blipFill>
        <a:blip xmlns:r="http://schemas.openxmlformats.org/officeDocument/2006/relationships" r:embed="rId4"/>
        <a:stretch>
          <a:fillRect/>
        </a:stretch>
      </xdr:blipFill>
      <xdr:spPr>
        <a:xfrm>
          <a:off x="0" y="12858750"/>
          <a:ext cx="12000000" cy="4590476"/>
        </a:xfrm>
        <a:prstGeom prst="rect">
          <a:avLst/>
        </a:prstGeom>
      </xdr:spPr>
    </xdr:pic>
    <xdr:clientData/>
  </xdr:twoCellAnchor>
  <xdr:twoCellAnchor editAs="oneCell">
    <xdr:from>
      <xdr:col>0</xdr:col>
      <xdr:colOff>0</xdr:colOff>
      <xdr:row>102</xdr:row>
      <xdr:rowOff>0</xdr:rowOff>
    </xdr:from>
    <xdr:to>
      <xdr:col>17</xdr:col>
      <xdr:colOff>608067</xdr:colOff>
      <xdr:row>122</xdr:row>
      <xdr:rowOff>9095</xdr:rowOff>
    </xdr:to>
    <xdr:pic>
      <xdr:nvPicPr>
        <xdr:cNvPr id="7" name="图片 6">
          <a:extLst>
            <a:ext uri="{FF2B5EF4-FFF2-40B4-BE49-F238E27FC236}">
              <a16:creationId xmlns:a16="http://schemas.microsoft.com/office/drawing/2014/main" id="{AF687BBC-B02C-9B73-EF93-AC3F5C877420}"/>
            </a:ext>
          </a:extLst>
        </xdr:cNvPr>
        <xdr:cNvPicPr>
          <a:picLocks noChangeAspect="1"/>
        </xdr:cNvPicPr>
      </xdr:nvPicPr>
      <xdr:blipFill>
        <a:blip xmlns:r="http://schemas.openxmlformats.org/officeDocument/2006/relationships" r:embed="rId5"/>
        <a:stretch>
          <a:fillRect/>
        </a:stretch>
      </xdr:blipFill>
      <xdr:spPr>
        <a:xfrm>
          <a:off x="0" y="17487900"/>
          <a:ext cx="12266667" cy="3438095"/>
        </a:xfrm>
        <a:prstGeom prst="rect">
          <a:avLst/>
        </a:prstGeom>
      </xdr:spPr>
    </xdr:pic>
    <xdr:clientData/>
  </xdr:twoCellAnchor>
  <xdr:twoCellAnchor editAs="oneCell">
    <xdr:from>
      <xdr:col>0</xdr:col>
      <xdr:colOff>0</xdr:colOff>
      <xdr:row>122</xdr:row>
      <xdr:rowOff>0</xdr:rowOff>
    </xdr:from>
    <xdr:to>
      <xdr:col>17</xdr:col>
      <xdr:colOff>303305</xdr:colOff>
      <xdr:row>147</xdr:row>
      <xdr:rowOff>151845</xdr:rowOff>
    </xdr:to>
    <xdr:pic>
      <xdr:nvPicPr>
        <xdr:cNvPr id="8" name="图片 7">
          <a:extLst>
            <a:ext uri="{FF2B5EF4-FFF2-40B4-BE49-F238E27FC236}">
              <a16:creationId xmlns:a16="http://schemas.microsoft.com/office/drawing/2014/main" id="{14DFF2F2-D9C9-B35B-174F-B8EBADF8FA67}"/>
            </a:ext>
          </a:extLst>
        </xdr:cNvPr>
        <xdr:cNvPicPr>
          <a:picLocks noChangeAspect="1"/>
        </xdr:cNvPicPr>
      </xdr:nvPicPr>
      <xdr:blipFill>
        <a:blip xmlns:r="http://schemas.openxmlformats.org/officeDocument/2006/relationships" r:embed="rId6"/>
        <a:stretch>
          <a:fillRect/>
        </a:stretch>
      </xdr:blipFill>
      <xdr:spPr>
        <a:xfrm>
          <a:off x="0" y="20916900"/>
          <a:ext cx="11961905" cy="4438095"/>
        </a:xfrm>
        <a:prstGeom prst="rect">
          <a:avLst/>
        </a:prstGeom>
      </xdr:spPr>
    </xdr:pic>
    <xdr:clientData/>
  </xdr:twoCellAnchor>
  <xdr:twoCellAnchor editAs="oneCell">
    <xdr:from>
      <xdr:col>18</xdr:col>
      <xdr:colOff>0</xdr:colOff>
      <xdr:row>0</xdr:row>
      <xdr:rowOff>0</xdr:rowOff>
    </xdr:from>
    <xdr:to>
      <xdr:col>35</xdr:col>
      <xdr:colOff>509350</xdr:colOff>
      <xdr:row>13</xdr:row>
      <xdr:rowOff>24826</xdr:rowOff>
    </xdr:to>
    <xdr:pic>
      <xdr:nvPicPr>
        <xdr:cNvPr id="9" name="图片 8">
          <a:extLst>
            <a:ext uri="{FF2B5EF4-FFF2-40B4-BE49-F238E27FC236}">
              <a16:creationId xmlns:a16="http://schemas.microsoft.com/office/drawing/2014/main" id="{96E44175-A223-17DD-7EC1-2DA8D9AB4D93}"/>
            </a:ext>
          </a:extLst>
        </xdr:cNvPr>
        <xdr:cNvPicPr>
          <a:picLocks noChangeAspect="1"/>
        </xdr:cNvPicPr>
      </xdr:nvPicPr>
      <xdr:blipFill>
        <a:blip xmlns:r="http://schemas.openxmlformats.org/officeDocument/2006/relationships" r:embed="rId7"/>
        <a:stretch>
          <a:fillRect/>
        </a:stretch>
      </xdr:blipFill>
      <xdr:spPr>
        <a:xfrm>
          <a:off x="12469091" y="0"/>
          <a:ext cx="12285714" cy="2276190"/>
        </a:xfrm>
        <a:prstGeom prst="rect">
          <a:avLst/>
        </a:prstGeom>
      </xdr:spPr>
    </xdr:pic>
    <xdr:clientData/>
  </xdr:twoCellAnchor>
  <xdr:twoCellAnchor editAs="oneCell">
    <xdr:from>
      <xdr:col>18</xdr:col>
      <xdr:colOff>17318</xdr:colOff>
      <xdr:row>13</xdr:row>
      <xdr:rowOff>34636</xdr:rowOff>
    </xdr:from>
    <xdr:to>
      <xdr:col>35</xdr:col>
      <xdr:colOff>440954</xdr:colOff>
      <xdr:row>39</xdr:row>
      <xdr:rowOff>17623</xdr:rowOff>
    </xdr:to>
    <xdr:pic>
      <xdr:nvPicPr>
        <xdr:cNvPr id="10" name="图片 9">
          <a:extLst>
            <a:ext uri="{FF2B5EF4-FFF2-40B4-BE49-F238E27FC236}">
              <a16:creationId xmlns:a16="http://schemas.microsoft.com/office/drawing/2014/main" id="{BF3FFE7D-5FB6-797B-8F73-D4E2D952ACB3}"/>
            </a:ext>
          </a:extLst>
        </xdr:cNvPr>
        <xdr:cNvPicPr>
          <a:picLocks noChangeAspect="1"/>
        </xdr:cNvPicPr>
      </xdr:nvPicPr>
      <xdr:blipFill>
        <a:blip xmlns:r="http://schemas.openxmlformats.org/officeDocument/2006/relationships" r:embed="rId8"/>
        <a:stretch>
          <a:fillRect/>
        </a:stretch>
      </xdr:blipFill>
      <xdr:spPr>
        <a:xfrm>
          <a:off x="12486409" y="2286000"/>
          <a:ext cx="12200000" cy="4485714"/>
        </a:xfrm>
        <a:prstGeom prst="rect">
          <a:avLst/>
        </a:prstGeom>
      </xdr:spPr>
    </xdr:pic>
    <xdr:clientData/>
  </xdr:twoCellAnchor>
  <xdr:twoCellAnchor editAs="oneCell">
    <xdr:from>
      <xdr:col>18</xdr:col>
      <xdr:colOff>0</xdr:colOff>
      <xdr:row>40</xdr:row>
      <xdr:rowOff>0</xdr:rowOff>
    </xdr:from>
    <xdr:to>
      <xdr:col>35</xdr:col>
      <xdr:colOff>185541</xdr:colOff>
      <xdr:row>47</xdr:row>
      <xdr:rowOff>149633</xdr:rowOff>
    </xdr:to>
    <xdr:pic>
      <xdr:nvPicPr>
        <xdr:cNvPr id="11" name="图片 10">
          <a:extLst>
            <a:ext uri="{FF2B5EF4-FFF2-40B4-BE49-F238E27FC236}">
              <a16:creationId xmlns:a16="http://schemas.microsoft.com/office/drawing/2014/main" id="{8310D85A-AEA3-6624-B061-00925AE34609}"/>
            </a:ext>
          </a:extLst>
        </xdr:cNvPr>
        <xdr:cNvPicPr>
          <a:picLocks noChangeAspect="1"/>
        </xdr:cNvPicPr>
      </xdr:nvPicPr>
      <xdr:blipFill>
        <a:blip xmlns:r="http://schemas.openxmlformats.org/officeDocument/2006/relationships" r:embed="rId9"/>
        <a:stretch>
          <a:fillRect/>
        </a:stretch>
      </xdr:blipFill>
      <xdr:spPr>
        <a:xfrm>
          <a:off x="12469091" y="6927273"/>
          <a:ext cx="11961905" cy="1361905"/>
        </a:xfrm>
        <a:prstGeom prst="rect">
          <a:avLst/>
        </a:prstGeom>
      </xdr:spPr>
    </xdr:pic>
    <xdr:clientData/>
  </xdr:twoCellAnchor>
  <xdr:twoCellAnchor editAs="oneCell">
    <xdr:from>
      <xdr:col>18</xdr:col>
      <xdr:colOff>69272</xdr:colOff>
      <xdr:row>52</xdr:row>
      <xdr:rowOff>0</xdr:rowOff>
    </xdr:from>
    <xdr:to>
      <xdr:col>35</xdr:col>
      <xdr:colOff>540527</xdr:colOff>
      <xdr:row>65</xdr:row>
      <xdr:rowOff>15304</xdr:rowOff>
    </xdr:to>
    <xdr:pic>
      <xdr:nvPicPr>
        <xdr:cNvPr id="12" name="图片 11">
          <a:extLst>
            <a:ext uri="{FF2B5EF4-FFF2-40B4-BE49-F238E27FC236}">
              <a16:creationId xmlns:a16="http://schemas.microsoft.com/office/drawing/2014/main" id="{0126B776-BFD0-51F6-8105-86ACFE19D19A}"/>
            </a:ext>
          </a:extLst>
        </xdr:cNvPr>
        <xdr:cNvPicPr>
          <a:picLocks noChangeAspect="1"/>
        </xdr:cNvPicPr>
      </xdr:nvPicPr>
      <xdr:blipFill>
        <a:blip xmlns:r="http://schemas.openxmlformats.org/officeDocument/2006/relationships" r:embed="rId10"/>
        <a:stretch>
          <a:fillRect/>
        </a:stretch>
      </xdr:blipFill>
      <xdr:spPr>
        <a:xfrm>
          <a:off x="12538363" y="9005455"/>
          <a:ext cx="12247619" cy="2266667"/>
        </a:xfrm>
        <a:prstGeom prst="rect">
          <a:avLst/>
        </a:prstGeom>
      </xdr:spPr>
    </xdr:pic>
    <xdr:clientData/>
  </xdr:twoCellAnchor>
  <xdr:twoCellAnchor editAs="oneCell">
    <xdr:from>
      <xdr:col>18</xdr:col>
      <xdr:colOff>34637</xdr:colOff>
      <xdr:row>65</xdr:row>
      <xdr:rowOff>17318</xdr:rowOff>
    </xdr:from>
    <xdr:to>
      <xdr:col>35</xdr:col>
      <xdr:colOff>458273</xdr:colOff>
      <xdr:row>90</xdr:row>
      <xdr:rowOff>87772</xdr:rowOff>
    </xdr:to>
    <xdr:pic>
      <xdr:nvPicPr>
        <xdr:cNvPr id="13" name="图片 12">
          <a:extLst>
            <a:ext uri="{FF2B5EF4-FFF2-40B4-BE49-F238E27FC236}">
              <a16:creationId xmlns:a16="http://schemas.microsoft.com/office/drawing/2014/main" id="{31B48347-FA28-2B9C-5705-3DBC6A32CE1A}"/>
            </a:ext>
          </a:extLst>
        </xdr:cNvPr>
        <xdr:cNvPicPr>
          <a:picLocks noChangeAspect="1"/>
        </xdr:cNvPicPr>
      </xdr:nvPicPr>
      <xdr:blipFill>
        <a:blip xmlns:r="http://schemas.openxmlformats.org/officeDocument/2006/relationships" r:embed="rId11"/>
        <a:stretch>
          <a:fillRect/>
        </a:stretch>
      </xdr:blipFill>
      <xdr:spPr>
        <a:xfrm>
          <a:off x="12503728" y="11274136"/>
          <a:ext cx="12200000" cy="4400000"/>
        </a:xfrm>
        <a:prstGeom prst="rect">
          <a:avLst/>
        </a:prstGeom>
      </xdr:spPr>
    </xdr:pic>
    <xdr:clientData/>
  </xdr:twoCellAnchor>
  <xdr:twoCellAnchor editAs="oneCell">
    <xdr:from>
      <xdr:col>18</xdr:col>
      <xdr:colOff>0</xdr:colOff>
      <xdr:row>92</xdr:row>
      <xdr:rowOff>0</xdr:rowOff>
    </xdr:from>
    <xdr:to>
      <xdr:col>35</xdr:col>
      <xdr:colOff>299826</xdr:colOff>
      <xdr:row>99</xdr:row>
      <xdr:rowOff>168679</xdr:rowOff>
    </xdr:to>
    <xdr:pic>
      <xdr:nvPicPr>
        <xdr:cNvPr id="14" name="图片 13">
          <a:extLst>
            <a:ext uri="{FF2B5EF4-FFF2-40B4-BE49-F238E27FC236}">
              <a16:creationId xmlns:a16="http://schemas.microsoft.com/office/drawing/2014/main" id="{CCB31343-D362-231D-2BE5-ACE179E95598}"/>
            </a:ext>
          </a:extLst>
        </xdr:cNvPr>
        <xdr:cNvPicPr>
          <a:picLocks noChangeAspect="1"/>
        </xdr:cNvPicPr>
      </xdr:nvPicPr>
      <xdr:blipFill>
        <a:blip xmlns:r="http://schemas.openxmlformats.org/officeDocument/2006/relationships" r:embed="rId12"/>
        <a:stretch>
          <a:fillRect/>
        </a:stretch>
      </xdr:blipFill>
      <xdr:spPr>
        <a:xfrm>
          <a:off x="12469091" y="15932727"/>
          <a:ext cx="12076190" cy="1380952"/>
        </a:xfrm>
        <a:prstGeom prst="rect">
          <a:avLst/>
        </a:prstGeom>
      </xdr:spPr>
    </xdr:pic>
    <xdr:clientData/>
  </xdr:twoCellAnchor>
  <xdr:twoCellAnchor editAs="oneCell">
    <xdr:from>
      <xdr:col>17</xdr:col>
      <xdr:colOff>606136</xdr:colOff>
      <xdr:row>101</xdr:row>
      <xdr:rowOff>34635</xdr:rowOff>
    </xdr:from>
    <xdr:to>
      <xdr:col>35</xdr:col>
      <xdr:colOff>441807</xdr:colOff>
      <xdr:row>113</xdr:row>
      <xdr:rowOff>137406</xdr:rowOff>
    </xdr:to>
    <xdr:pic>
      <xdr:nvPicPr>
        <xdr:cNvPr id="15" name="图片 14">
          <a:extLst>
            <a:ext uri="{FF2B5EF4-FFF2-40B4-BE49-F238E27FC236}">
              <a16:creationId xmlns:a16="http://schemas.microsoft.com/office/drawing/2014/main" id="{A6CC5799-1001-D2A1-F35F-5E626848CBEB}"/>
            </a:ext>
          </a:extLst>
        </xdr:cNvPr>
        <xdr:cNvPicPr>
          <a:picLocks noChangeAspect="1"/>
        </xdr:cNvPicPr>
      </xdr:nvPicPr>
      <xdr:blipFill>
        <a:blip xmlns:r="http://schemas.openxmlformats.org/officeDocument/2006/relationships" r:embed="rId13"/>
        <a:stretch>
          <a:fillRect/>
        </a:stretch>
      </xdr:blipFill>
      <xdr:spPr>
        <a:xfrm>
          <a:off x="12382500" y="17525999"/>
          <a:ext cx="12304762" cy="2180952"/>
        </a:xfrm>
        <a:prstGeom prst="rect">
          <a:avLst/>
        </a:prstGeom>
      </xdr:spPr>
    </xdr:pic>
    <xdr:clientData/>
  </xdr:twoCellAnchor>
  <xdr:twoCellAnchor editAs="oneCell">
    <xdr:from>
      <xdr:col>17</xdr:col>
      <xdr:colOff>536863</xdr:colOff>
      <xdr:row>114</xdr:row>
      <xdr:rowOff>34636</xdr:rowOff>
    </xdr:from>
    <xdr:to>
      <xdr:col>35</xdr:col>
      <xdr:colOff>201105</xdr:colOff>
      <xdr:row>139</xdr:row>
      <xdr:rowOff>162233</xdr:rowOff>
    </xdr:to>
    <xdr:pic>
      <xdr:nvPicPr>
        <xdr:cNvPr id="16" name="图片 15">
          <a:extLst>
            <a:ext uri="{FF2B5EF4-FFF2-40B4-BE49-F238E27FC236}">
              <a16:creationId xmlns:a16="http://schemas.microsoft.com/office/drawing/2014/main" id="{D821C422-E693-A595-CFE5-0FC6B6142D63}"/>
            </a:ext>
          </a:extLst>
        </xdr:cNvPr>
        <xdr:cNvPicPr>
          <a:picLocks noChangeAspect="1"/>
        </xdr:cNvPicPr>
      </xdr:nvPicPr>
      <xdr:blipFill>
        <a:blip xmlns:r="http://schemas.openxmlformats.org/officeDocument/2006/relationships" r:embed="rId14"/>
        <a:stretch>
          <a:fillRect/>
        </a:stretch>
      </xdr:blipFill>
      <xdr:spPr>
        <a:xfrm>
          <a:off x="12313227" y="19777363"/>
          <a:ext cx="12133333" cy="4457143"/>
        </a:xfrm>
        <a:prstGeom prst="rect">
          <a:avLst/>
        </a:prstGeom>
      </xdr:spPr>
    </xdr:pic>
    <xdr:clientData/>
  </xdr:twoCellAnchor>
  <xdr:twoCellAnchor editAs="oneCell">
    <xdr:from>
      <xdr:col>18</xdr:col>
      <xdr:colOff>0</xdr:colOff>
      <xdr:row>140</xdr:row>
      <xdr:rowOff>69272</xdr:rowOff>
    </xdr:from>
    <xdr:to>
      <xdr:col>35</xdr:col>
      <xdr:colOff>328398</xdr:colOff>
      <xdr:row>148</xdr:row>
      <xdr:rowOff>83818</xdr:rowOff>
    </xdr:to>
    <xdr:pic>
      <xdr:nvPicPr>
        <xdr:cNvPr id="17" name="图片 16">
          <a:extLst>
            <a:ext uri="{FF2B5EF4-FFF2-40B4-BE49-F238E27FC236}">
              <a16:creationId xmlns:a16="http://schemas.microsoft.com/office/drawing/2014/main" id="{0E942D14-7680-7D5D-B0EA-12C3BD8C6378}"/>
            </a:ext>
          </a:extLst>
        </xdr:cNvPr>
        <xdr:cNvPicPr>
          <a:picLocks noChangeAspect="1"/>
        </xdr:cNvPicPr>
      </xdr:nvPicPr>
      <xdr:blipFill>
        <a:blip xmlns:r="http://schemas.openxmlformats.org/officeDocument/2006/relationships" r:embed="rId15"/>
        <a:stretch>
          <a:fillRect/>
        </a:stretch>
      </xdr:blipFill>
      <xdr:spPr>
        <a:xfrm>
          <a:off x="12469091" y="24314727"/>
          <a:ext cx="12104762" cy="1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55600</xdr:colOff>
      <xdr:row>19</xdr:row>
      <xdr:rowOff>56736</xdr:rowOff>
    </xdr:to>
    <xdr:pic>
      <xdr:nvPicPr>
        <xdr:cNvPr id="2" name="图片 1">
          <a:extLst>
            <a:ext uri="{FF2B5EF4-FFF2-40B4-BE49-F238E27FC236}">
              <a16:creationId xmlns:a16="http://schemas.microsoft.com/office/drawing/2014/main" id="{022B4D5F-92CD-8648-5144-535233B51641}"/>
            </a:ext>
          </a:extLst>
        </xdr:cNvPr>
        <xdr:cNvPicPr>
          <a:picLocks noChangeAspect="1"/>
        </xdr:cNvPicPr>
      </xdr:nvPicPr>
      <xdr:blipFill>
        <a:blip xmlns:r="http://schemas.openxmlformats.org/officeDocument/2006/relationships" r:embed="rId1"/>
        <a:stretch>
          <a:fillRect/>
        </a:stretch>
      </xdr:blipFill>
      <xdr:spPr>
        <a:xfrm>
          <a:off x="0" y="0"/>
          <a:ext cx="12400000" cy="3314286"/>
        </a:xfrm>
        <a:prstGeom prst="rect">
          <a:avLst/>
        </a:prstGeom>
      </xdr:spPr>
    </xdr:pic>
    <xdr:clientData/>
  </xdr:twoCellAnchor>
  <xdr:twoCellAnchor editAs="oneCell">
    <xdr:from>
      <xdr:col>0</xdr:col>
      <xdr:colOff>51955</xdr:colOff>
      <xdr:row>20</xdr:row>
      <xdr:rowOff>0</xdr:rowOff>
    </xdr:from>
    <xdr:to>
      <xdr:col>17</xdr:col>
      <xdr:colOff>336212</xdr:colOff>
      <xdr:row>49</xdr:row>
      <xdr:rowOff>85093</xdr:rowOff>
    </xdr:to>
    <xdr:pic>
      <xdr:nvPicPr>
        <xdr:cNvPr id="3" name="图片 2">
          <a:extLst>
            <a:ext uri="{FF2B5EF4-FFF2-40B4-BE49-F238E27FC236}">
              <a16:creationId xmlns:a16="http://schemas.microsoft.com/office/drawing/2014/main" id="{76D8EDB7-73FF-1DAD-D308-44F46D478C64}"/>
            </a:ext>
          </a:extLst>
        </xdr:cNvPr>
        <xdr:cNvPicPr>
          <a:picLocks noChangeAspect="1"/>
        </xdr:cNvPicPr>
      </xdr:nvPicPr>
      <xdr:blipFill>
        <a:blip xmlns:r="http://schemas.openxmlformats.org/officeDocument/2006/relationships" r:embed="rId2"/>
        <a:stretch>
          <a:fillRect/>
        </a:stretch>
      </xdr:blipFill>
      <xdr:spPr>
        <a:xfrm>
          <a:off x="51955" y="3463636"/>
          <a:ext cx="12060621" cy="5107366"/>
        </a:xfrm>
        <a:prstGeom prst="rect">
          <a:avLst/>
        </a:prstGeom>
      </xdr:spPr>
    </xdr:pic>
    <xdr:clientData/>
  </xdr:twoCellAnchor>
  <xdr:twoCellAnchor editAs="oneCell">
    <xdr:from>
      <xdr:col>18</xdr:col>
      <xdr:colOff>152400</xdr:colOff>
      <xdr:row>0</xdr:row>
      <xdr:rowOff>0</xdr:rowOff>
    </xdr:from>
    <xdr:to>
      <xdr:col>36</xdr:col>
      <xdr:colOff>93714</xdr:colOff>
      <xdr:row>13</xdr:row>
      <xdr:rowOff>47340</xdr:rowOff>
    </xdr:to>
    <xdr:pic>
      <xdr:nvPicPr>
        <xdr:cNvPr id="4" name="图片 3">
          <a:extLst>
            <a:ext uri="{FF2B5EF4-FFF2-40B4-BE49-F238E27FC236}">
              <a16:creationId xmlns:a16="http://schemas.microsoft.com/office/drawing/2014/main" id="{9EC64ACD-0764-4819-BA07-838FC9D03B93}"/>
            </a:ext>
          </a:extLst>
        </xdr:cNvPr>
        <xdr:cNvPicPr>
          <a:picLocks noChangeAspect="1"/>
        </xdr:cNvPicPr>
      </xdr:nvPicPr>
      <xdr:blipFill>
        <a:blip xmlns:r="http://schemas.openxmlformats.org/officeDocument/2006/relationships" r:embed="rId3"/>
        <a:stretch>
          <a:fillRect/>
        </a:stretch>
      </xdr:blipFill>
      <xdr:spPr>
        <a:xfrm>
          <a:off x="12496800" y="0"/>
          <a:ext cx="12285714" cy="2276190"/>
        </a:xfrm>
        <a:prstGeom prst="rect">
          <a:avLst/>
        </a:prstGeom>
      </xdr:spPr>
    </xdr:pic>
    <xdr:clientData/>
  </xdr:twoCellAnchor>
  <xdr:twoCellAnchor editAs="oneCell">
    <xdr:from>
      <xdr:col>18</xdr:col>
      <xdr:colOff>169718</xdr:colOff>
      <xdr:row>13</xdr:row>
      <xdr:rowOff>57150</xdr:rowOff>
    </xdr:from>
    <xdr:to>
      <xdr:col>36</xdr:col>
      <xdr:colOff>25318</xdr:colOff>
      <xdr:row>39</xdr:row>
      <xdr:rowOff>85164</xdr:rowOff>
    </xdr:to>
    <xdr:pic>
      <xdr:nvPicPr>
        <xdr:cNvPr id="5" name="图片 4">
          <a:extLst>
            <a:ext uri="{FF2B5EF4-FFF2-40B4-BE49-F238E27FC236}">
              <a16:creationId xmlns:a16="http://schemas.microsoft.com/office/drawing/2014/main" id="{EE80D57E-4245-491E-97F0-2CE9C29EE239}"/>
            </a:ext>
          </a:extLst>
        </xdr:cNvPr>
        <xdr:cNvPicPr>
          <a:picLocks noChangeAspect="1"/>
        </xdr:cNvPicPr>
      </xdr:nvPicPr>
      <xdr:blipFill>
        <a:blip xmlns:r="http://schemas.openxmlformats.org/officeDocument/2006/relationships" r:embed="rId4"/>
        <a:stretch>
          <a:fillRect/>
        </a:stretch>
      </xdr:blipFill>
      <xdr:spPr>
        <a:xfrm>
          <a:off x="12514118" y="2286000"/>
          <a:ext cx="12200000" cy="4485714"/>
        </a:xfrm>
        <a:prstGeom prst="rect">
          <a:avLst/>
        </a:prstGeom>
      </xdr:spPr>
    </xdr:pic>
    <xdr:clientData/>
  </xdr:twoCellAnchor>
  <xdr:twoCellAnchor editAs="oneCell">
    <xdr:from>
      <xdr:col>18</xdr:col>
      <xdr:colOff>152400</xdr:colOff>
      <xdr:row>40</xdr:row>
      <xdr:rowOff>69273</xdr:rowOff>
    </xdr:from>
    <xdr:to>
      <xdr:col>35</xdr:col>
      <xdr:colOff>455705</xdr:colOff>
      <xdr:row>48</xdr:row>
      <xdr:rowOff>59578</xdr:rowOff>
    </xdr:to>
    <xdr:pic>
      <xdr:nvPicPr>
        <xdr:cNvPr id="6" name="图片 5">
          <a:extLst>
            <a:ext uri="{FF2B5EF4-FFF2-40B4-BE49-F238E27FC236}">
              <a16:creationId xmlns:a16="http://schemas.microsoft.com/office/drawing/2014/main" id="{577C8AC3-DB58-4FA5-B3D3-9D2CF045F5C1}"/>
            </a:ext>
          </a:extLst>
        </xdr:cNvPr>
        <xdr:cNvPicPr>
          <a:picLocks noChangeAspect="1"/>
        </xdr:cNvPicPr>
      </xdr:nvPicPr>
      <xdr:blipFill>
        <a:blip xmlns:r="http://schemas.openxmlformats.org/officeDocument/2006/relationships" r:embed="rId5"/>
        <a:stretch>
          <a:fillRect/>
        </a:stretch>
      </xdr:blipFill>
      <xdr:spPr>
        <a:xfrm>
          <a:off x="12496800" y="6927273"/>
          <a:ext cx="11961905" cy="1361905"/>
        </a:xfrm>
        <a:prstGeom prst="rect">
          <a:avLst/>
        </a:prstGeom>
      </xdr:spPr>
    </xdr:pic>
    <xdr:clientData/>
  </xdr:twoCellAnchor>
  <xdr:twoCellAnchor editAs="oneCell">
    <xdr:from>
      <xdr:col>0</xdr:col>
      <xdr:colOff>0</xdr:colOff>
      <xdr:row>52</xdr:row>
      <xdr:rowOff>0</xdr:rowOff>
    </xdr:from>
    <xdr:to>
      <xdr:col>17</xdr:col>
      <xdr:colOff>604899</xdr:colOff>
      <xdr:row>71</xdr:row>
      <xdr:rowOff>129744</xdr:rowOff>
    </xdr:to>
    <xdr:pic>
      <xdr:nvPicPr>
        <xdr:cNvPr id="8" name="图片 7">
          <a:extLst>
            <a:ext uri="{FF2B5EF4-FFF2-40B4-BE49-F238E27FC236}">
              <a16:creationId xmlns:a16="http://schemas.microsoft.com/office/drawing/2014/main" id="{C8F0EB90-DD56-BA90-6F9B-1548CEFE0230}"/>
            </a:ext>
          </a:extLst>
        </xdr:cNvPr>
        <xdr:cNvPicPr>
          <a:picLocks noChangeAspect="1"/>
        </xdr:cNvPicPr>
      </xdr:nvPicPr>
      <xdr:blipFill>
        <a:blip xmlns:r="http://schemas.openxmlformats.org/officeDocument/2006/relationships" r:embed="rId6"/>
        <a:stretch>
          <a:fillRect/>
        </a:stretch>
      </xdr:blipFill>
      <xdr:spPr>
        <a:xfrm>
          <a:off x="0" y="9080500"/>
          <a:ext cx="12209524" cy="3447619"/>
        </a:xfrm>
        <a:prstGeom prst="rect">
          <a:avLst/>
        </a:prstGeom>
      </xdr:spPr>
    </xdr:pic>
    <xdr:clientData/>
  </xdr:twoCellAnchor>
  <xdr:twoCellAnchor editAs="oneCell">
    <xdr:from>
      <xdr:col>0</xdr:col>
      <xdr:colOff>0</xdr:colOff>
      <xdr:row>72</xdr:row>
      <xdr:rowOff>0</xdr:rowOff>
    </xdr:from>
    <xdr:to>
      <xdr:col>17</xdr:col>
      <xdr:colOff>500137</xdr:colOff>
      <xdr:row>84</xdr:row>
      <xdr:rowOff>9262</xdr:rowOff>
    </xdr:to>
    <xdr:pic>
      <xdr:nvPicPr>
        <xdr:cNvPr id="9" name="图片 8">
          <a:extLst>
            <a:ext uri="{FF2B5EF4-FFF2-40B4-BE49-F238E27FC236}">
              <a16:creationId xmlns:a16="http://schemas.microsoft.com/office/drawing/2014/main" id="{508613DA-317E-0AEA-B430-CDFAAC3F8FCE}"/>
            </a:ext>
          </a:extLst>
        </xdr:cNvPr>
        <xdr:cNvPicPr>
          <a:picLocks noChangeAspect="1"/>
        </xdr:cNvPicPr>
      </xdr:nvPicPr>
      <xdr:blipFill>
        <a:blip xmlns:r="http://schemas.openxmlformats.org/officeDocument/2006/relationships" r:embed="rId7"/>
        <a:stretch>
          <a:fillRect/>
        </a:stretch>
      </xdr:blipFill>
      <xdr:spPr>
        <a:xfrm>
          <a:off x="0" y="12573000"/>
          <a:ext cx="12104762" cy="2104762"/>
        </a:xfrm>
        <a:prstGeom prst="rect">
          <a:avLst/>
        </a:prstGeom>
      </xdr:spPr>
    </xdr:pic>
    <xdr:clientData/>
  </xdr:twoCellAnchor>
  <xdr:twoCellAnchor editAs="oneCell">
    <xdr:from>
      <xdr:col>18</xdr:col>
      <xdr:colOff>0</xdr:colOff>
      <xdr:row>52</xdr:row>
      <xdr:rowOff>0</xdr:rowOff>
    </xdr:from>
    <xdr:to>
      <xdr:col>36</xdr:col>
      <xdr:colOff>27036</xdr:colOff>
      <xdr:row>65</xdr:row>
      <xdr:rowOff>44161</xdr:rowOff>
    </xdr:to>
    <xdr:pic>
      <xdr:nvPicPr>
        <xdr:cNvPr id="10" name="图片 9">
          <a:extLst>
            <a:ext uri="{FF2B5EF4-FFF2-40B4-BE49-F238E27FC236}">
              <a16:creationId xmlns:a16="http://schemas.microsoft.com/office/drawing/2014/main" id="{5AE3A094-BB41-0090-1A35-3D1C4F4650EC}"/>
            </a:ext>
          </a:extLst>
        </xdr:cNvPr>
        <xdr:cNvPicPr>
          <a:picLocks noChangeAspect="1"/>
        </xdr:cNvPicPr>
      </xdr:nvPicPr>
      <xdr:blipFill>
        <a:blip xmlns:r="http://schemas.openxmlformats.org/officeDocument/2006/relationships" r:embed="rId8"/>
        <a:stretch>
          <a:fillRect/>
        </a:stretch>
      </xdr:blipFill>
      <xdr:spPr>
        <a:xfrm>
          <a:off x="12287250" y="9080500"/>
          <a:ext cx="12314286" cy="2314286"/>
        </a:xfrm>
        <a:prstGeom prst="rect">
          <a:avLst/>
        </a:prstGeom>
      </xdr:spPr>
    </xdr:pic>
    <xdr:clientData/>
  </xdr:twoCellAnchor>
  <xdr:twoCellAnchor editAs="oneCell">
    <xdr:from>
      <xdr:col>18</xdr:col>
      <xdr:colOff>95250</xdr:colOff>
      <xdr:row>65</xdr:row>
      <xdr:rowOff>142875</xdr:rowOff>
    </xdr:from>
    <xdr:to>
      <xdr:col>35</xdr:col>
      <xdr:colOff>652530</xdr:colOff>
      <xdr:row>90</xdr:row>
      <xdr:rowOff>72488</xdr:rowOff>
    </xdr:to>
    <xdr:pic>
      <xdr:nvPicPr>
        <xdr:cNvPr id="11" name="图片 10">
          <a:extLst>
            <a:ext uri="{FF2B5EF4-FFF2-40B4-BE49-F238E27FC236}">
              <a16:creationId xmlns:a16="http://schemas.microsoft.com/office/drawing/2014/main" id="{B76B2B29-9B3F-33DE-D77C-FA5135648725}"/>
            </a:ext>
          </a:extLst>
        </xdr:cNvPr>
        <xdr:cNvPicPr>
          <a:picLocks noChangeAspect="1"/>
        </xdr:cNvPicPr>
      </xdr:nvPicPr>
      <xdr:blipFill>
        <a:blip xmlns:r="http://schemas.openxmlformats.org/officeDocument/2006/relationships" r:embed="rId9"/>
        <a:stretch>
          <a:fillRect/>
        </a:stretch>
      </xdr:blipFill>
      <xdr:spPr>
        <a:xfrm>
          <a:off x="12382500" y="11493500"/>
          <a:ext cx="12161905" cy="4295238"/>
        </a:xfrm>
        <a:prstGeom prst="rect">
          <a:avLst/>
        </a:prstGeom>
      </xdr:spPr>
    </xdr:pic>
    <xdr:clientData/>
  </xdr:twoCellAnchor>
  <xdr:twoCellAnchor editAs="oneCell">
    <xdr:from>
      <xdr:col>18</xdr:col>
      <xdr:colOff>0</xdr:colOff>
      <xdr:row>91</xdr:row>
      <xdr:rowOff>0</xdr:rowOff>
    </xdr:from>
    <xdr:to>
      <xdr:col>35</xdr:col>
      <xdr:colOff>462042</xdr:colOff>
      <xdr:row>98</xdr:row>
      <xdr:rowOff>91911</xdr:rowOff>
    </xdr:to>
    <xdr:pic>
      <xdr:nvPicPr>
        <xdr:cNvPr id="12" name="图片 11">
          <a:extLst>
            <a:ext uri="{FF2B5EF4-FFF2-40B4-BE49-F238E27FC236}">
              <a16:creationId xmlns:a16="http://schemas.microsoft.com/office/drawing/2014/main" id="{8418ECF1-7F7D-53B2-8A7C-05EAE978C349}"/>
            </a:ext>
          </a:extLst>
        </xdr:cNvPr>
        <xdr:cNvPicPr>
          <a:picLocks noChangeAspect="1"/>
        </xdr:cNvPicPr>
      </xdr:nvPicPr>
      <xdr:blipFill>
        <a:blip xmlns:r="http://schemas.openxmlformats.org/officeDocument/2006/relationships" r:embed="rId10"/>
        <a:stretch>
          <a:fillRect/>
        </a:stretch>
      </xdr:blipFill>
      <xdr:spPr>
        <a:xfrm>
          <a:off x="12287250" y="15890875"/>
          <a:ext cx="12066667" cy="1314286"/>
        </a:xfrm>
        <a:prstGeom prst="rect">
          <a:avLst/>
        </a:prstGeom>
      </xdr:spPr>
    </xdr:pic>
    <xdr:clientData/>
  </xdr:twoCellAnchor>
  <xdr:twoCellAnchor editAs="oneCell">
    <xdr:from>
      <xdr:col>0</xdr:col>
      <xdr:colOff>0</xdr:colOff>
      <xdr:row>98</xdr:row>
      <xdr:rowOff>63500</xdr:rowOff>
    </xdr:from>
    <xdr:to>
      <xdr:col>17</xdr:col>
      <xdr:colOff>642994</xdr:colOff>
      <xdr:row>117</xdr:row>
      <xdr:rowOff>174196</xdr:rowOff>
    </xdr:to>
    <xdr:pic>
      <xdr:nvPicPr>
        <xdr:cNvPr id="13" name="图片 12">
          <a:extLst>
            <a:ext uri="{FF2B5EF4-FFF2-40B4-BE49-F238E27FC236}">
              <a16:creationId xmlns:a16="http://schemas.microsoft.com/office/drawing/2014/main" id="{1255AF19-F52E-6D4C-8CCA-2F1290310DAA}"/>
            </a:ext>
          </a:extLst>
        </xdr:cNvPr>
        <xdr:cNvPicPr>
          <a:picLocks noChangeAspect="1"/>
        </xdr:cNvPicPr>
      </xdr:nvPicPr>
      <xdr:blipFill>
        <a:blip xmlns:r="http://schemas.openxmlformats.org/officeDocument/2006/relationships" r:embed="rId11"/>
        <a:stretch>
          <a:fillRect/>
        </a:stretch>
      </xdr:blipFill>
      <xdr:spPr>
        <a:xfrm>
          <a:off x="0" y="17176750"/>
          <a:ext cx="12247619" cy="3428571"/>
        </a:xfrm>
        <a:prstGeom prst="rect">
          <a:avLst/>
        </a:prstGeom>
      </xdr:spPr>
    </xdr:pic>
    <xdr:clientData/>
  </xdr:twoCellAnchor>
  <xdr:twoCellAnchor editAs="oneCell">
    <xdr:from>
      <xdr:col>0</xdr:col>
      <xdr:colOff>0</xdr:colOff>
      <xdr:row>119</xdr:row>
      <xdr:rowOff>0</xdr:rowOff>
    </xdr:from>
    <xdr:to>
      <xdr:col>17</xdr:col>
      <xdr:colOff>338232</xdr:colOff>
      <xdr:row>145</xdr:row>
      <xdr:rowOff>164512</xdr:rowOff>
    </xdr:to>
    <xdr:pic>
      <xdr:nvPicPr>
        <xdr:cNvPr id="14" name="图片 13">
          <a:extLst>
            <a:ext uri="{FF2B5EF4-FFF2-40B4-BE49-F238E27FC236}">
              <a16:creationId xmlns:a16="http://schemas.microsoft.com/office/drawing/2014/main" id="{8B33A03B-1BF4-AB77-2445-1FB990F7844A}"/>
            </a:ext>
          </a:extLst>
        </xdr:cNvPr>
        <xdr:cNvPicPr>
          <a:picLocks noChangeAspect="1"/>
        </xdr:cNvPicPr>
      </xdr:nvPicPr>
      <xdr:blipFill>
        <a:blip xmlns:r="http://schemas.openxmlformats.org/officeDocument/2006/relationships" r:embed="rId12"/>
        <a:stretch>
          <a:fillRect/>
        </a:stretch>
      </xdr:blipFill>
      <xdr:spPr>
        <a:xfrm>
          <a:off x="0" y="20780375"/>
          <a:ext cx="11942857" cy="4704762"/>
        </a:xfrm>
        <a:prstGeom prst="rect">
          <a:avLst/>
        </a:prstGeom>
      </xdr:spPr>
    </xdr:pic>
    <xdr:clientData/>
  </xdr:twoCellAnchor>
  <xdr:twoCellAnchor editAs="oneCell">
    <xdr:from>
      <xdr:col>18</xdr:col>
      <xdr:colOff>0</xdr:colOff>
      <xdr:row>99</xdr:row>
      <xdr:rowOff>0</xdr:rowOff>
    </xdr:from>
    <xdr:to>
      <xdr:col>36</xdr:col>
      <xdr:colOff>93702</xdr:colOff>
      <xdr:row>111</xdr:row>
      <xdr:rowOff>123548</xdr:rowOff>
    </xdr:to>
    <xdr:pic>
      <xdr:nvPicPr>
        <xdr:cNvPr id="15" name="图片 14">
          <a:extLst>
            <a:ext uri="{FF2B5EF4-FFF2-40B4-BE49-F238E27FC236}">
              <a16:creationId xmlns:a16="http://schemas.microsoft.com/office/drawing/2014/main" id="{B52EDA5D-3846-5663-72BA-F2E70F042D61}"/>
            </a:ext>
          </a:extLst>
        </xdr:cNvPr>
        <xdr:cNvPicPr>
          <a:picLocks noChangeAspect="1"/>
        </xdr:cNvPicPr>
      </xdr:nvPicPr>
      <xdr:blipFill>
        <a:blip xmlns:r="http://schemas.openxmlformats.org/officeDocument/2006/relationships" r:embed="rId13"/>
        <a:stretch>
          <a:fillRect/>
        </a:stretch>
      </xdr:blipFill>
      <xdr:spPr>
        <a:xfrm>
          <a:off x="12287250" y="17287875"/>
          <a:ext cx="12380952" cy="2219048"/>
        </a:xfrm>
        <a:prstGeom prst="rect">
          <a:avLst/>
        </a:prstGeom>
      </xdr:spPr>
    </xdr:pic>
    <xdr:clientData/>
  </xdr:twoCellAnchor>
  <xdr:twoCellAnchor editAs="oneCell">
    <xdr:from>
      <xdr:col>18</xdr:col>
      <xdr:colOff>0</xdr:colOff>
      <xdr:row>112</xdr:row>
      <xdr:rowOff>0</xdr:rowOff>
    </xdr:from>
    <xdr:to>
      <xdr:col>35</xdr:col>
      <xdr:colOff>595375</xdr:colOff>
      <xdr:row>136</xdr:row>
      <xdr:rowOff>104238</xdr:rowOff>
    </xdr:to>
    <xdr:pic>
      <xdr:nvPicPr>
        <xdr:cNvPr id="16" name="图片 15">
          <a:extLst>
            <a:ext uri="{FF2B5EF4-FFF2-40B4-BE49-F238E27FC236}">
              <a16:creationId xmlns:a16="http://schemas.microsoft.com/office/drawing/2014/main" id="{649AB4BA-589C-E71A-1E27-EB1966A7F042}"/>
            </a:ext>
          </a:extLst>
        </xdr:cNvPr>
        <xdr:cNvPicPr>
          <a:picLocks noChangeAspect="1"/>
        </xdr:cNvPicPr>
      </xdr:nvPicPr>
      <xdr:blipFill>
        <a:blip xmlns:r="http://schemas.openxmlformats.org/officeDocument/2006/relationships" r:embed="rId14"/>
        <a:stretch>
          <a:fillRect/>
        </a:stretch>
      </xdr:blipFill>
      <xdr:spPr>
        <a:xfrm>
          <a:off x="12287250" y="19558000"/>
          <a:ext cx="12200000" cy="4295238"/>
        </a:xfrm>
        <a:prstGeom prst="rect">
          <a:avLst/>
        </a:prstGeom>
      </xdr:spPr>
    </xdr:pic>
    <xdr:clientData/>
  </xdr:twoCellAnchor>
  <xdr:twoCellAnchor editAs="oneCell">
    <xdr:from>
      <xdr:col>17</xdr:col>
      <xdr:colOff>666750</xdr:colOff>
      <xdr:row>137</xdr:row>
      <xdr:rowOff>63500</xdr:rowOff>
    </xdr:from>
    <xdr:to>
      <xdr:col>35</xdr:col>
      <xdr:colOff>484262</xdr:colOff>
      <xdr:row>145</xdr:row>
      <xdr:rowOff>104595</xdr:rowOff>
    </xdr:to>
    <xdr:pic>
      <xdr:nvPicPr>
        <xdr:cNvPr id="17" name="图片 16">
          <a:extLst>
            <a:ext uri="{FF2B5EF4-FFF2-40B4-BE49-F238E27FC236}">
              <a16:creationId xmlns:a16="http://schemas.microsoft.com/office/drawing/2014/main" id="{1C170D6F-B798-CF22-EDC3-6D85DAF9735B}"/>
            </a:ext>
          </a:extLst>
        </xdr:cNvPr>
        <xdr:cNvPicPr>
          <a:picLocks noChangeAspect="1"/>
        </xdr:cNvPicPr>
      </xdr:nvPicPr>
      <xdr:blipFill>
        <a:blip xmlns:r="http://schemas.openxmlformats.org/officeDocument/2006/relationships" r:embed="rId15"/>
        <a:stretch>
          <a:fillRect/>
        </a:stretch>
      </xdr:blipFill>
      <xdr:spPr>
        <a:xfrm>
          <a:off x="12271375" y="23987125"/>
          <a:ext cx="12104762" cy="1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5-1-E000013&#23494;&#20113;&#21306;&#20303;&#23429;&#29992;&#22320;\&#23494;&#20113;&#21306;&#20303;&#23429;&#29992;&#22320;.xlsx" TargetMode="External"/><Relationship Id="rId1" Type="http://schemas.openxmlformats.org/officeDocument/2006/relationships/externalLinkPath" Target="&#23494;&#20113;&#21306;&#20303;&#23429;&#29992;&#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8">
          <cell r="C18"/>
        </row>
        <row r="19">
          <cell r="C19" t="str">
            <v>住宅</v>
          </cell>
        </row>
        <row r="20">
          <cell r="C20" t="str">
            <v>商业</v>
          </cell>
        </row>
        <row r="21">
          <cell r="C21" t="str">
            <v>地下车库</v>
          </cell>
        </row>
        <row r="22">
          <cell r="C22"/>
        </row>
        <row r="23">
          <cell r="C23"/>
        </row>
        <row r="24">
          <cell r="C24"/>
        </row>
        <row r="25">
          <cell r="C25"/>
        </row>
        <row r="26">
          <cell r="C26"/>
        </row>
      </sheetData>
      <sheetData sheetId="14">
        <row r="8">
          <cell r="AH8">
            <v>1053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B74"/>
          <cell r="C74" t="str">
            <v>正常</v>
          </cell>
          <cell r="D74"/>
          <cell r="E74"/>
          <cell r="F74"/>
          <cell r="G74"/>
          <cell r="H74"/>
          <cell r="I74"/>
          <cell r="J74"/>
          <cell r="K74"/>
          <cell r="L74"/>
          <cell r="M74"/>
        </row>
        <row r="76">
          <cell r="B76" t="str">
            <v>用途</v>
          </cell>
          <cell r="C76" t="str">
            <v>住宅</v>
          </cell>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t="str">
            <v>七通</v>
          </cell>
          <cell r="D124" t="str">
            <v>六通</v>
          </cell>
          <cell r="E124" t="str">
            <v>五通</v>
          </cell>
          <cell r="F124" t="str">
            <v>四通</v>
          </cell>
          <cell r="G124" t="str">
            <v>三通</v>
          </cell>
          <cell r="H124"/>
          <cell r="I124"/>
          <cell r="J124"/>
          <cell r="K124"/>
          <cell r="L124"/>
          <cell r="M124"/>
        </row>
        <row r="126">
          <cell r="B126" t="str">
            <v>工程地质条件</v>
          </cell>
          <cell r="C126"/>
          <cell r="D126"/>
          <cell r="E126"/>
          <cell r="F126"/>
          <cell r="G126"/>
          <cell r="H126"/>
          <cell r="I126"/>
          <cell r="J126"/>
          <cell r="K126"/>
          <cell r="L126"/>
          <cell r="M126"/>
        </row>
      </sheetData>
      <sheetData sheetId="19"/>
      <sheetData sheetId="20"/>
      <sheetData sheetId="21"/>
      <sheetData sheetId="22"/>
      <sheetData sheetId="23">
        <row r="71">
          <cell r="B71" t="str">
            <v>用途</v>
          </cell>
          <cell r="C71"/>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cell r="D100"/>
          <cell r="E100"/>
          <cell r="F100"/>
          <cell r="G100"/>
          <cell r="H100"/>
          <cell r="I100"/>
          <cell r="J100"/>
          <cell r="K100"/>
          <cell r="L100"/>
          <cell r="M100"/>
        </row>
        <row r="111">
          <cell r="B111" t="str">
            <v>宗地形状</v>
          </cell>
          <cell r="C111"/>
          <cell r="D111"/>
          <cell r="E111"/>
          <cell r="F111"/>
          <cell r="G111"/>
          <cell r="H111"/>
          <cell r="I111"/>
          <cell r="J111"/>
          <cell r="K111"/>
          <cell r="L111"/>
          <cell r="M111"/>
        </row>
        <row r="113">
          <cell r="B113" t="str">
            <v>宗地开发程度</v>
          </cell>
          <cell r="C113"/>
          <cell r="D113"/>
          <cell r="E113"/>
          <cell r="F113"/>
          <cell r="G113"/>
          <cell r="H113"/>
          <cell r="I113"/>
          <cell r="J113"/>
          <cell r="K113"/>
          <cell r="L113"/>
          <cell r="M113"/>
        </row>
        <row r="115">
          <cell r="B115" t="str">
            <v>工程地质条件</v>
          </cell>
          <cell r="C115"/>
          <cell r="D115"/>
          <cell r="E115"/>
          <cell r="F115"/>
          <cell r="G115"/>
          <cell r="H115"/>
          <cell r="I115"/>
          <cell r="J115"/>
          <cell r="K115"/>
          <cell r="L115"/>
          <cell r="M115"/>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8">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9">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0"/>
      <sheetData sheetId="41">
        <row r="51">
          <cell r="A51" t="str">
            <v>交易情况</v>
          </cell>
          <cell r="B51"/>
          <cell r="C51" t="str">
            <v>正常</v>
          </cell>
          <cell r="D51"/>
          <cell r="E51"/>
          <cell r="F51"/>
          <cell r="G51"/>
          <cell r="H51"/>
          <cell r="I51"/>
          <cell r="J51"/>
          <cell r="K51"/>
          <cell r="L51"/>
          <cell r="M51"/>
        </row>
        <row r="53">
          <cell r="B53" t="str">
            <v>用途</v>
          </cell>
          <cell r="C53" t="str">
            <v>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住宅</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2"/>
      <sheetData sheetId="43">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4">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估价对象为北京市房地产，为所有。根据《国有土地使用证》[]，估价对象（分摊）出让国有建设用地使用权面积为0平方米，建筑面积为155425.83平方米。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估价对象为北京市房地产,属开发建设的，该项目尚在开发建设中。根据《国有土地使用证》[]，估价对象（分摊）出让国有建设用地使用权面积为0平方米，规划建筑面积为155425.83平方米。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2025年3月25日（评估专业人员实地查勘之日）</v>
      </c>
    </row>
    <row r="13" spans="1:2">
      <c r="A13" s="1119" t="s">
        <v>529</v>
      </c>
      <c r="B13" s="1120"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346733</v>
      </c>
    </row>
    <row r="21" spans="1:2">
      <c r="A21" s="1119" t="s">
        <v>537</v>
      </c>
      <c r="B21" s="1120">
        <f ca="1">'预评函-2'!D7</f>
        <v>26668</v>
      </c>
    </row>
    <row r="22" spans="1:2">
      <c r="A22" s="1119" t="s">
        <v>538</v>
      </c>
      <c r="B22" s="1120" t="str">
        <f ca="1">'预评函-2'!D6</f>
        <v>叁拾肆亿陆仟柒佰叁拾叁万元整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346733</v>
      </c>
    </row>
    <row r="31" spans="1:2">
      <c r="A31" s="1119" t="s">
        <v>576</v>
      </c>
      <c r="B31" s="1120">
        <f ca="1">'预评函-2'!D15</f>
        <v>26668</v>
      </c>
    </row>
    <row r="32" spans="1:2">
      <c r="A32" s="1119" t="s">
        <v>543</v>
      </c>
      <c r="B32" s="1120" t="str">
        <f ca="1">'预评函-2'!D14</f>
        <v>叁拾肆亿陆仟柒佰叁拾叁万元整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155425.82999999999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1" sqref="H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975</v>
      </c>
      <c r="C1" s="1438" t="s">
        <v>314</v>
      </c>
      <c r="D1" s="1439" t="s">
        <v>3340</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row>
    <row r="2" spans="1:23">
      <c r="A2" s="1441" t="s">
        <v>19</v>
      </c>
      <c r="B2" s="1441" t="s">
        <v>991</v>
      </c>
      <c r="C2" s="1442" t="s">
        <v>315</v>
      </c>
      <c r="D2" s="1443" t="s">
        <v>992</v>
      </c>
      <c r="E2" s="1443" t="s">
        <v>993</v>
      </c>
      <c r="F2" s="1443" t="s">
        <v>994</v>
      </c>
      <c r="G2" s="1443">
        <v>20</v>
      </c>
      <c r="H2" s="1443" t="s">
        <v>994</v>
      </c>
      <c r="I2" s="1443" t="s">
        <v>3326</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row>
    <row r="3" spans="1:23">
      <c r="A3" s="1441" t="s">
        <v>999</v>
      </c>
      <c r="B3" s="1444" t="s">
        <v>448</v>
      </c>
      <c r="C3" s="1442" t="s">
        <v>316</v>
      </c>
      <c r="D3" s="1443" t="s">
        <v>1000</v>
      </c>
      <c r="E3" s="1443" t="s">
        <v>13</v>
      </c>
      <c r="F3" s="1443" t="s">
        <v>1001</v>
      </c>
      <c r="G3" s="1443">
        <v>40</v>
      </c>
      <c r="H3" s="1443" t="s">
        <v>1001</v>
      </c>
      <c r="I3" s="1443" t="s">
        <v>3327</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row>
    <row r="4" spans="1:23">
      <c r="A4" s="1441" t="s">
        <v>1006</v>
      </c>
      <c r="B4" s="1441" t="s">
        <v>1007</v>
      </c>
      <c r="C4" s="1442" t="s">
        <v>317</v>
      </c>
      <c r="D4" s="1443" t="s">
        <v>389</v>
      </c>
      <c r="E4" s="1443" t="s">
        <v>1008</v>
      </c>
      <c r="F4" s="1443" t="s">
        <v>1009</v>
      </c>
      <c r="G4" s="1443">
        <v>50</v>
      </c>
      <c r="H4" s="1443" t="s">
        <v>1009</v>
      </c>
      <c r="I4" s="1443" t="s">
        <v>3328</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row>
    <row r="5" spans="1:23">
      <c r="A5" s="1441" t="s">
        <v>1012</v>
      </c>
      <c r="B5" s="1441" t="s">
        <v>1013</v>
      </c>
      <c r="C5" s="1442" t="s">
        <v>318</v>
      </c>
      <c r="F5" s="1443" t="s">
        <v>1014</v>
      </c>
      <c r="G5" s="1443">
        <v>70</v>
      </c>
      <c r="H5" s="1443" t="s">
        <v>1015</v>
      </c>
      <c r="I5" s="1443" t="s">
        <v>3329</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row>
    <row r="6" spans="1:23">
      <c r="A6" s="1441" t="s">
        <v>1018</v>
      </c>
      <c r="B6" s="1444" t="s">
        <v>449</v>
      </c>
      <c r="C6" s="1446" t="s">
        <v>24</v>
      </c>
      <c r="F6" s="1443" t="s">
        <v>1015</v>
      </c>
      <c r="H6" s="1443" t="s">
        <v>1019</v>
      </c>
      <c r="I6" s="1443" t="s">
        <v>3330</v>
      </c>
      <c r="K6" s="1443" t="s">
        <v>1020</v>
      </c>
      <c r="L6" s="1443" t="s">
        <v>1020</v>
      </c>
      <c r="M6" s="1443" t="s">
        <v>1020</v>
      </c>
      <c r="N6" s="1443" t="s">
        <v>1020</v>
      </c>
      <c r="O6" s="1443" t="s">
        <v>1020</v>
      </c>
      <c r="P6" s="1443" t="s">
        <v>1020</v>
      </c>
      <c r="Q6" s="1443" t="s">
        <v>1020</v>
      </c>
      <c r="R6" s="1443" t="s">
        <v>446</v>
      </c>
      <c r="S6" s="1443" t="s">
        <v>1020</v>
      </c>
      <c r="T6" s="1443"/>
      <c r="U6" s="1443" t="s">
        <v>1020</v>
      </c>
      <c r="W6" s="1443" t="s">
        <v>1020</v>
      </c>
    </row>
    <row r="7" spans="1:23">
      <c r="A7" s="1441" t="s">
        <v>1021</v>
      </c>
      <c r="B7" s="1444" t="s">
        <v>450</v>
      </c>
      <c r="C7" s="1442" t="s">
        <v>25</v>
      </c>
      <c r="F7" s="1443" t="s">
        <v>1022</v>
      </c>
      <c r="H7" s="1443" t="s">
        <v>1023</v>
      </c>
      <c r="I7" s="1443" t="s">
        <v>3331</v>
      </c>
    </row>
    <row r="8" spans="1:23">
      <c r="A8" s="1441" t="s">
        <v>1024</v>
      </c>
      <c r="B8" s="1441" t="s">
        <v>1025</v>
      </c>
      <c r="C8" s="1442" t="s">
        <v>319</v>
      </c>
      <c r="F8" s="1443" t="s">
        <v>1026</v>
      </c>
      <c r="H8" s="1443" t="s">
        <v>2566</v>
      </c>
      <c r="I8" s="1443" t="s">
        <v>3332</v>
      </c>
    </row>
    <row r="9" spans="1:23">
      <c r="A9" s="1441" t="s">
        <v>1027</v>
      </c>
      <c r="B9" s="1441" t="s">
        <v>1028</v>
      </c>
      <c r="C9" s="1442" t="s">
        <v>320</v>
      </c>
      <c r="F9" s="1443" t="s">
        <v>1029</v>
      </c>
      <c r="H9" s="1443"/>
      <c r="I9" s="1445" t="s">
        <v>3333</v>
      </c>
    </row>
    <row r="10" spans="1:23">
      <c r="A10" s="1441" t="s">
        <v>1030</v>
      </c>
      <c r="B10" s="1441" t="s">
        <v>1031</v>
      </c>
      <c r="C10" s="1442" t="s">
        <v>321</v>
      </c>
      <c r="F10" s="1443" t="s">
        <v>2567</v>
      </c>
      <c r="I10" s="1445" t="s">
        <v>3334</v>
      </c>
    </row>
    <row r="11" spans="1:23">
      <c r="A11" s="1441" t="s">
        <v>1032</v>
      </c>
      <c r="B11" s="1441" t="s">
        <v>1033</v>
      </c>
      <c r="C11" s="1442" t="s">
        <v>322</v>
      </c>
      <c r="F11" s="1443" t="s">
        <v>13</v>
      </c>
      <c r="I11" s="1445" t="s">
        <v>3335</v>
      </c>
    </row>
    <row r="12" spans="1:23">
      <c r="A12" s="1441" t="s">
        <v>1034</v>
      </c>
      <c r="B12" s="1441" t="s">
        <v>1035</v>
      </c>
      <c r="C12" s="1442" t="s">
        <v>323</v>
      </c>
      <c r="I12" s="1445" t="s">
        <v>3336</v>
      </c>
    </row>
    <row r="13" spans="1:23">
      <c r="A13" s="1441" t="s">
        <v>1036</v>
      </c>
      <c r="B13" s="1441" t="s">
        <v>1037</v>
      </c>
      <c r="C13" s="1442" t="s">
        <v>324</v>
      </c>
      <c r="I13" s="1445" t="s">
        <v>3337</v>
      </c>
    </row>
    <row r="14" spans="1:23">
      <c r="A14" s="1441" t="s">
        <v>1038</v>
      </c>
      <c r="B14" s="1441" t="s">
        <v>1039</v>
      </c>
      <c r="C14" s="1443" t="s">
        <v>13</v>
      </c>
      <c r="I14" s="1445" t="s">
        <v>3338</v>
      </c>
    </row>
    <row r="15" spans="1:23">
      <c r="A15" s="1441" t="s">
        <v>1040</v>
      </c>
      <c r="B15" s="1441" t="s">
        <v>1041</v>
      </c>
      <c r="C15" s="1442"/>
      <c r="I15" s="1445" t="s">
        <v>3339</v>
      </c>
    </row>
    <row r="16" spans="1:23">
      <c r="A16" s="1441" t="s">
        <v>1042</v>
      </c>
      <c r="B16" s="1441" t="s">
        <v>312</v>
      </c>
      <c r="C16" s="1442"/>
    </row>
    <row r="17" spans="1:3">
      <c r="A17" s="1441" t="s">
        <v>1043</v>
      </c>
      <c r="B17" s="1441" t="s">
        <v>2282</v>
      </c>
      <c r="C17" s="1442"/>
    </row>
    <row r="18" spans="1:3">
      <c r="A18" s="1441" t="s">
        <v>1044</v>
      </c>
      <c r="B18" s="1441" t="s">
        <v>2422</v>
      </c>
      <c r="C18" s="1442"/>
    </row>
    <row r="19" spans="1:3">
      <c r="A19" s="1441" t="s">
        <v>1045</v>
      </c>
      <c r="B19" s="1441" t="s">
        <v>313</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2489</v>
      </c>
      <c r="B1" s="2755"/>
      <c r="C1" s="2755"/>
      <c r="D1" s="2755"/>
      <c r="E1" s="2755"/>
      <c r="F1" s="2756"/>
      <c r="I1" s="3133" t="s">
        <v>2582</v>
      </c>
      <c r="J1" s="2781"/>
      <c r="K1" s="2781"/>
      <c r="L1" s="2781"/>
      <c r="M1" s="2781"/>
      <c r="N1" s="2966"/>
      <c r="O1" s="2966"/>
      <c r="P1" s="2966"/>
      <c r="Q1" s="2966"/>
      <c r="R1" s="2966"/>
    </row>
    <row r="2" spans="1:18">
      <c r="A2" s="2758"/>
      <c r="B2" s="2759"/>
      <c r="C2" s="2759"/>
      <c r="D2" s="2759"/>
      <c r="E2" s="2759"/>
      <c r="F2" s="2760"/>
      <c r="I2" s="3204" t="s">
        <v>2569</v>
      </c>
      <c r="J2" s="3204"/>
      <c r="K2" s="3204"/>
      <c r="L2" s="3204"/>
      <c r="M2" s="3204"/>
      <c r="N2" s="3204"/>
      <c r="O2" s="3204"/>
      <c r="P2" s="3204"/>
      <c r="Q2" s="3204"/>
      <c r="R2" s="3204"/>
    </row>
    <row r="3" spans="1:18">
      <c r="A3" s="2761" t="s">
        <v>2490</v>
      </c>
      <c r="B3" s="2762">
        <f>项目基本情况!D3</f>
        <v>45741</v>
      </c>
      <c r="C3" s="2764"/>
      <c r="D3" s="2764"/>
      <c r="E3" s="2764"/>
      <c r="F3" s="2760"/>
      <c r="I3" s="2776"/>
      <c r="J3" s="2776" t="s">
        <v>2573</v>
      </c>
      <c r="K3" s="2776" t="s">
        <v>2574</v>
      </c>
      <c r="L3" s="2776" t="s">
        <v>2575</v>
      </c>
      <c r="M3" s="2776" t="s">
        <v>2576</v>
      </c>
      <c r="N3" s="3134" t="s">
        <v>2577</v>
      </c>
      <c r="O3" s="3134" t="s">
        <v>2578</v>
      </c>
      <c r="P3" s="3134" t="s">
        <v>2579</v>
      </c>
      <c r="Q3" s="3134" t="s">
        <v>2580</v>
      </c>
      <c r="R3" s="3134" t="s">
        <v>2581</v>
      </c>
    </row>
    <row r="4" spans="1:18">
      <c r="A4" s="2761" t="s">
        <v>2491</v>
      </c>
      <c r="B4" s="2764" t="s">
        <v>2492</v>
      </c>
      <c r="C4" s="2764" t="s">
        <v>2493</v>
      </c>
      <c r="D4" s="2764" t="s">
        <v>2494</v>
      </c>
      <c r="E4" s="2764" t="s">
        <v>2495</v>
      </c>
      <c r="F4" s="2760"/>
      <c r="I4" s="2776" t="s">
        <v>2570</v>
      </c>
      <c r="J4" s="2776">
        <v>80</v>
      </c>
      <c r="K4" s="2776">
        <v>70</v>
      </c>
      <c r="L4" s="2776">
        <v>20</v>
      </c>
      <c r="M4" s="2776">
        <v>30</v>
      </c>
      <c r="N4" s="2764">
        <v>45</v>
      </c>
      <c r="O4" s="2764">
        <v>60</v>
      </c>
      <c r="P4" s="2764">
        <v>50</v>
      </c>
      <c r="Q4" s="2764">
        <v>20</v>
      </c>
      <c r="R4" s="2764">
        <v>375</v>
      </c>
    </row>
    <row r="5" spans="1:18">
      <c r="A5" s="2765">
        <v>40</v>
      </c>
      <c r="B5" s="2762">
        <v>46375</v>
      </c>
      <c r="C5" s="2764">
        <f>ROUNDDOWN(MIN((B5-B3)/365,A5),2)</f>
        <v>1.73</v>
      </c>
      <c r="D5" s="2766">
        <f>IF(ISERROR(ROUND(POWER(1+E5,A5-C5)*(POWER(1+E5,C5)-1)/(POWER(1+E5,A5)-1),3)),0,ROUND(POWER(1+E5,A5-C5)*(POWER(1+E5,C5)-1)/(POWER(1+E5,A5)-1),4))</f>
        <v>8.2900000000000001E-2</v>
      </c>
      <c r="E5" s="2767">
        <v>0.04</v>
      </c>
      <c r="F5" s="2760"/>
      <c r="I5" s="2776" t="s">
        <v>2571</v>
      </c>
      <c r="J5" s="2776">
        <v>70</v>
      </c>
      <c r="K5" s="2776">
        <v>60</v>
      </c>
      <c r="L5" s="2776">
        <v>15</v>
      </c>
      <c r="M5" s="2776">
        <v>25</v>
      </c>
      <c r="N5" s="2764">
        <v>40</v>
      </c>
      <c r="O5" s="2764">
        <v>50</v>
      </c>
      <c r="P5" s="2764">
        <v>40</v>
      </c>
      <c r="Q5" s="2764">
        <v>15</v>
      </c>
      <c r="R5" s="2764">
        <v>315</v>
      </c>
    </row>
    <row r="6" spans="1:18">
      <c r="A6" s="2765">
        <v>50</v>
      </c>
      <c r="B6" s="2762">
        <v>50028</v>
      </c>
      <c r="C6" s="2764">
        <f>ROUNDDOWN(MIN((B6-B3)/365,A6),2)</f>
        <v>11.74</v>
      </c>
      <c r="D6" s="2766">
        <f>IF(ISERROR(ROUND(POWER(1+E6,A6-C6)*(POWER(1+E6,C6)-1)/(POWER(1+E6,A6)-1),3)),0,ROUND(POWER(1+E6,A6-C6)*(POWER(1+E6,C6)-1)/(POWER(1+E6,A6)-1),4))</f>
        <v>0.4294</v>
      </c>
      <c r="E6" s="2767">
        <v>0.04</v>
      </c>
      <c r="F6" s="2760"/>
      <c r="I6" s="2776" t="s">
        <v>2572</v>
      </c>
      <c r="J6" s="2776">
        <v>60</v>
      </c>
      <c r="K6" s="2776">
        <v>50</v>
      </c>
      <c r="L6" s="2776">
        <v>10</v>
      </c>
      <c r="M6" s="2776">
        <v>20</v>
      </c>
      <c r="N6" s="2764">
        <v>35</v>
      </c>
      <c r="O6" s="2764">
        <v>40</v>
      </c>
      <c r="P6" s="2764">
        <v>30</v>
      </c>
      <c r="Q6" s="2764">
        <v>10</v>
      </c>
      <c r="R6" s="2764">
        <v>255</v>
      </c>
    </row>
    <row r="7" spans="1:18">
      <c r="A7" s="2765">
        <v>70</v>
      </c>
      <c r="B7" s="2762">
        <v>57333</v>
      </c>
      <c r="C7" s="2764">
        <f>ROUNDDOWN(MIN((B7-B3)/365,A7),2)</f>
        <v>31.75</v>
      </c>
      <c r="D7" s="2766">
        <f>IF(ISERROR(ROUND(POWER(1+E7,A7-C7)*(POWER(1+E7,C7)-1)/(POWER(1+E7,A7)-1),3)),0,ROUND(POWER(1+E7,A7-C7)*(POWER(1+E7,C7)-1)/(POWER(1+E7,A7)-1),4))</f>
        <v>0.76100000000000001</v>
      </c>
      <c r="E7" s="2767">
        <v>0.04</v>
      </c>
      <c r="F7" s="2760"/>
    </row>
    <row r="8" spans="1:18">
      <c r="A8" s="2758"/>
      <c r="B8" s="2759"/>
      <c r="C8" s="2759"/>
      <c r="D8" s="2759"/>
      <c r="E8" s="2759"/>
      <c r="F8" s="2760"/>
    </row>
    <row r="9" spans="1:18">
      <c r="A9" s="2761" t="s">
        <v>2496</v>
      </c>
      <c r="B9" s="2764"/>
      <c r="C9" s="2764"/>
      <c r="D9" s="2764"/>
      <c r="E9" s="2764"/>
      <c r="F9" s="2768"/>
    </row>
    <row r="10" spans="1:18">
      <c r="A10" s="2761" t="s">
        <v>2497</v>
      </c>
      <c r="B10" s="2764"/>
      <c r="C10" s="2764"/>
      <c r="D10" s="2764" t="s">
        <v>2495</v>
      </c>
      <c r="E10" s="2764"/>
      <c r="F10" s="2768" t="s">
        <v>2494</v>
      </c>
    </row>
    <row r="11" spans="1:18">
      <c r="A11" s="2761" t="s">
        <v>2498</v>
      </c>
      <c r="B11" s="2769">
        <v>70</v>
      </c>
      <c r="C11" s="2764" t="s">
        <v>2499</v>
      </c>
      <c r="D11" s="2769">
        <v>4.4999999999999998E-2</v>
      </c>
      <c r="E11" s="2764" t="s">
        <v>2500</v>
      </c>
      <c r="F11" s="2770">
        <f>ROUND(1-(1/(POWER(1+D11,B11))),4)</f>
        <v>0.95409999999999995</v>
      </c>
    </row>
    <row r="12" spans="1:18">
      <c r="A12" s="2761" t="s">
        <v>2501</v>
      </c>
      <c r="B12" s="2769">
        <v>40</v>
      </c>
      <c r="C12" s="2764" t="s">
        <v>2502</v>
      </c>
      <c r="D12" s="2769">
        <v>4.4999999999999998E-2</v>
      </c>
      <c r="E12" s="2764" t="s">
        <v>2503</v>
      </c>
      <c r="F12" s="2770">
        <f>ROUND(1-(1/(POWER(1+D12,B12))),4)</f>
        <v>0.82809999999999995</v>
      </c>
    </row>
    <row r="13" spans="1:18">
      <c r="A13" s="2761" t="s">
        <v>2504</v>
      </c>
      <c r="B13" s="2764"/>
      <c r="C13" s="2764"/>
      <c r="D13" s="2759"/>
      <c r="E13" s="2759"/>
      <c r="F13" s="2760"/>
    </row>
    <row r="14" spans="1:18">
      <c r="A14" s="2761" t="s">
        <v>2505</v>
      </c>
      <c r="B14" s="2769">
        <v>5000</v>
      </c>
      <c r="C14" s="2763"/>
      <c r="D14" s="2759"/>
      <c r="E14" s="2759"/>
      <c r="F14" s="2760"/>
    </row>
    <row r="15" spans="1:18">
      <c r="A15" s="2761" t="s">
        <v>2506</v>
      </c>
      <c r="B15" s="2764">
        <f>ROUND(B14*F12/F11,2)</f>
        <v>4339.6899999999996</v>
      </c>
      <c r="C15" s="2764">
        <f>ROUND(F12/F11,4)</f>
        <v>0.8679</v>
      </c>
      <c r="D15" s="2759"/>
      <c r="E15" s="2759"/>
      <c r="F15" s="2760"/>
    </row>
    <row r="16" spans="1:18">
      <c r="A16" s="2761" t="s">
        <v>2507</v>
      </c>
      <c r="B16" s="2764"/>
      <c r="C16" s="2764"/>
      <c r="D16" s="2759"/>
      <c r="E16" s="2759"/>
      <c r="F16" s="2760"/>
    </row>
    <row r="17" spans="1:14">
      <c r="A17" s="2761" t="s">
        <v>2506</v>
      </c>
      <c r="B17" s="2769">
        <v>4810</v>
      </c>
      <c r="C17" s="2763"/>
      <c r="D17" s="2759"/>
      <c r="E17" s="2759"/>
      <c r="F17" s="2760"/>
    </row>
    <row r="18" spans="1:14" ht="14.25" thickBot="1">
      <c r="A18" s="2771" t="s">
        <v>2505</v>
      </c>
      <c r="B18" s="2772">
        <f>ROUND(B17*F11/F12,2)</f>
        <v>5541.87</v>
      </c>
      <c r="C18" s="2772">
        <f>ROUND(F11/F12,4)</f>
        <v>1.1521999999999999</v>
      </c>
      <c r="D18" s="2773"/>
      <c r="E18" s="2773"/>
      <c r="F18" s="2774"/>
    </row>
    <row r="19" spans="1:14" ht="14.25" thickBot="1"/>
    <row r="20" spans="1:14" s="2807" customFormat="1" ht="14.25" thickTop="1">
      <c r="A20" s="2804" t="s">
        <v>2508</v>
      </c>
      <c r="B20" s="2805"/>
      <c r="C20" s="2805"/>
      <c r="D20" s="2805"/>
      <c r="E20" s="2805"/>
      <c r="F20" s="2805"/>
      <c r="G20" s="2806"/>
      <c r="I20" s="2808" t="s">
        <v>2553</v>
      </c>
      <c r="J20" s="2808" t="s">
        <v>2558</v>
      </c>
      <c r="K20" s="2808"/>
      <c r="L20" s="2808"/>
      <c r="M20" s="2808"/>
    </row>
    <row r="21" spans="1:14">
      <c r="A21" s="2775"/>
      <c r="B21" s="2776" t="s">
        <v>2509</v>
      </c>
      <c r="C21" s="2776" t="s">
        <v>2510</v>
      </c>
      <c r="D21" s="2776" t="s">
        <v>2511</v>
      </c>
      <c r="E21" s="2776" t="s">
        <v>2512</v>
      </c>
      <c r="F21" s="2776" t="s">
        <v>2513</v>
      </c>
      <c r="G21" s="2777" t="s">
        <v>2514</v>
      </c>
      <c r="I21" s="2798">
        <v>5</v>
      </c>
      <c r="J21" s="2798">
        <v>54.2</v>
      </c>
    </row>
    <row r="22" spans="1:14">
      <c r="A22" s="2775" t="s">
        <v>2515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2556</v>
      </c>
      <c r="N23" s="3151" t="s">
        <v>2557</v>
      </c>
    </row>
    <row r="24" spans="1:14">
      <c r="A24" s="2775" t="s">
        <v>2517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2555</v>
      </c>
      <c r="N24" s="3151">
        <v>10</v>
      </c>
    </row>
    <row r="25" spans="1:14">
      <c r="A25" s="2775" t="s">
        <v>2518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2559</v>
      </c>
      <c r="N25" s="3151">
        <v>8</v>
      </c>
    </row>
    <row r="26" spans="1:14">
      <c r="A26" s="2780"/>
      <c r="B26" s="2781"/>
      <c r="C26" s="2781"/>
      <c r="D26" s="2781"/>
      <c r="E26" s="2781"/>
      <c r="F26" s="2781"/>
      <c r="G26" s="2782"/>
      <c r="I26" s="2798">
        <v>30</v>
      </c>
      <c r="J26" s="2798">
        <v>90.5</v>
      </c>
      <c r="K26" s="2798">
        <f t="shared" si="2"/>
        <v>4.2000000000000028</v>
      </c>
      <c r="L26" s="2798" t="s">
        <v>2560</v>
      </c>
      <c r="N26" s="3151">
        <v>5</v>
      </c>
    </row>
    <row r="27" spans="1:14">
      <c r="A27" s="2780" t="s">
        <v>2519</v>
      </c>
      <c r="B27" s="2781"/>
      <c r="C27" s="2781"/>
      <c r="D27" s="2781"/>
      <c r="E27" s="2781"/>
      <c r="F27" s="2781"/>
      <c r="G27" s="2782"/>
      <c r="I27" s="2798">
        <v>35</v>
      </c>
      <c r="J27" s="2798">
        <v>93.8</v>
      </c>
      <c r="K27" s="2798">
        <f t="shared" si="2"/>
        <v>3.2999999999999972</v>
      </c>
      <c r="L27" s="2798" t="s">
        <v>2561</v>
      </c>
      <c r="N27" s="3151">
        <v>3</v>
      </c>
    </row>
    <row r="28" spans="1:14">
      <c r="A28" s="2780" t="s">
        <v>2520</v>
      </c>
      <c r="B28" s="2781"/>
      <c r="C28" s="2781"/>
      <c r="D28" s="2781"/>
      <c r="E28" s="2781"/>
      <c r="F28" s="2781"/>
      <c r="G28" s="2782"/>
      <c r="I28" s="2798">
        <v>40</v>
      </c>
      <c r="J28" s="2798">
        <v>96.4</v>
      </c>
      <c r="K28" s="2798">
        <f t="shared" si="2"/>
        <v>2.6000000000000085</v>
      </c>
      <c r="L28" s="2798" t="s">
        <v>2562</v>
      </c>
      <c r="N28" s="3151">
        <v>2</v>
      </c>
    </row>
    <row r="29" spans="1:14">
      <c r="A29" s="2780" t="s">
        <v>2521</v>
      </c>
      <c r="B29" s="2781"/>
      <c r="C29" s="2781"/>
      <c r="D29" s="2781"/>
      <c r="E29" s="2781"/>
      <c r="F29" s="2781"/>
      <c r="G29" s="2782"/>
      <c r="I29" s="2798">
        <v>45</v>
      </c>
      <c r="J29" s="2798">
        <v>98.4</v>
      </c>
      <c r="K29" s="2798">
        <f t="shared" si="2"/>
        <v>2</v>
      </c>
    </row>
    <row r="30" spans="1:14">
      <c r="A30" s="2780" t="s">
        <v>2522</v>
      </c>
      <c r="B30" s="2781"/>
      <c r="C30" s="2781"/>
      <c r="D30" s="2781"/>
      <c r="E30" s="2781"/>
      <c r="F30" s="2781"/>
      <c r="G30" s="2782"/>
      <c r="I30" s="2798">
        <v>50</v>
      </c>
      <c r="J30" s="2798">
        <v>100</v>
      </c>
      <c r="K30" s="2798">
        <f t="shared" si="2"/>
        <v>1.5999999999999943</v>
      </c>
    </row>
    <row r="31" spans="1:14">
      <c r="A31" s="2780" t="s">
        <v>2523</v>
      </c>
      <c r="B31" s="2781"/>
      <c r="C31" s="2781"/>
      <c r="D31" s="2781"/>
      <c r="E31" s="2781"/>
      <c r="F31" s="2781"/>
      <c r="G31" s="2782"/>
      <c r="I31" s="2798" t="s">
        <v>2554</v>
      </c>
    </row>
    <row r="32" spans="1:14">
      <c r="A32" s="2780" t="s">
        <v>2524</v>
      </c>
      <c r="B32" s="2781"/>
      <c r="C32" s="2781"/>
      <c r="D32" s="2781"/>
      <c r="E32" s="2781"/>
      <c r="F32" s="2781"/>
      <c r="G32" s="2782"/>
    </row>
    <row r="33" spans="1:14">
      <c r="A33" s="2780" t="s">
        <v>2525</v>
      </c>
      <c r="B33" s="2781"/>
      <c r="C33" s="2781"/>
      <c r="D33" s="2781"/>
      <c r="E33" s="2781"/>
      <c r="F33" s="2781"/>
      <c r="G33" s="2782"/>
      <c r="I33" s="2798" t="s">
        <v>2553</v>
      </c>
      <c r="J33" s="2798" t="s">
        <v>2563</v>
      </c>
    </row>
    <row r="34" spans="1:14">
      <c r="A34" s="2780" t="s">
        <v>2526</v>
      </c>
      <c r="B34" s="2781"/>
      <c r="C34" s="2781"/>
      <c r="D34" s="2781"/>
      <c r="E34" s="2781"/>
      <c r="F34" s="2781"/>
      <c r="G34" s="2782"/>
      <c r="I34" s="2798">
        <v>5</v>
      </c>
      <c r="J34" s="2798">
        <v>55.1</v>
      </c>
    </row>
    <row r="35" spans="1:14">
      <c r="A35" s="2780" t="s">
        <v>2527</v>
      </c>
      <c r="B35" s="2781"/>
      <c r="C35" s="2781"/>
      <c r="D35" s="2781"/>
      <c r="E35" s="2781"/>
      <c r="F35" s="2781"/>
      <c r="G35" s="2782"/>
      <c r="I35" s="2798">
        <v>10</v>
      </c>
      <c r="J35" s="2798">
        <v>67</v>
      </c>
      <c r="K35" s="2798">
        <f>J35-J34</f>
        <v>11.899999999999999</v>
      </c>
    </row>
    <row r="36" spans="1:14">
      <c r="A36" s="2780" t="s">
        <v>2528</v>
      </c>
      <c r="B36" s="2781"/>
      <c r="C36" s="2781"/>
      <c r="D36" s="2781"/>
      <c r="E36" s="2781"/>
      <c r="F36" s="2781"/>
      <c r="G36" s="2782"/>
      <c r="I36" s="2798">
        <v>15</v>
      </c>
      <c r="J36" s="2798">
        <v>76.3</v>
      </c>
      <c r="K36" s="2798">
        <f t="shared" ref="K36:K41" si="3">J36-J35</f>
        <v>9.2999999999999972</v>
      </c>
      <c r="L36" s="2798" t="s">
        <v>2556</v>
      </c>
      <c r="N36" s="3151" t="s">
        <v>2557</v>
      </c>
    </row>
    <row r="37" spans="1:14">
      <c r="A37" s="2780" t="s">
        <v>2529</v>
      </c>
      <c r="B37" s="2781"/>
      <c r="C37" s="2781"/>
      <c r="D37" s="2781"/>
      <c r="E37" s="2781"/>
      <c r="F37" s="2781"/>
      <c r="G37" s="2782"/>
      <c r="I37" s="2798">
        <v>20</v>
      </c>
      <c r="J37" s="2798">
        <v>83.6</v>
      </c>
      <c r="K37" s="2798">
        <f t="shared" si="3"/>
        <v>7.2999999999999972</v>
      </c>
      <c r="L37" s="2798" t="s">
        <v>2555</v>
      </c>
      <c r="N37" s="3151">
        <v>10</v>
      </c>
    </row>
    <row r="38" spans="1:14">
      <c r="A38" s="2780" t="s">
        <v>2530</v>
      </c>
      <c r="B38" s="2781"/>
      <c r="C38" s="2781"/>
      <c r="D38" s="2781"/>
      <c r="E38" s="2781"/>
      <c r="F38" s="2781"/>
      <c r="G38" s="2782"/>
      <c r="I38" s="2798">
        <v>25</v>
      </c>
      <c r="J38" s="2798">
        <v>89.3</v>
      </c>
      <c r="K38" s="2798">
        <f t="shared" si="3"/>
        <v>5.7000000000000028</v>
      </c>
      <c r="L38" s="2798" t="s">
        <v>2559</v>
      </c>
      <c r="N38" s="3151">
        <v>8</v>
      </c>
    </row>
    <row r="39" spans="1:14">
      <c r="A39" s="2780"/>
      <c r="B39" s="2781"/>
      <c r="C39" s="2781"/>
      <c r="D39" s="2781"/>
      <c r="E39" s="2781"/>
      <c r="F39" s="2781"/>
      <c r="G39" s="2782"/>
      <c r="I39" s="2798">
        <v>30</v>
      </c>
      <c r="J39" s="2798">
        <v>93.8</v>
      </c>
      <c r="K39" s="2798">
        <f t="shared" si="3"/>
        <v>4.5</v>
      </c>
      <c r="L39" s="2798" t="s">
        <v>2560</v>
      </c>
      <c r="N39" s="3151">
        <v>6</v>
      </c>
    </row>
    <row r="40" spans="1:14">
      <c r="A40" s="2783" t="s">
        <v>2531</v>
      </c>
      <c r="B40" s="2784"/>
      <c r="C40" s="2784"/>
      <c r="D40" s="2784"/>
      <c r="E40" s="2784"/>
      <c r="F40" s="2784"/>
      <c r="G40" s="2785"/>
      <c r="I40" s="2798">
        <v>35</v>
      </c>
      <c r="J40" s="2798">
        <v>97.2</v>
      </c>
      <c r="K40" s="2798">
        <f t="shared" si="3"/>
        <v>3.4000000000000057</v>
      </c>
      <c r="L40" s="2798" t="s">
        <v>2561</v>
      </c>
      <c r="N40" s="3151">
        <v>3</v>
      </c>
    </row>
    <row r="41" spans="1:14">
      <c r="A41" s="2786" t="s">
        <v>2532</v>
      </c>
      <c r="B41" s="2787" t="s">
        <v>2533</v>
      </c>
      <c r="C41" s="2788" t="s">
        <v>2534</v>
      </c>
      <c r="D41" s="2788" t="s">
        <v>2535</v>
      </c>
      <c r="E41" s="2789"/>
      <c r="F41" s="2790"/>
      <c r="G41" s="2791"/>
      <c r="I41" s="2798">
        <v>40</v>
      </c>
      <c r="J41" s="2798">
        <v>100</v>
      </c>
      <c r="K41" s="2798">
        <f t="shared" si="3"/>
        <v>2.7999999999999972</v>
      </c>
    </row>
    <row r="42" spans="1:14">
      <c r="A42" s="2786" t="s">
        <v>2536</v>
      </c>
      <c r="B42" s="2787" t="s">
        <v>2537</v>
      </c>
      <c r="C42" s="2788" t="s">
        <v>2538</v>
      </c>
      <c r="D42" s="2792" t="s">
        <v>2539</v>
      </c>
      <c r="E42" s="2784" t="s">
        <v>2540</v>
      </c>
      <c r="F42" s="2784"/>
      <c r="G42" s="2785"/>
    </row>
    <row r="43" spans="1:14">
      <c r="A43" s="2786" t="s">
        <v>2541</v>
      </c>
      <c r="B43" s="2787" t="s">
        <v>2542</v>
      </c>
      <c r="C43" s="2788" t="s">
        <v>2543</v>
      </c>
      <c r="D43" s="2788" t="s">
        <v>2544</v>
      </c>
      <c r="E43" s="2789" t="s">
        <v>2545</v>
      </c>
      <c r="F43" s="2790"/>
      <c r="G43" s="2791"/>
      <c r="I43" s="2798" t="s">
        <v>2553</v>
      </c>
      <c r="J43" s="2798" t="s">
        <v>2564</v>
      </c>
    </row>
    <row r="44" spans="1:14">
      <c r="A44" s="2786" t="s">
        <v>2546</v>
      </c>
      <c r="B44" s="2787" t="s">
        <v>2547</v>
      </c>
      <c r="C44" s="2788" t="s">
        <v>2548</v>
      </c>
      <c r="D44" s="2792">
        <v>0.5</v>
      </c>
      <c r="E44" s="2789" t="s">
        <v>2549</v>
      </c>
      <c r="F44" s="2790"/>
      <c r="G44" s="2791"/>
      <c r="I44" s="2798">
        <v>30</v>
      </c>
      <c r="J44" s="2798">
        <v>81.7</v>
      </c>
    </row>
    <row r="45" spans="1:14" ht="14.25" thickBot="1">
      <c r="A45" s="2793" t="s">
        <v>2550</v>
      </c>
      <c r="B45" s="2794" t="s">
        <v>2537</v>
      </c>
      <c r="C45" s="2795" t="s">
        <v>2537</v>
      </c>
      <c r="D45" s="2795" t="s">
        <v>2551</v>
      </c>
      <c r="E45" s="2796" t="s">
        <v>2552</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3378</v>
      </c>
    </row>
    <row r="50" spans="1:4">
      <c r="A50" s="3143" t="s">
        <v>3379</v>
      </c>
      <c r="B50" s="3143" t="s">
        <v>3380</v>
      </c>
      <c r="C50" s="3143" t="s">
        <v>3381</v>
      </c>
      <c r="D50" s="3143" t="s">
        <v>3382</v>
      </c>
    </row>
    <row r="51" spans="1:4">
      <c r="A51" s="3143" t="s">
        <v>3383</v>
      </c>
      <c r="B51" s="2763">
        <f>B52+B53</f>
        <v>15000</v>
      </c>
      <c r="C51" s="3144">
        <f>D51/B51</f>
        <v>2666.6666666666665</v>
      </c>
      <c r="D51" s="2763">
        <f>D52+D53</f>
        <v>40000000</v>
      </c>
    </row>
    <row r="52" spans="1:4">
      <c r="A52" s="3145" t="s">
        <v>3384</v>
      </c>
      <c r="B52" s="3146">
        <v>10000</v>
      </c>
      <c r="C52" s="3146">
        <v>1500</v>
      </c>
      <c r="D52" s="3147">
        <f>C52*B52</f>
        <v>15000000</v>
      </c>
    </row>
    <row r="53" spans="1:4">
      <c r="A53" s="3145" t="s">
        <v>3385</v>
      </c>
      <c r="B53" s="3146">
        <v>5000</v>
      </c>
      <c r="C53" s="3146">
        <v>5000</v>
      </c>
      <c r="D53" s="3147">
        <f>C53*B53</f>
        <v>25000000</v>
      </c>
    </row>
    <row r="54" spans="1:4">
      <c r="A54" s="3143" t="s">
        <v>3386</v>
      </c>
      <c r="B54" s="2763">
        <f>B51</f>
        <v>15000</v>
      </c>
      <c r="C54" s="2769">
        <v>700</v>
      </c>
      <c r="D54" s="2763">
        <f t="shared" ref="D54:D55" si="5">C54*B54</f>
        <v>10500000</v>
      </c>
    </row>
    <row r="55" spans="1:4">
      <c r="A55" s="3143" t="s">
        <v>3387</v>
      </c>
      <c r="B55" s="2763">
        <f>B51</f>
        <v>15000</v>
      </c>
      <c r="C55" s="2769">
        <v>1500</v>
      </c>
      <c r="D55" s="2763">
        <f t="shared" si="5"/>
        <v>22500000</v>
      </c>
    </row>
    <row r="56" spans="1:4">
      <c r="A56" s="3143" t="s">
        <v>3388</v>
      </c>
      <c r="B56" s="2763">
        <f>B51</f>
        <v>15000</v>
      </c>
      <c r="C56" s="3148">
        <f>C51+C54+C55</f>
        <v>4866.6666666666661</v>
      </c>
      <c r="D56" s="2763">
        <f>D51+D54+D55</f>
        <v>73000000</v>
      </c>
    </row>
    <row r="58" spans="1:4">
      <c r="A58" s="3143" t="s">
        <v>3389</v>
      </c>
      <c r="B58" s="3149">
        <v>0.05</v>
      </c>
      <c r="C58" s="2763">
        <f>C56*(1+B58)</f>
        <v>5110</v>
      </c>
      <c r="D58" s="2763">
        <f>D56*B58</f>
        <v>3650000</v>
      </c>
    </row>
    <row r="60" spans="1:4">
      <c r="A60" s="3143" t="s">
        <v>3390</v>
      </c>
      <c r="B60" s="2769">
        <v>3500</v>
      </c>
      <c r="C60" s="2769">
        <f>C53</f>
        <v>5000</v>
      </c>
      <c r="D60" s="2763">
        <f>C60*B60</f>
        <v>17500000</v>
      </c>
    </row>
    <row r="62" spans="1:4">
      <c r="A62" s="3143" t="s">
        <v>3391</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5" sqref="C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2166</v>
      </c>
      <c r="B1" s="3205" t="str">
        <f>IF(B10="北京市","北京市",C10)&amp;F10&amp;IF('结果表-住宅'!G1="在建","出让国有建设用地使用权及在建建筑物",IF('结果表-住宅'!G1="土地","出让国有建设用地使用权",))&amp;B9&amp;"预评估"</f>
        <v>北京市房地产市场价值预评估</v>
      </c>
      <c r="C1" s="3206"/>
      <c r="D1" s="3206"/>
      <c r="E1" s="3206"/>
      <c r="F1" s="3206"/>
      <c r="G1" s="3206"/>
      <c r="H1" s="3206"/>
      <c r="I1" s="3207"/>
      <c r="J1" s="2243"/>
      <c r="K1" s="2181"/>
      <c r="L1" s="2182"/>
      <c r="M1" s="2182"/>
      <c r="N1" s="2180"/>
      <c r="O1" s="1466"/>
      <c r="P1" s="2180"/>
      <c r="Q1" s="2180"/>
      <c r="R1" s="2180"/>
      <c r="S1" s="1561" t="str">
        <f>IF(B10="北京市","北京市",C10)&amp;F10&amp;IF('结果表-住宅'!G1="在建","出让国有建设用地使用权及在建建筑物房地产抵押价值",IF('结果表-住宅'!G1="土地","出让国有建设用地使用权抵押价值",B9))</f>
        <v>北京市房地产市场价值</v>
      </c>
      <c r="T1" s="1618"/>
      <c r="U1" s="1618"/>
      <c r="V1" s="1618"/>
      <c r="W1" s="1618"/>
      <c r="X1" s="1618"/>
      <c r="Y1" s="1618"/>
      <c r="Z1" s="1618"/>
      <c r="AA1" s="1618"/>
      <c r="AB1" s="1618"/>
    </row>
    <row r="2" spans="1:30">
      <c r="A2" s="2180" t="s">
        <v>2167</v>
      </c>
      <c r="B2" s="122"/>
      <c r="D2" s="2446"/>
      <c r="E2" s="2439"/>
      <c r="F2" s="2439"/>
      <c r="G2" s="2440"/>
      <c r="H2" s="2440"/>
      <c r="I2" s="2440"/>
      <c r="J2" s="2243"/>
      <c r="K2" s="2181"/>
      <c r="L2" s="2182"/>
      <c r="M2" s="2182"/>
      <c r="N2" s="2180"/>
      <c r="O2" s="1466"/>
      <c r="P2" s="2180"/>
      <c r="Q2" s="2180"/>
      <c r="R2" s="2180"/>
      <c r="S2" s="1561" t="str">
        <f>IF(B10="北京市","北京市",C10)&amp;F10&amp;IF('结果表-住宅'!G1="在建","出让国有建设用地使用权及在建建筑物房地产",IF('结果表-住宅'!G1="土地","出让国有建设用地使用权","房地产"))</f>
        <v>北京市房地产</v>
      </c>
      <c r="T2" s="1618"/>
      <c r="U2" s="1618"/>
      <c r="V2" s="1618"/>
      <c r="W2" s="1618"/>
      <c r="X2" s="1618"/>
      <c r="Y2" s="1618"/>
      <c r="Z2" s="1618"/>
      <c r="AA2" s="1618"/>
      <c r="AB2" s="1618"/>
    </row>
    <row r="3" spans="1:30">
      <c r="A3" s="294" t="s">
        <v>2168</v>
      </c>
      <c r="B3" s="2183">
        <v>45741</v>
      </c>
      <c r="C3" s="2184" t="s">
        <v>2169</v>
      </c>
      <c r="D3" s="2183">
        <v>45741</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2170</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2171</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2172</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2173</v>
      </c>
      <c r="B7" s="2196"/>
      <c r="C7" s="2194"/>
      <c r="D7" s="2195"/>
      <c r="E7" s="2439"/>
      <c r="F7" s="2440"/>
      <c r="G7" s="2440"/>
      <c r="H7" s="2440"/>
      <c r="I7" s="2440"/>
      <c r="J7" s="2243"/>
      <c r="K7" s="2400"/>
      <c r="L7" s="2397"/>
      <c r="M7" s="2397"/>
      <c r="N7" s="2243"/>
      <c r="O7" s="1670"/>
      <c r="P7" s="2243"/>
      <c r="Q7" s="2243"/>
      <c r="R7" s="2243"/>
    </row>
    <row r="8" spans="1:30">
      <c r="A8" s="2197" t="s">
        <v>2174</v>
      </c>
      <c r="B8" s="2198" t="s">
        <v>3393</v>
      </c>
      <c r="C8" s="2199"/>
      <c r="D8" s="3208" t="s">
        <v>2175</v>
      </c>
      <c r="E8" s="2200" t="s">
        <v>3394</v>
      </c>
      <c r="F8" s="2201"/>
      <c r="G8" s="2440"/>
      <c r="H8" s="2440"/>
      <c r="I8" s="2440"/>
      <c r="J8" s="2243"/>
      <c r="K8" s="2398"/>
      <c r="L8" s="2397"/>
      <c r="M8" s="2397"/>
      <c r="N8" s="2243"/>
      <c r="O8" s="1670"/>
      <c r="P8" s="2243"/>
      <c r="Q8" s="2243"/>
      <c r="R8" s="2243"/>
    </row>
    <row r="9" spans="1:30" ht="13.5" thickBot="1">
      <c r="A9" s="2202" t="s">
        <v>2176</v>
      </c>
      <c r="B9" s="2203" t="s">
        <v>3395</v>
      </c>
      <c r="C9" s="2204"/>
      <c r="D9" s="3209"/>
      <c r="E9" s="2203" t="s">
        <v>43</v>
      </c>
      <c r="F9" s="2205"/>
      <c r="G9" s="2441"/>
      <c r="H9" s="2441"/>
      <c r="I9" s="2441"/>
      <c r="J9" s="2243"/>
      <c r="K9" s="2400"/>
      <c r="L9" s="2397"/>
      <c r="M9" s="2397"/>
      <c r="N9" s="2243"/>
      <c r="O9" s="1670"/>
      <c r="P9" s="2243"/>
      <c r="Q9" s="2243"/>
      <c r="R9" s="2243"/>
    </row>
    <row r="10" spans="1:30" ht="13.5" thickTop="1">
      <c r="A10" s="2206" t="s">
        <v>2177</v>
      </c>
      <c r="B10" s="2207" t="s">
        <v>3396</v>
      </c>
      <c r="C10" s="2208"/>
      <c r="D10" s="2191"/>
      <c r="E10" s="2209" t="s">
        <v>2178</v>
      </c>
      <c r="F10" s="2442"/>
      <c r="G10" s="2443"/>
      <c r="H10" s="2444"/>
      <c r="I10" s="2445"/>
      <c r="J10" s="2243"/>
      <c r="K10" s="2400"/>
      <c r="L10" s="2397"/>
      <c r="M10" s="2397"/>
      <c r="N10" s="2243"/>
      <c r="O10" s="1670"/>
      <c r="P10" s="2243"/>
      <c r="Q10" s="2243"/>
      <c r="R10" s="2243"/>
    </row>
    <row r="11" spans="1:30">
      <c r="A11" s="2210" t="s">
        <v>2179</v>
      </c>
      <c r="B11" s="2211" t="s">
        <v>3397</v>
      </c>
      <c r="C11" s="2212"/>
      <c r="D11" s="2213"/>
      <c r="E11" s="2180"/>
      <c r="F11" s="2180"/>
      <c r="G11" s="2180"/>
      <c r="H11" s="2180"/>
      <c r="I11" s="2180"/>
      <c r="J11" s="2800"/>
      <c r="K11" s="2397"/>
      <c r="L11" s="2397"/>
      <c r="M11" s="2397"/>
      <c r="N11" s="2243"/>
      <c r="O11" s="1670"/>
      <c r="P11" s="2243"/>
      <c r="Q11" s="2243"/>
      <c r="R11" s="2243"/>
    </row>
    <row r="12" spans="1:30">
      <c r="A12" s="2214" t="s">
        <v>2180</v>
      </c>
      <c r="B12" s="315" t="s">
        <v>2181</v>
      </c>
      <c r="C12" s="2215" t="s">
        <v>2182</v>
      </c>
      <c r="D12" s="2215" t="s">
        <v>2183</v>
      </c>
      <c r="E12" s="2215" t="s">
        <v>2184</v>
      </c>
      <c r="F12" s="2215" t="s">
        <v>2185</v>
      </c>
      <c r="G12" s="2215" t="s">
        <v>2186</v>
      </c>
      <c r="H12" s="2215" t="s">
        <v>2187</v>
      </c>
      <c r="I12" s="2799" t="s">
        <v>2565</v>
      </c>
      <c r="J12" s="2801"/>
      <c r="K12" s="2397"/>
      <c r="L12" s="2397"/>
      <c r="M12" s="2243"/>
      <c r="N12" s="1670"/>
      <c r="O12" s="2243"/>
      <c r="P12" s="2243"/>
      <c r="Q12" s="2243"/>
      <c r="AD12" s="1618"/>
    </row>
    <row r="13" spans="1:30">
      <c r="A13" s="3120" t="s">
        <v>3321</v>
      </c>
      <c r="B13" s="2216" t="s">
        <v>2188</v>
      </c>
      <c r="C13" s="803">
        <v>71082</v>
      </c>
      <c r="D13" s="803">
        <v>60125</v>
      </c>
      <c r="E13" s="803">
        <v>63777</v>
      </c>
      <c r="F13" s="803">
        <v>63777</v>
      </c>
      <c r="G13" s="803">
        <v>63777</v>
      </c>
      <c r="H13" s="803"/>
      <c r="I13" s="803">
        <v>63777</v>
      </c>
      <c r="J13" s="2801"/>
      <c r="K13" s="2397"/>
      <c r="L13" s="2397"/>
      <c r="M13" s="2243"/>
      <c r="N13" s="1670"/>
      <c r="O13" s="2243"/>
      <c r="P13" s="2243"/>
      <c r="Q13" s="2243"/>
      <c r="AD13" s="1618"/>
    </row>
    <row r="14" spans="1:30">
      <c r="A14" s="1018"/>
      <c r="B14" s="2216" t="s">
        <v>2189</v>
      </c>
      <c r="C14" s="2217">
        <v>70</v>
      </c>
      <c r="D14" s="2217">
        <v>40</v>
      </c>
      <c r="E14" s="2217">
        <v>50</v>
      </c>
      <c r="F14" s="2217">
        <v>50</v>
      </c>
      <c r="G14" s="2217">
        <v>50</v>
      </c>
      <c r="H14" s="2217"/>
      <c r="I14" s="2217">
        <v>50</v>
      </c>
      <c r="J14" s="2802"/>
      <c r="K14" s="2397"/>
      <c r="L14" s="2397"/>
      <c r="M14" s="2243"/>
      <c r="N14" s="1670"/>
      <c r="O14" s="2243"/>
      <c r="P14" s="2243"/>
      <c r="Q14" s="2243"/>
      <c r="AD14" s="1618"/>
    </row>
    <row r="15" spans="1:30">
      <c r="A15" s="312"/>
      <c r="B15" s="2218" t="s">
        <v>2190</v>
      </c>
      <c r="C15" s="2219">
        <f>IF(A13="出让",IF(C13="","",ROUNDDOWN(MIN((C13-$D$3)/365,C14),2)),C14)</f>
        <v>69.42</v>
      </c>
      <c r="D15" s="2219">
        <f>IF(A13="出让",IF(D13="","",ROUNDDOWN(MIN((D13-$D$3)/365,D14),2)),D14)</f>
        <v>39.4</v>
      </c>
      <c r="E15" s="2219">
        <f>IF(A13="出让",IF(E13="","",ROUNDDOWN(MIN((E13-$D$3)/365,E14),2)),E14)</f>
        <v>49.41</v>
      </c>
      <c r="F15" s="2219">
        <f>IF(A13="出让",IF(F13="","",ROUNDDOWN(MIN((F13-$D$3)/365,F14),2)),F14)</f>
        <v>49.41</v>
      </c>
      <c r="G15" s="2219">
        <f>IF(A13="出让",IF(G13="","",ROUNDDOWN(MIN((G13-$D$3)/365,G14),2)),G14)</f>
        <v>49.41</v>
      </c>
      <c r="H15" s="2219" t="str">
        <f>IF(A13="出让",IF(H13="","",ROUNDDOWN(MIN((H13-$D$3)/365,H14),2)),H14)</f>
        <v/>
      </c>
      <c r="I15" s="2219">
        <f>IF(A13="出让",IF(I13="","",ROUNDDOWN(MIN((I13-$D$3)/365,I14),2)),I14)</f>
        <v>49.41</v>
      </c>
      <c r="J15" s="2803"/>
      <c r="K15" s="1670"/>
      <c r="L15" s="1670"/>
      <c r="M15" s="2243"/>
      <c r="N15" s="1670"/>
      <c r="O15" s="2243"/>
      <c r="P15" s="2243"/>
      <c r="Q15" s="2243"/>
      <c r="AD15" s="1618"/>
    </row>
    <row r="16" spans="1:30">
      <c r="A16" s="2209" t="s">
        <v>2191</v>
      </c>
      <c r="B16" s="3215"/>
      <c r="C16" s="3216"/>
      <c r="D16" s="3217"/>
      <c r="E16" s="2220" t="s">
        <v>2192</v>
      </c>
      <c r="F16" s="3218"/>
      <c r="G16" s="3219"/>
      <c r="H16" s="3219"/>
      <c r="I16" s="3220"/>
      <c r="J16" s="2243"/>
      <c r="K16" s="2401"/>
      <c r="L16" s="1670"/>
      <c r="M16" s="1670"/>
      <c r="N16" s="2243"/>
      <c r="O16" s="1670"/>
      <c r="P16" s="2243"/>
      <c r="Q16" s="2243"/>
      <c r="R16" s="2243"/>
    </row>
    <row r="17" spans="1:28">
      <c r="A17" s="305" t="s">
        <v>2193</v>
      </c>
      <c r="B17" s="294" t="s">
        <v>2194</v>
      </c>
      <c r="C17" s="8">
        <f>'数据-汇总表'!E3</f>
        <v>155425.82999999999</v>
      </c>
      <c r="D17" s="1256" t="s">
        <v>2195</v>
      </c>
      <c r="E17" s="3221" t="s">
        <v>2196</v>
      </c>
      <c r="F17" s="3222"/>
      <c r="G17" s="3222"/>
      <c r="H17" s="3222"/>
      <c r="I17" s="3223"/>
      <c r="J17" s="2243"/>
      <c r="K17" s="2402"/>
      <c r="L17" s="1670"/>
      <c r="M17" s="1670"/>
      <c r="N17" s="2243"/>
      <c r="O17" s="1670"/>
      <c r="P17" s="2243"/>
      <c r="Q17" s="2243"/>
      <c r="R17" s="2243"/>
      <c r="S17" s="2243"/>
      <c r="T17" s="2243"/>
      <c r="U17" s="2243"/>
      <c r="V17" s="2243"/>
    </row>
    <row r="18" spans="1:28" ht="24.75" thickBot="1">
      <c r="A18" s="2221" t="s">
        <v>2197</v>
      </c>
      <c r="B18" s="1027" t="s">
        <v>2198</v>
      </c>
      <c r="C18" s="2222">
        <f>'数据-汇总表'!D3</f>
        <v>0</v>
      </c>
      <c r="D18" s="1029" t="s">
        <v>2199</v>
      </c>
      <c r="E18" s="3224" t="s">
        <v>2200</v>
      </c>
      <c r="F18" s="3225"/>
      <c r="G18" s="3225"/>
      <c r="H18" s="3225"/>
      <c r="I18" s="3226"/>
      <c r="J18" s="2243"/>
      <c r="K18" s="2402"/>
      <c r="L18" s="1670"/>
      <c r="M18" s="1670"/>
      <c r="N18" s="2243"/>
      <c r="O18" s="1670"/>
      <c r="P18" s="2243"/>
      <c r="Q18" s="2243"/>
      <c r="R18" s="2243"/>
      <c r="S18" s="2243"/>
      <c r="T18" s="2243"/>
      <c r="U18" s="2243"/>
      <c r="V18" s="2243"/>
    </row>
    <row r="19" spans="1:28" ht="37.5" thickTop="1" thickBot="1">
      <c r="A19" s="319" t="s">
        <v>1053</v>
      </c>
      <c r="B19" s="299" t="s">
        <v>2201</v>
      </c>
      <c r="C19" s="1455"/>
      <c r="D19" s="1456" t="s">
        <v>2202</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2203</v>
      </c>
      <c r="B20" s="3211" t="s">
        <v>2204</v>
      </c>
      <c r="C20" s="3212"/>
      <c r="D20" s="3213" t="s">
        <v>2205</v>
      </c>
      <c r="E20" s="3214"/>
      <c r="F20" s="2428" t="s">
        <v>1054</v>
      </c>
      <c r="G20" s="2440"/>
      <c r="H20" s="2440"/>
      <c r="I20" s="2440"/>
      <c r="J20" s="2243"/>
      <c r="K20" s="3210"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2207</v>
      </c>
      <c r="C21" s="2294" t="s">
        <v>1055</v>
      </c>
      <c r="D21" s="1460" t="s">
        <v>2208</v>
      </c>
      <c r="E21" s="2417" t="s">
        <v>1055</v>
      </c>
      <c r="F21" s="2429"/>
      <c r="G21" s="2440"/>
      <c r="H21" s="2440"/>
      <c r="I21" s="2440"/>
      <c r="J21" s="2243"/>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2209</v>
      </c>
      <c r="C22" s="2294" t="s">
        <v>1056</v>
      </c>
      <c r="D22" s="2440"/>
      <c r="E22" s="2440"/>
      <c r="F22" s="2440"/>
      <c r="G22" s="2440"/>
      <c r="H22" s="2440"/>
      <c r="I22" s="2440"/>
      <c r="J22" s="2243"/>
      <c r="K22" s="3210"/>
      <c r="L22" s="6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2210</v>
      </c>
      <c r="B23" s="2291" t="s">
        <v>2211</v>
      </c>
      <c r="C23" s="2420"/>
      <c r="D23" s="2421" t="s">
        <v>2211</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1057</v>
      </c>
      <c r="C24" s="2269"/>
      <c r="D24" s="2419" t="s">
        <v>1057</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1058</v>
      </c>
      <c r="C25" s="2269"/>
      <c r="D25" s="2419" t="s">
        <v>1058</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1059</v>
      </c>
      <c r="C26" s="2426"/>
      <c r="D26" s="2424" t="s">
        <v>1059</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28" t="s">
        <v>2212</v>
      </c>
      <c r="B27" s="312" t="s">
        <v>2213</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8"/>
      <c r="B28" s="294" t="s">
        <v>2214</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8"/>
      <c r="B29" s="294" t="s">
        <v>2215</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9"/>
      <c r="B30" s="294" t="s">
        <v>2216</v>
      </c>
      <c r="C30" s="3230"/>
      <c r="D30" s="3231"/>
      <c r="E30" s="2440"/>
      <c r="F30" s="2440"/>
      <c r="G30" s="2440"/>
      <c r="H30" s="2440"/>
      <c r="I30" s="2440"/>
      <c r="J30" s="2243"/>
      <c r="K30" s="2400"/>
      <c r="L30" s="2397"/>
      <c r="M30" s="2397"/>
      <c r="N30" s="2243"/>
      <c r="O30" s="1670"/>
      <c r="P30" s="2243"/>
      <c r="Q30" s="2243"/>
      <c r="R30" s="2243"/>
      <c r="S30" s="2243"/>
      <c r="T30" s="2243"/>
      <c r="U30" s="2243"/>
      <c r="V30" s="2243"/>
    </row>
    <row r="31" spans="1:28">
      <c r="A31" s="3232" t="s">
        <v>2217</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2218</v>
      </c>
      <c r="B34" s="1868"/>
      <c r="C34" s="1868"/>
      <c r="D34" s="1868"/>
      <c r="E34" s="1868"/>
      <c r="F34" s="1868"/>
      <c r="G34" s="1868"/>
      <c r="H34" s="1868"/>
      <c r="I34" s="2440"/>
      <c r="J34" s="2243"/>
      <c r="K34" s="8">
        <f>COUNTIF(B34:H34,"——")</f>
        <v>0</v>
      </c>
      <c r="L34" s="315" t="s">
        <v>2219</v>
      </c>
      <c r="M34" s="315" t="s">
        <v>2220</v>
      </c>
      <c r="N34" s="315" t="s">
        <v>2221</v>
      </c>
      <c r="O34" s="315" t="s">
        <v>2222</v>
      </c>
      <c r="P34" s="315" t="s">
        <v>2223</v>
      </c>
      <c r="Q34" s="315" t="s">
        <v>2224</v>
      </c>
      <c r="R34" s="315" t="s">
        <v>2225</v>
      </c>
      <c r="S34" s="3227" t="s">
        <v>2226</v>
      </c>
      <c r="T34" s="315" t="str">
        <f>NUMBERSTRING(7-K34,1)&amp;"通"</f>
        <v>七通</v>
      </c>
      <c r="U34" s="2243"/>
      <c r="V34" s="2243"/>
    </row>
    <row r="35" spans="1:30">
      <c r="A35" s="2234"/>
      <c r="B35" s="3227" t="s">
        <v>2227</v>
      </c>
      <c r="C35" s="3227"/>
      <c r="D35" s="3227"/>
      <c r="E35" s="322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3"/>
      <c r="V35" s="2243"/>
    </row>
    <row r="36" spans="1:30">
      <c r="A36" s="2181"/>
      <c r="B36" s="8" t="s">
        <v>2183</v>
      </c>
      <c r="C36" s="8" t="s">
        <v>2184</v>
      </c>
      <c r="D36" s="8" t="s">
        <v>2182</v>
      </c>
      <c r="E36" s="8" t="s">
        <v>2187</v>
      </c>
      <c r="F36" s="2799" t="s">
        <v>2568</v>
      </c>
      <c r="G36" s="2440"/>
      <c r="H36" s="2440"/>
      <c r="I36" s="2440"/>
      <c r="J36" s="2243"/>
      <c r="K36" s="2400"/>
      <c r="L36" s="2397"/>
      <c r="M36" s="2397"/>
      <c r="N36" s="2243"/>
      <c r="O36" s="1670"/>
      <c r="P36" s="2243"/>
      <c r="Q36" s="2243"/>
      <c r="R36" s="2243"/>
      <c r="S36" s="2243"/>
      <c r="T36" s="2243"/>
      <c r="U36" s="2243"/>
      <c r="V36" s="2243"/>
    </row>
    <row r="37" spans="1:30">
      <c r="A37" s="2413" t="s">
        <v>2228</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2229</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2230</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2231</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2232</v>
      </c>
      <c r="B42" s="8" t="s">
        <v>2233</v>
      </c>
      <c r="C42" s="8" t="s">
        <v>2234</v>
      </c>
      <c r="D42" s="8" t="s">
        <v>2235</v>
      </c>
      <c r="E42" s="8" t="s">
        <v>2236</v>
      </c>
      <c r="F42" s="8" t="s">
        <v>2237</v>
      </c>
      <c r="G42" s="8" t="s">
        <v>2238</v>
      </c>
      <c r="H42" s="8" t="s">
        <v>2239</v>
      </c>
      <c r="I42" s="8" t="s">
        <v>2240</v>
      </c>
      <c r="J42" s="2409" t="s">
        <v>2241</v>
      </c>
      <c r="K42" s="2410" t="s">
        <v>2242</v>
      </c>
      <c r="L42" s="2410" t="s">
        <v>2243</v>
      </c>
      <c r="M42" s="2410" t="s">
        <v>2244</v>
      </c>
      <c r="N42" s="2403" t="s">
        <v>2245</v>
      </c>
      <c r="O42" s="2403" t="s">
        <v>2246</v>
      </c>
      <c r="P42" s="2403" t="s">
        <v>2247</v>
      </c>
      <c r="Q42" s="2404" t="s">
        <v>2248</v>
      </c>
      <c r="R42" s="2404" t="s">
        <v>2249</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155425.82999999999</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155425.82999999999</v>
      </c>
      <c r="H5" s="13">
        <f t="shared" ref="H5:AT5" si="0">SUM(H13:H656)</f>
        <v>155425.82999999999</v>
      </c>
      <c r="I5" s="13">
        <f t="shared" si="0"/>
        <v>130018.37</v>
      </c>
      <c r="J5" s="13">
        <f t="shared" si="0"/>
        <v>0</v>
      </c>
      <c r="K5" s="13">
        <f t="shared" si="0"/>
        <v>25407.46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155425.82999999999</v>
      </c>
      <c r="BA5" s="15">
        <f t="shared" si="1"/>
        <v>155425.82999999999</v>
      </c>
      <c r="BB5" s="15">
        <f t="shared" si="1"/>
        <v>130018.37</v>
      </c>
      <c r="BC5" s="15">
        <f t="shared" si="1"/>
        <v>25407.46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3433</v>
      </c>
      <c r="J9" s="761"/>
      <c r="K9" s="1491" t="s">
        <v>3434</v>
      </c>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3428</v>
      </c>
      <c r="J10" s="761"/>
      <c r="K10" s="1497" t="s">
        <v>3322</v>
      </c>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地下</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3429</v>
      </c>
      <c r="D13" s="1513" t="s">
        <v>3432</v>
      </c>
      <c r="E13" s="13">
        <f>IF($C$3="是",ROUND($A$3*G13/$B$3,2),ROUND($A$3*(G13-AT13)/$B$3,2))</f>
        <v>0</v>
      </c>
      <c r="F13" s="29"/>
      <c r="G13" s="30">
        <f>H13+AC13+AT13</f>
        <v>130018.37</v>
      </c>
      <c r="H13" s="17">
        <f>SUMIF(I$12:AB$12,"总值",I13:AB13)</f>
        <v>130018.37</v>
      </c>
      <c r="I13" s="1514">
        <f>规证面积!E41</f>
        <v>130018.37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住宅</v>
      </c>
      <c r="AY13" s="1260">
        <f>ROUND($AY$6*AZ13/$AZ$5,2)</f>
        <v>0</v>
      </c>
      <c r="AZ13" s="13">
        <f>BA13+BL13</f>
        <v>130018.37</v>
      </c>
      <c r="BA13" s="13">
        <f>SUM(BB13:BK13)</f>
        <v>130018.37</v>
      </c>
      <c r="BB13" s="13">
        <f>IF($D13="是",I13-J13,0)</f>
        <v>130018.37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55" t="s">
        <v>3431</v>
      </c>
      <c r="D14" s="1513" t="s">
        <v>3432</v>
      </c>
      <c r="E14" s="13">
        <f>IF($C$3="是",ROUND($A$3*G14/$B$3,2),ROUND($A$3*(G14-AT14)/$B$3,2))</f>
        <v>0</v>
      </c>
      <c r="F14" s="29"/>
      <c r="G14" s="30">
        <f>H14+AC14+AT14</f>
        <v>25407.46</v>
      </c>
      <c r="H14" s="17">
        <f>SUMIF(I$12:AB$12,"总值",I14:AB14)</f>
        <v>25407.46</v>
      </c>
      <c r="I14" s="1514"/>
      <c r="J14" s="1514"/>
      <c r="K14" s="1514">
        <f>规证面积!E42</f>
        <v>25407.46</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地下车库</v>
      </c>
      <c r="AY14" s="1260">
        <f>ROUND($AY$6*AZ14/$AZ$5,2)</f>
        <v>0</v>
      </c>
      <c r="AZ14" s="13">
        <f>BA14+BL14</f>
        <v>25407.46</v>
      </c>
      <c r="BA14" s="13">
        <f>SUM(BB14:BK14)</f>
        <v>25407.46</v>
      </c>
      <c r="BB14" s="13">
        <f>IF($D14="是",I14-J14,0)</f>
        <v>0</v>
      </c>
      <c r="BC14" s="13">
        <f>IF($D14="是",K14-L14,0)</f>
        <v>25407.46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A8EB-A1DC-4405-8DC6-C255447D2DA4}">
  <dimension ref="N1:AE101"/>
  <sheetViews>
    <sheetView topLeftCell="A97" zoomScale="90" zoomScaleNormal="90" workbookViewId="0">
      <selection activeCell="R76" sqref="R76"/>
    </sheetView>
  </sheetViews>
  <sheetFormatPr defaultRowHeight="14.25"/>
  <cols>
    <col min="1" max="13" width="9" style="3152"/>
    <col min="14" max="14" width="13.625" style="3152" bestFit="1" customWidth="1"/>
    <col min="15" max="15" width="9" style="3152"/>
    <col min="16" max="16" width="13.875" style="3152" bestFit="1" customWidth="1"/>
    <col min="17" max="17" width="10.625" style="3152" customWidth="1"/>
    <col min="18" max="16384" width="9" style="3152"/>
  </cols>
  <sheetData>
    <row r="1" spans="16:31">
      <c r="P1" s="3152" t="s">
        <v>3398</v>
      </c>
      <c r="Q1" s="3152">
        <f>45965.06+21290.72</f>
        <v>67255.78</v>
      </c>
    </row>
    <row r="3" spans="16:31">
      <c r="P3" s="3152" t="s">
        <v>3399</v>
      </c>
      <c r="Q3" s="3152" t="s">
        <v>3400</v>
      </c>
      <c r="R3" s="3152" t="s">
        <v>3384</v>
      </c>
      <c r="S3" s="3152" t="s">
        <v>2541</v>
      </c>
      <c r="T3" s="3152" t="s">
        <v>3401</v>
      </c>
      <c r="U3" s="3152" t="s">
        <v>3402</v>
      </c>
      <c r="V3" s="3152" t="s">
        <v>3403</v>
      </c>
      <c r="W3" s="3152" t="s">
        <v>3386</v>
      </c>
      <c r="X3" s="3152" t="s">
        <v>3404</v>
      </c>
      <c r="Y3" s="3152" t="s">
        <v>3385</v>
      </c>
      <c r="Z3" s="3152" t="s">
        <v>3403</v>
      </c>
      <c r="AA3" s="3152" t="s">
        <v>3386</v>
      </c>
      <c r="AB3" s="3152" t="s">
        <v>3402</v>
      </c>
      <c r="AC3" s="3152" t="s">
        <v>3405</v>
      </c>
      <c r="AD3" s="3152" t="s">
        <v>3401</v>
      </c>
      <c r="AE3" s="3152" t="s">
        <v>3404</v>
      </c>
    </row>
    <row r="4" spans="16:31">
      <c r="P4" s="3152" t="s">
        <v>3406</v>
      </c>
      <c r="Q4" s="3152">
        <f>R4+Y4</f>
        <v>2590.7599999999998</v>
      </c>
      <c r="R4" s="3152">
        <f>SUM(S4:X4)</f>
        <v>2440.4499999999998</v>
      </c>
      <c r="S4" s="3152">
        <v>2440.4499999999998</v>
      </c>
      <c r="Y4" s="3152">
        <f>SUM(Z4:AE4)</f>
        <v>150.31</v>
      </c>
      <c r="Z4" s="3152">
        <f>98.43+6.64</f>
        <v>105.07000000000001</v>
      </c>
      <c r="AA4" s="3152">
        <v>45.24</v>
      </c>
    </row>
    <row r="5" spans="16:31">
      <c r="P5" s="3152" t="s">
        <v>3407</v>
      </c>
      <c r="Q5" s="3152">
        <f t="shared" ref="Q5:Q18" si="0">R5+Y5</f>
        <v>4928.3599999999997</v>
      </c>
      <c r="R5" s="3152">
        <f t="shared" ref="R5:R18" si="1">SUM(S5:X5)</f>
        <v>4520.4799999999996</v>
      </c>
      <c r="S5" s="3152">
        <v>4520.4799999999996</v>
      </c>
      <c r="Y5" s="3152">
        <f t="shared" ref="Y5:Y18" si="2">SUM(Z5:AE5)</f>
        <v>407.88</v>
      </c>
      <c r="Z5" s="3152">
        <f>320.33+7.45</f>
        <v>327.78</v>
      </c>
      <c r="AA5" s="3152">
        <v>80.099999999999994</v>
      </c>
    </row>
    <row r="6" spans="16:31">
      <c r="P6" s="3152" t="s">
        <v>3408</v>
      </c>
      <c r="Q6" s="3152">
        <f t="shared" si="0"/>
        <v>7243.65</v>
      </c>
      <c r="R6" s="3152">
        <f t="shared" si="1"/>
        <v>6888.25</v>
      </c>
      <c r="S6" s="3152">
        <v>6888.25</v>
      </c>
      <c r="Y6" s="3152">
        <f t="shared" si="2"/>
        <v>355.4</v>
      </c>
      <c r="Z6" s="3152">
        <f>247+10.56</f>
        <v>257.56</v>
      </c>
      <c r="AA6" s="3152">
        <v>97.84</v>
      </c>
    </row>
    <row r="7" spans="16:31">
      <c r="P7" s="3152" t="s">
        <v>3409</v>
      </c>
      <c r="Q7" s="3152">
        <f t="shared" si="0"/>
        <v>8123.65</v>
      </c>
      <c r="R7" s="3152">
        <f t="shared" si="1"/>
        <v>7755.91</v>
      </c>
      <c r="S7" s="3152">
        <v>7755.91</v>
      </c>
      <c r="Y7" s="3152">
        <f t="shared" si="2"/>
        <v>367.74</v>
      </c>
      <c r="Z7" s="3152">
        <f>241.74+6.54</f>
        <v>248.28</v>
      </c>
      <c r="AA7" s="3152">
        <v>119.46</v>
      </c>
    </row>
    <row r="8" spans="16:31">
      <c r="P8" s="3152" t="s">
        <v>3410</v>
      </c>
      <c r="Q8" s="3152">
        <f t="shared" si="0"/>
        <v>2636.67</v>
      </c>
      <c r="R8" s="3152">
        <f t="shared" si="1"/>
        <v>2455.11</v>
      </c>
      <c r="S8" s="3152">
        <v>2446.5</v>
      </c>
      <c r="X8" s="3152">
        <v>8.61</v>
      </c>
      <c r="Y8" s="3152">
        <f t="shared" si="2"/>
        <v>181.56</v>
      </c>
      <c r="Z8" s="3152">
        <f>129.77+6.34</f>
        <v>136.11000000000001</v>
      </c>
      <c r="AA8" s="3152">
        <v>45.45</v>
      </c>
    </row>
    <row r="9" spans="16:31">
      <c r="P9" s="3152" t="s">
        <v>3411</v>
      </c>
      <c r="Q9" s="3152">
        <f t="shared" si="0"/>
        <v>5082.7199999999993</v>
      </c>
      <c r="R9" s="3152">
        <f t="shared" si="1"/>
        <v>4864.3599999999997</v>
      </c>
      <c r="S9" s="3152">
        <v>4864.3599999999997</v>
      </c>
      <c r="Y9" s="3152">
        <f t="shared" si="2"/>
        <v>218.36</v>
      </c>
      <c r="Z9" s="3152">
        <f>133.74+11.95</f>
        <v>145.69</v>
      </c>
      <c r="AA9" s="3152">
        <v>72.67</v>
      </c>
    </row>
    <row r="10" spans="16:31">
      <c r="P10" s="3152" t="s">
        <v>3412</v>
      </c>
      <c r="Q10" s="3152">
        <f t="shared" si="0"/>
        <v>2605.89</v>
      </c>
      <c r="R10" s="3152">
        <f t="shared" si="1"/>
        <v>2446.98</v>
      </c>
      <c r="S10" s="3152">
        <v>2446.98</v>
      </c>
      <c r="Y10" s="3152">
        <f t="shared" si="2"/>
        <v>158.91</v>
      </c>
      <c r="Z10" s="3152">
        <f>106.82+6.64</f>
        <v>113.46</v>
      </c>
      <c r="AA10" s="3152">
        <v>45.45</v>
      </c>
    </row>
    <row r="11" spans="16:31">
      <c r="P11" s="3152" t="s">
        <v>3413</v>
      </c>
      <c r="Q11" s="3152">
        <f t="shared" si="0"/>
        <v>9563.74</v>
      </c>
      <c r="R11" s="3152">
        <f t="shared" si="1"/>
        <v>8787.2099999999991</v>
      </c>
      <c r="S11" s="3152">
        <v>8787.2099999999991</v>
      </c>
      <c r="Y11" s="3152">
        <f t="shared" si="2"/>
        <v>776.53</v>
      </c>
      <c r="Z11" s="3152">
        <f>463.36+147.51+11.81</f>
        <v>622.67999999999995</v>
      </c>
      <c r="AA11" s="3152">
        <v>153.85</v>
      </c>
    </row>
    <row r="12" spans="16:31">
      <c r="P12" s="3152" t="s">
        <v>3414</v>
      </c>
      <c r="Q12" s="3152">
        <f t="shared" si="0"/>
        <v>11440.91</v>
      </c>
      <c r="R12" s="3152">
        <f t="shared" si="1"/>
        <v>10792.63</v>
      </c>
      <c r="S12" s="3152">
        <v>10716.73</v>
      </c>
      <c r="V12" s="3152">
        <v>75.900000000000006</v>
      </c>
      <c r="Y12" s="3152">
        <f t="shared" si="2"/>
        <v>648.27999999999986</v>
      </c>
      <c r="Z12" s="3152">
        <f>285.27+16.15+60.07</f>
        <v>361.48999999999995</v>
      </c>
      <c r="AA12" s="3152">
        <v>212.62</v>
      </c>
      <c r="AB12" s="3152">
        <v>74.17</v>
      </c>
    </row>
    <row r="13" spans="16:31">
      <c r="P13" s="3152" t="s">
        <v>3415</v>
      </c>
      <c r="Q13" s="3152">
        <f t="shared" si="0"/>
        <v>9383.17</v>
      </c>
      <c r="R13" s="3152">
        <f t="shared" si="1"/>
        <v>9042.33</v>
      </c>
      <c r="S13" s="3152">
        <v>9042.33</v>
      </c>
      <c r="Y13" s="3152">
        <f t="shared" si="2"/>
        <v>340.84</v>
      </c>
      <c r="Z13" s="3152">
        <f>207.79+10.56</f>
        <v>218.35</v>
      </c>
      <c r="AA13" s="3152">
        <v>122.49</v>
      </c>
    </row>
    <row r="14" spans="16:31">
      <c r="P14" s="3152" t="s">
        <v>3416</v>
      </c>
      <c r="Q14" s="3152">
        <f t="shared" si="0"/>
        <v>2605.81</v>
      </c>
      <c r="R14" s="3152">
        <f t="shared" si="1"/>
        <v>2446.98</v>
      </c>
      <c r="S14" s="3152">
        <v>2446.98</v>
      </c>
      <c r="Y14" s="3152">
        <f t="shared" si="2"/>
        <v>158.82999999999998</v>
      </c>
      <c r="Z14" s="3152">
        <f>106.74+6.64</f>
        <v>113.38</v>
      </c>
      <c r="AA14" s="3152">
        <v>45.45</v>
      </c>
    </row>
    <row r="15" spans="16:31">
      <c r="P15" s="3152" t="s">
        <v>3417</v>
      </c>
      <c r="Q15" s="3152">
        <f t="shared" si="0"/>
        <v>4372.9799999999996</v>
      </c>
      <c r="R15" s="3152">
        <f t="shared" si="1"/>
        <v>3857.64</v>
      </c>
      <c r="S15" s="3152">
        <v>3857.64</v>
      </c>
      <c r="Y15" s="3152">
        <f t="shared" si="2"/>
        <v>515.34</v>
      </c>
      <c r="Z15" s="3152">
        <f>161.97+11.95+282.29</f>
        <v>456.21000000000004</v>
      </c>
      <c r="AA15" s="3152">
        <v>59.13</v>
      </c>
    </row>
    <row r="16" spans="16:31">
      <c r="P16" s="3152" t="s">
        <v>3418</v>
      </c>
      <c r="Q16" s="3152">
        <f t="shared" si="0"/>
        <v>8983.43</v>
      </c>
      <c r="R16" s="3152">
        <f t="shared" si="1"/>
        <v>7915.99</v>
      </c>
      <c r="S16" s="3152">
        <v>7915.99</v>
      </c>
      <c r="Y16" s="3152">
        <f t="shared" si="2"/>
        <v>1067.44</v>
      </c>
      <c r="Z16" s="3152">
        <f>753.08+148.03+9.03</f>
        <v>910.14</v>
      </c>
      <c r="AA16" s="3152">
        <v>157.30000000000001</v>
      </c>
    </row>
    <row r="17" spans="16:27">
      <c r="P17" s="3152" t="s">
        <v>3419</v>
      </c>
      <c r="Q17" s="3152">
        <f t="shared" si="0"/>
        <v>9222.43</v>
      </c>
      <c r="R17" s="3152">
        <f t="shared" si="1"/>
        <v>8147.24</v>
      </c>
      <c r="S17" s="3152">
        <v>8147.24</v>
      </c>
      <c r="Y17" s="3152">
        <f t="shared" si="2"/>
        <v>1075.19</v>
      </c>
      <c r="Z17" s="3152">
        <f>774.21+141.14+9.03</f>
        <v>924.38</v>
      </c>
      <c r="AA17" s="3152">
        <v>150.81</v>
      </c>
    </row>
    <row r="18" spans="16:27">
      <c r="P18" s="3152" t="s">
        <v>3420</v>
      </c>
      <c r="Q18" s="3152">
        <f t="shared" si="0"/>
        <v>8493.0499999999993</v>
      </c>
      <c r="R18" s="3152">
        <f t="shared" si="1"/>
        <v>8147.24</v>
      </c>
      <c r="S18" s="3152">
        <v>8147.24</v>
      </c>
      <c r="Y18" s="3152">
        <f t="shared" si="2"/>
        <v>345.81</v>
      </c>
      <c r="Z18" s="3152">
        <f>213.74+6.54</f>
        <v>220.28</v>
      </c>
      <c r="AA18" s="3152">
        <v>125.53</v>
      </c>
    </row>
    <row r="75" spans="14:24">
      <c r="N75" s="3152" t="s">
        <v>3421</v>
      </c>
      <c r="Q75" s="3152" t="s">
        <v>2581</v>
      </c>
    </row>
    <row r="76" spans="14:24">
      <c r="N76" s="3152" t="s">
        <v>3422</v>
      </c>
      <c r="O76" s="3152">
        <f>O77+O83</f>
        <v>127740.73999999999</v>
      </c>
      <c r="Q76" s="3152" t="s">
        <v>3422</v>
      </c>
      <c r="R76" s="3152">
        <f>R77+R83</f>
        <v>187279.28</v>
      </c>
    </row>
    <row r="77" spans="14:24">
      <c r="N77" s="3152" t="s">
        <v>3423</v>
      </c>
      <c r="O77" s="3152">
        <f>SUM(O78:O82)</f>
        <v>93591.499999999985</v>
      </c>
      <c r="Q77" s="3152" t="s">
        <v>3423</v>
      </c>
      <c r="R77" s="3152">
        <f>SUM(R78:R82)</f>
        <v>131925.5</v>
      </c>
    </row>
    <row r="78" spans="14:24">
      <c r="N78" s="3152" t="s">
        <v>2541</v>
      </c>
      <c r="O78" s="3152">
        <v>90424.29</v>
      </c>
      <c r="Q78" s="3152" t="s">
        <v>2541</v>
      </c>
      <c r="R78" s="3152">
        <f>O78+O94</f>
        <v>130018.37</v>
      </c>
    </row>
    <row r="79" spans="14:24">
      <c r="N79" s="3152" t="s">
        <v>3402</v>
      </c>
      <c r="O79" s="3152">
        <v>70</v>
      </c>
      <c r="Q79" s="3152" t="s">
        <v>3402</v>
      </c>
      <c r="R79" s="3152">
        <f>O79+O95</f>
        <v>100</v>
      </c>
    </row>
    <row r="80" spans="14:24">
      <c r="N80" s="3152" t="s">
        <v>3403</v>
      </c>
      <c r="O80" s="3152">
        <f>350+1300+480+70+14.5+75.9</f>
        <v>2290.4</v>
      </c>
      <c r="Q80" s="3152" t="s">
        <v>3403</v>
      </c>
      <c r="R80" s="3152">
        <f>O80+O96-S80-T80-U80-V80-W80-X80</f>
        <v>970.40000000000009</v>
      </c>
      <c r="S80" s="3153">
        <v>1300</v>
      </c>
      <c r="T80" s="3153">
        <v>800</v>
      </c>
      <c r="U80" s="3153">
        <v>200</v>
      </c>
      <c r="V80" s="3153">
        <v>120</v>
      </c>
      <c r="W80" s="3153">
        <v>200</v>
      </c>
      <c r="X80" s="3153">
        <v>350</v>
      </c>
    </row>
    <row r="81" spans="14:20">
      <c r="N81" s="3152" t="s">
        <v>3424</v>
      </c>
      <c r="O81" s="3152">
        <v>680</v>
      </c>
      <c r="Q81" s="3152" t="s">
        <v>3424</v>
      </c>
      <c r="R81" s="3152">
        <f>O81</f>
        <v>680</v>
      </c>
    </row>
    <row r="82" spans="14:20">
      <c r="N82" s="3152" t="s">
        <v>3404</v>
      </c>
      <c r="O82" s="3152">
        <f>78.18+40.02+8.61</f>
        <v>126.81000000000002</v>
      </c>
      <c r="Q82" s="3152" t="s">
        <v>3404</v>
      </c>
      <c r="R82" s="3152">
        <f>O82+O97</f>
        <v>156.73000000000002</v>
      </c>
    </row>
    <row r="83" spans="14:20">
      <c r="N83" s="3152" t="s">
        <v>3425</v>
      </c>
      <c r="O83" s="3152">
        <f>SUM(O84:O89)</f>
        <v>34149.24</v>
      </c>
      <c r="Q83" s="3152" t="s">
        <v>3425</v>
      </c>
      <c r="R83" s="3152">
        <f>SUM(R84:R89)</f>
        <v>55353.78</v>
      </c>
    </row>
    <row r="84" spans="14:20">
      <c r="N84" s="3152" t="s">
        <v>3426</v>
      </c>
      <c r="O84" s="3152">
        <v>11216.48</v>
      </c>
      <c r="Q84" s="3152" t="s">
        <v>3426</v>
      </c>
      <c r="R84" s="3152">
        <f>O84+O99</f>
        <v>25407.47</v>
      </c>
      <c r="S84" s="3152">
        <f>'[1]数据-取费表'!AH8</f>
        <v>1053</v>
      </c>
      <c r="T84" s="3152">
        <f>R84/S84</f>
        <v>24.128651471984806</v>
      </c>
    </row>
    <row r="85" spans="14:20">
      <c r="N85" s="3152" t="s">
        <v>3402</v>
      </c>
      <c r="O85" s="3152">
        <v>74.17</v>
      </c>
      <c r="Q85" s="3152" t="s">
        <v>3402</v>
      </c>
      <c r="R85" s="3152">
        <f>O85</f>
        <v>74.17</v>
      </c>
    </row>
    <row r="86" spans="14:20">
      <c r="N86" s="3152" t="s">
        <v>3403</v>
      </c>
      <c r="O86" s="3152">
        <v>1700</v>
      </c>
      <c r="Q86" s="3152" t="s">
        <v>3403</v>
      </c>
      <c r="R86" s="3152">
        <f>O86-S86</f>
        <v>0</v>
      </c>
      <c r="S86" s="3153">
        <v>1700</v>
      </c>
    </row>
    <row r="87" spans="14:20">
      <c r="N87" s="3152" t="s">
        <v>3401</v>
      </c>
      <c r="O87" s="3152">
        <f>44+150+866</f>
        <v>1060</v>
      </c>
      <c r="Q87" s="3152" t="s">
        <v>3401</v>
      </c>
      <c r="R87" s="3152">
        <f>O87</f>
        <v>1060</v>
      </c>
    </row>
    <row r="88" spans="14:20">
      <c r="N88" s="3152" t="s">
        <v>3386</v>
      </c>
      <c r="O88" s="3152">
        <f>5605.4+1990.65</f>
        <v>7596.0499999999993</v>
      </c>
      <c r="Q88" s="3152" t="s">
        <v>3386</v>
      </c>
      <c r="R88" s="3152">
        <f>O88+O100</f>
        <v>14300.95</v>
      </c>
    </row>
    <row r="89" spans="14:20">
      <c r="N89" s="3152" t="s">
        <v>3404</v>
      </c>
      <c r="O89" s="3152">
        <v>12502.54</v>
      </c>
      <c r="Q89" s="3152" t="s">
        <v>3404</v>
      </c>
      <c r="R89" s="3152">
        <f>O89+O101</f>
        <v>14511.19</v>
      </c>
    </row>
    <row r="91" spans="14:20">
      <c r="N91" s="3152" t="s">
        <v>3427</v>
      </c>
    </row>
    <row r="92" spans="14:20">
      <c r="N92" s="3152" t="s">
        <v>3422</v>
      </c>
      <c r="O92" s="3152">
        <f>O93+O98</f>
        <v>64208.54</v>
      </c>
    </row>
    <row r="93" spans="14:20">
      <c r="N93" s="3152" t="s">
        <v>3423</v>
      </c>
      <c r="O93" s="3152">
        <f>SUM(O94:O97)</f>
        <v>41304</v>
      </c>
    </row>
    <row r="94" spans="14:20">
      <c r="N94" s="3152" t="s">
        <v>2541</v>
      </c>
      <c r="O94" s="3152">
        <v>39594.080000000002</v>
      </c>
    </row>
    <row r="95" spans="14:20">
      <c r="N95" s="3152" t="s">
        <v>3402</v>
      </c>
      <c r="O95" s="3152">
        <v>30</v>
      </c>
    </row>
    <row r="96" spans="14:20">
      <c r="N96" s="3152" t="s">
        <v>3403</v>
      </c>
      <c r="O96" s="3152">
        <f>800+200+200+330+120</f>
        <v>1650</v>
      </c>
    </row>
    <row r="97" spans="14:15">
      <c r="N97" s="3152" t="s">
        <v>3404</v>
      </c>
      <c r="O97" s="3152">
        <f>20.91+9.01</f>
        <v>29.92</v>
      </c>
    </row>
    <row r="98" spans="14:15">
      <c r="N98" s="3152" t="s">
        <v>3425</v>
      </c>
      <c r="O98" s="3152">
        <f>SUM(O99:O101)</f>
        <v>22904.54</v>
      </c>
    </row>
    <row r="99" spans="14:15">
      <c r="N99" s="3152" t="s">
        <v>3426</v>
      </c>
      <c r="O99" s="3152">
        <v>14190.99</v>
      </c>
    </row>
    <row r="100" spans="14:15">
      <c r="N100" s="3152" t="s">
        <v>3386</v>
      </c>
      <c r="O100" s="3152">
        <f>5039.1+1665.8</f>
        <v>6704.9000000000005</v>
      </c>
    </row>
    <row r="101" spans="14:15">
      <c r="N101" s="3152" t="s">
        <v>3404</v>
      </c>
      <c r="O101" s="3152">
        <v>2008.65</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248D6-A880-4F36-B2EA-2CD01D71B167}">
  <sheetPr>
    <pageSetUpPr fitToPage="1"/>
  </sheetPr>
  <dimension ref="D3:Z102"/>
  <sheetViews>
    <sheetView tabSelected="1" topLeftCell="A55" zoomScale="85" zoomScaleNormal="85" workbookViewId="0">
      <selection activeCell="R16" sqref="A16:R29"/>
    </sheetView>
  </sheetViews>
  <sheetFormatPr defaultRowHeight="13.5"/>
  <cols>
    <col min="5" max="5" width="10.5" bestFit="1" customWidth="1"/>
    <col min="15" max="15" width="13.875" bestFit="1" customWidth="1"/>
    <col min="16" max="16" width="10.5" bestFit="1" customWidth="1"/>
    <col min="17" max="17" width="12.25" customWidth="1"/>
    <col min="18" max="18" width="13.875" bestFit="1" customWidth="1"/>
    <col min="19" max="19" width="10.5" bestFit="1" customWidth="1"/>
    <col min="20" max="20" width="13.875" bestFit="1" customWidth="1"/>
    <col min="21" max="21" width="10.5" bestFit="1" customWidth="1"/>
  </cols>
  <sheetData>
    <row r="3" spans="17:17">
      <c r="Q3">
        <f>140415.5/74059.65</f>
        <v>1.8959784444025864</v>
      </c>
    </row>
    <row r="5" spans="17:17">
      <c r="Q5">
        <v>186442.28</v>
      </c>
    </row>
    <row r="6" spans="17:17">
      <c r="Q6">
        <v>94040.267999999996</v>
      </c>
    </row>
    <row r="7" spans="17:17">
      <c r="Q7">
        <f>Q5/Q6</f>
        <v>1.9825792074518547</v>
      </c>
    </row>
    <row r="9" spans="17:17">
      <c r="Q9">
        <v>45965.06</v>
      </c>
    </row>
    <row r="10" spans="17:17">
      <c r="Q10">
        <v>21290.720000000001</v>
      </c>
    </row>
    <row r="11" spans="17:17">
      <c r="Q11">
        <f>Q9+Q10</f>
        <v>67255.78</v>
      </c>
    </row>
    <row r="41" spans="4:13">
      <c r="D41" s="1405" t="s">
        <v>2541</v>
      </c>
      <c r="E41">
        <v>130018.37</v>
      </c>
      <c r="J41">
        <v>66</v>
      </c>
      <c r="K41">
        <v>23719.02</v>
      </c>
      <c r="L41">
        <v>549</v>
      </c>
      <c r="M41">
        <f>ROUND(K41/L41,2)</f>
        <v>43.2</v>
      </c>
    </row>
    <row r="42" spans="4:13">
      <c r="D42" s="1405" t="s">
        <v>3426</v>
      </c>
      <c r="E42" s="1405">
        <f>11216.47+14190.99</f>
        <v>25407.46</v>
      </c>
      <c r="J42">
        <v>80</v>
      </c>
      <c r="K42">
        <v>16199.64</v>
      </c>
      <c r="L42">
        <v>504</v>
      </c>
      <c r="M42">
        <f>ROUND(K42/L42,2)</f>
        <v>32.14</v>
      </c>
    </row>
    <row r="43" spans="4:13">
      <c r="K43">
        <f>SUM(K41:K42)</f>
        <v>39918.660000000003</v>
      </c>
      <c r="L43">
        <f>L41+L42</f>
        <v>1053</v>
      </c>
      <c r="M43">
        <f>ROUND(K43/L43,2)</f>
        <v>37.909999999999997</v>
      </c>
    </row>
    <row r="53" spans="15:26" ht="14.25">
      <c r="O53" s="1121" t="s">
        <v>3421</v>
      </c>
      <c r="P53" s="1121"/>
      <c r="Q53" s="1121"/>
      <c r="T53" s="1121" t="s">
        <v>2581</v>
      </c>
      <c r="U53" s="1121"/>
      <c r="V53" s="1121"/>
      <c r="W53" s="1121"/>
      <c r="X53" s="1121"/>
      <c r="Y53" s="1121"/>
    </row>
    <row r="54" spans="15:26" ht="14.25">
      <c r="O54" s="1121" t="s">
        <v>3422</v>
      </c>
      <c r="P54" s="1121">
        <f>P55+P61</f>
        <v>124740.73999999999</v>
      </c>
      <c r="Q54" s="1121"/>
      <c r="T54" s="1121" t="s">
        <v>3422</v>
      </c>
      <c r="U54" s="1121">
        <f>U55+U61</f>
        <v>187749.28</v>
      </c>
      <c r="V54" s="1121"/>
      <c r="W54" s="1121"/>
      <c r="X54" s="1121"/>
      <c r="Y54" s="1121"/>
    </row>
    <row r="55" spans="15:26" ht="14.25">
      <c r="O55" s="1121" t="s">
        <v>3423</v>
      </c>
      <c r="P55" s="1121">
        <f>SUM(P56:P60)</f>
        <v>92291.499999999985</v>
      </c>
      <c r="Q55" s="1121"/>
      <c r="T55" s="1121" t="s">
        <v>3423</v>
      </c>
      <c r="U55" s="1121">
        <f>SUM(U56:U60)</f>
        <v>132395.5</v>
      </c>
      <c r="V55" s="1121"/>
      <c r="W55" s="1121"/>
      <c r="X55" s="1121"/>
      <c r="Y55" s="1121"/>
    </row>
    <row r="56" spans="15:26" ht="14.25">
      <c r="O56" s="1121" t="s">
        <v>2541</v>
      </c>
      <c r="P56" s="1121">
        <v>90424.29</v>
      </c>
      <c r="Q56" s="1121"/>
      <c r="T56" s="1121" t="s">
        <v>2541</v>
      </c>
      <c r="U56" s="1121">
        <f>P56+P95</f>
        <v>130018.37</v>
      </c>
      <c r="V56" s="1121"/>
      <c r="W56" s="1121"/>
      <c r="X56" s="1121"/>
      <c r="Y56" s="1121"/>
      <c r="Z56" s="1121"/>
    </row>
    <row r="57" spans="15:26" ht="14.25">
      <c r="O57" s="1121" t="s">
        <v>3402</v>
      </c>
      <c r="P57" s="1121">
        <v>70</v>
      </c>
      <c r="Q57" s="1121"/>
      <c r="T57" s="1121" t="s">
        <v>3402</v>
      </c>
      <c r="U57" s="1121">
        <f>P57+P96</f>
        <v>100</v>
      </c>
      <c r="V57" s="1121"/>
      <c r="W57" s="1121"/>
      <c r="X57" s="1121"/>
      <c r="Y57" s="1121"/>
      <c r="Z57" s="1121"/>
    </row>
    <row r="58" spans="15:26" ht="14.25">
      <c r="O58" s="1121" t="s">
        <v>3403</v>
      </c>
      <c r="P58" s="1121">
        <f>350+1300+480+70+14.5+75.9-Q58</f>
        <v>990.40000000000009</v>
      </c>
      <c r="Q58" s="3162">
        <v>1300</v>
      </c>
      <c r="T58" s="1121" t="s">
        <v>3403</v>
      </c>
      <c r="U58" s="1121">
        <f>P58+P97</f>
        <v>1440.4</v>
      </c>
      <c r="V58" s="1121"/>
      <c r="W58" s="1121"/>
      <c r="X58" s="1121"/>
      <c r="Y58" s="1121"/>
      <c r="Z58" s="1121"/>
    </row>
    <row r="59" spans="15:26" ht="14.25">
      <c r="O59" s="1121" t="s">
        <v>3424</v>
      </c>
      <c r="P59" s="1121">
        <v>680</v>
      </c>
      <c r="Q59" s="1121"/>
      <c r="T59" s="1121" t="s">
        <v>3424</v>
      </c>
      <c r="U59" s="1121">
        <f>P59</f>
        <v>680</v>
      </c>
      <c r="V59" s="1121"/>
      <c r="W59" s="1121"/>
      <c r="X59" s="1121"/>
      <c r="Y59" s="1121"/>
      <c r="Z59" s="1121"/>
    </row>
    <row r="60" spans="15:26" ht="14.25">
      <c r="O60" s="1121" t="s">
        <v>3404</v>
      </c>
      <c r="P60" s="1121">
        <f>78.18+40.02+8.61</f>
        <v>126.81000000000002</v>
      </c>
      <c r="Q60" s="1121"/>
      <c r="T60" s="1121" t="s">
        <v>3404</v>
      </c>
      <c r="U60" s="1121">
        <f>P60+P98</f>
        <v>156.73000000000002</v>
      </c>
      <c r="V60" s="1121"/>
      <c r="W60" s="1121"/>
      <c r="X60" s="1121"/>
      <c r="Y60" s="1121"/>
      <c r="Z60" s="1121"/>
    </row>
    <row r="61" spans="15:26" ht="14.25">
      <c r="O61" s="1121" t="s">
        <v>3425</v>
      </c>
      <c r="P61" s="1121">
        <f>SUM(P62:P67)</f>
        <v>32449.239999999998</v>
      </c>
      <c r="Q61" s="1121"/>
      <c r="T61" s="1121" t="s">
        <v>3425</v>
      </c>
      <c r="U61" s="1121">
        <f>SUM(U62:U67)</f>
        <v>55353.78</v>
      </c>
      <c r="V61" s="1121"/>
      <c r="W61" s="1121"/>
      <c r="X61" s="1121"/>
      <c r="Y61" s="1121"/>
    </row>
    <row r="62" spans="15:26" ht="14.25">
      <c r="O62" s="1121" t="s">
        <v>3426</v>
      </c>
      <c r="P62" s="1121">
        <v>11216.48</v>
      </c>
      <c r="Q62" s="1121"/>
      <c r="T62" s="1121" t="s">
        <v>3426</v>
      </c>
      <c r="U62" s="1121">
        <f>P62+P100</f>
        <v>25407.47</v>
      </c>
      <c r="V62" s="1121"/>
      <c r="W62" s="1121"/>
      <c r="X62" s="1121"/>
      <c r="Y62" s="1121"/>
    </row>
    <row r="63" spans="15:26" ht="14.25">
      <c r="O63" s="1121" t="s">
        <v>3402</v>
      </c>
      <c r="P63" s="1121">
        <v>74.17</v>
      </c>
      <c r="Q63" s="1121"/>
      <c r="T63" s="1121" t="s">
        <v>3402</v>
      </c>
      <c r="U63" s="1121">
        <f>P63</f>
        <v>74.17</v>
      </c>
      <c r="V63" s="1121"/>
      <c r="W63" s="1121"/>
      <c r="X63" s="1121"/>
      <c r="Y63" s="1121"/>
    </row>
    <row r="64" spans="15:26" ht="14.25">
      <c r="O64" s="1121" t="s">
        <v>3403</v>
      </c>
      <c r="P64" s="1121">
        <f>1700-Q64</f>
        <v>0</v>
      </c>
      <c r="Q64" s="3162">
        <v>1700</v>
      </c>
      <c r="T64" s="1121" t="s">
        <v>3403</v>
      </c>
      <c r="U64" s="1121">
        <f>P64</f>
        <v>0</v>
      </c>
      <c r="V64" s="1121"/>
      <c r="W64" s="1121"/>
      <c r="X64" s="1121"/>
      <c r="Y64" s="1121"/>
    </row>
    <row r="65" spans="15:25" ht="14.25">
      <c r="O65" s="1121" t="s">
        <v>3401</v>
      </c>
      <c r="P65" s="1121">
        <f>44+150+866</f>
        <v>1060</v>
      </c>
      <c r="Q65" s="1121"/>
      <c r="T65" s="1121" t="s">
        <v>3401</v>
      </c>
      <c r="U65" s="1121">
        <f>P65</f>
        <v>1060</v>
      </c>
      <c r="V65" s="1121"/>
      <c r="W65" s="1121"/>
      <c r="X65" s="1121"/>
      <c r="Y65" s="1121"/>
    </row>
    <row r="66" spans="15:25" ht="14.25">
      <c r="O66" s="1121" t="s">
        <v>3386</v>
      </c>
      <c r="P66" s="1121">
        <f>5605.4+1990.65</f>
        <v>7596.0499999999993</v>
      </c>
      <c r="Q66" s="1121"/>
      <c r="T66" s="1121" t="s">
        <v>3386</v>
      </c>
      <c r="U66" s="1121">
        <f>P66+P101</f>
        <v>14300.95</v>
      </c>
      <c r="V66" s="1121"/>
      <c r="W66" s="1121"/>
      <c r="X66" s="1121"/>
      <c r="Y66" s="1121"/>
    </row>
    <row r="67" spans="15:25" ht="14.25">
      <c r="O67" s="1121" t="s">
        <v>3404</v>
      </c>
      <c r="P67" s="1121">
        <v>12502.54</v>
      </c>
      <c r="Q67" s="1121"/>
      <c r="T67" s="1121" t="s">
        <v>3404</v>
      </c>
      <c r="U67" s="1121">
        <f>P67+P102</f>
        <v>14511.19</v>
      </c>
      <c r="V67" s="1121"/>
      <c r="W67" s="1121"/>
      <c r="X67" s="1121"/>
      <c r="Y67" s="1121"/>
    </row>
    <row r="68" spans="15:25" ht="14.25">
      <c r="O68" s="1121"/>
      <c r="P68" s="1121"/>
      <c r="Q68" s="1121"/>
      <c r="R68" s="1121"/>
      <c r="S68" s="1121"/>
      <c r="T68" s="1121"/>
      <c r="U68" s="1121"/>
      <c r="V68" s="1121"/>
      <c r="W68" s="1121"/>
      <c r="X68" s="1121"/>
      <c r="Y68" s="1121"/>
    </row>
    <row r="69" spans="15:25" ht="14.25">
      <c r="Q69" s="1121"/>
      <c r="R69" s="1121"/>
      <c r="S69" s="1121"/>
      <c r="T69" s="1121"/>
      <c r="U69" s="1121"/>
      <c r="V69" s="1121"/>
      <c r="W69" s="1121"/>
      <c r="X69" s="1121"/>
      <c r="Y69" s="1121"/>
    </row>
    <row r="70" spans="15:25" ht="14.25">
      <c r="O70">
        <f>93591.5+41304</f>
        <v>134895.5</v>
      </c>
      <c r="Q70" s="1121"/>
      <c r="R70" s="1121"/>
      <c r="S70" s="1121"/>
      <c r="T70" s="1121"/>
      <c r="U70" s="1121"/>
      <c r="V70" s="1121"/>
      <c r="W70" s="1121"/>
      <c r="X70" s="1121"/>
      <c r="Y70" s="1121"/>
    </row>
    <row r="71" spans="15:25" ht="14.25">
      <c r="O71">
        <f>45965.06+21290.72</f>
        <v>67255.78</v>
      </c>
      <c r="Q71" s="1121"/>
      <c r="R71" s="1121"/>
      <c r="S71" s="1121"/>
      <c r="T71" s="1121"/>
      <c r="U71" s="1121"/>
      <c r="V71" s="1121"/>
      <c r="W71" s="1121"/>
      <c r="X71" s="1121"/>
      <c r="Y71" s="1121"/>
    </row>
    <row r="72" spans="15:25" ht="14.25">
      <c r="O72">
        <f>O70/O71</f>
        <v>2.0057086543342448</v>
      </c>
      <c r="Q72" s="1121"/>
      <c r="R72" s="1121"/>
      <c r="S72" s="1121"/>
      <c r="T72" s="1121"/>
      <c r="U72" s="1121"/>
      <c r="V72" s="1121"/>
      <c r="W72" s="1121"/>
      <c r="X72" s="1121"/>
      <c r="Y72" s="1121"/>
    </row>
    <row r="73" spans="15:25" ht="14.25">
      <c r="Q73" s="1121"/>
      <c r="R73" s="1121"/>
      <c r="S73" s="1121"/>
      <c r="T73" s="1121"/>
      <c r="U73" s="1121"/>
      <c r="V73" s="1121"/>
      <c r="W73" s="1121"/>
      <c r="X73" s="1121"/>
      <c r="Y73" s="1121"/>
    </row>
    <row r="74" spans="15:25" ht="14.25">
      <c r="Q74" s="1121"/>
      <c r="R74" s="1121"/>
      <c r="S74" s="1121"/>
      <c r="T74" s="1121"/>
      <c r="U74" s="1121"/>
      <c r="V74" s="1121"/>
      <c r="W74" s="1121"/>
      <c r="X74" s="1121"/>
      <c r="Y74" s="1121"/>
    </row>
    <row r="75" spans="15:25" ht="14.25">
      <c r="Q75" s="1121"/>
      <c r="R75" s="1121"/>
      <c r="S75" s="1121"/>
      <c r="T75" s="1121"/>
      <c r="U75" s="1121"/>
      <c r="V75" s="1121"/>
      <c r="W75" s="1121"/>
      <c r="X75" s="1121"/>
      <c r="Y75" s="1121"/>
    </row>
    <row r="76" spans="15:25" ht="14.25">
      <c r="Q76" s="1121"/>
      <c r="R76" s="1121"/>
      <c r="S76" s="1121"/>
      <c r="T76" s="1121"/>
      <c r="U76" s="1121"/>
      <c r="V76" s="1121"/>
      <c r="W76" s="1121"/>
      <c r="X76" s="1121"/>
      <c r="Y76" s="1121"/>
    </row>
    <row r="77" spans="15:25" ht="14.25">
      <c r="Q77" s="1121"/>
      <c r="R77" s="1121"/>
      <c r="S77" s="1121"/>
      <c r="T77" s="1121"/>
      <c r="U77" s="1121"/>
      <c r="V77" s="1121"/>
      <c r="W77" s="1121"/>
      <c r="X77" s="1121"/>
      <c r="Y77" s="1121"/>
    </row>
    <row r="78" spans="15:25" ht="14.25">
      <c r="Q78" s="1121"/>
      <c r="R78" s="1121"/>
      <c r="S78" s="1121"/>
      <c r="T78" s="1121"/>
      <c r="U78" s="1121"/>
      <c r="V78" s="1121"/>
      <c r="W78" s="1121"/>
      <c r="X78" s="1121"/>
      <c r="Y78" s="1121"/>
    </row>
    <row r="79" spans="15:25" ht="14.25">
      <c r="Q79" s="1121"/>
      <c r="R79" s="1121"/>
      <c r="S79" s="1121"/>
      <c r="T79" s="1121"/>
      <c r="U79" s="1121"/>
      <c r="V79" s="1121"/>
      <c r="W79" s="1121"/>
      <c r="X79" s="1121"/>
      <c r="Y79" s="1121"/>
    </row>
    <row r="92" spans="15:16" ht="14.25">
      <c r="O92" s="1121" t="s">
        <v>3427</v>
      </c>
      <c r="P92" s="1121"/>
    </row>
    <row r="93" spans="15:16" ht="14.25">
      <c r="O93" s="1121" t="s">
        <v>3422</v>
      </c>
      <c r="P93" s="1121">
        <f>P94+P99</f>
        <v>63008.54</v>
      </c>
    </row>
    <row r="94" spans="15:16" ht="14.25">
      <c r="O94" s="1121" t="s">
        <v>3423</v>
      </c>
      <c r="P94" s="1121">
        <f>SUM(P95:P98)</f>
        <v>40104</v>
      </c>
    </row>
    <row r="95" spans="15:16" ht="14.25">
      <c r="O95" s="1121" t="s">
        <v>2541</v>
      </c>
      <c r="P95" s="1121">
        <v>39594.080000000002</v>
      </c>
    </row>
    <row r="96" spans="15:16" ht="14.25">
      <c r="O96" s="1121" t="s">
        <v>3402</v>
      </c>
      <c r="P96" s="1121">
        <v>30</v>
      </c>
    </row>
    <row r="97" spans="15:19" ht="14.25">
      <c r="O97" s="1121" t="s">
        <v>3403</v>
      </c>
      <c r="P97" s="1121">
        <f>800+200+200+330+120-Q97-R97-S97</f>
        <v>450</v>
      </c>
      <c r="Q97" s="3161">
        <v>800</v>
      </c>
      <c r="R97" s="3161">
        <v>200</v>
      </c>
      <c r="S97" s="3161">
        <v>200</v>
      </c>
    </row>
    <row r="98" spans="15:19" ht="14.25">
      <c r="O98" s="1121" t="s">
        <v>3404</v>
      </c>
      <c r="P98" s="1121">
        <f>20.91+9.01</f>
        <v>29.92</v>
      </c>
    </row>
    <row r="99" spans="15:19" ht="14.25">
      <c r="O99" s="1121" t="s">
        <v>3425</v>
      </c>
      <c r="P99" s="1121">
        <f>SUM(P100:P102)</f>
        <v>22904.54</v>
      </c>
    </row>
    <row r="100" spans="15:19" ht="14.25">
      <c r="O100" s="1121" t="s">
        <v>3426</v>
      </c>
      <c r="P100" s="1121">
        <v>14190.99</v>
      </c>
    </row>
    <row r="101" spans="15:19" ht="14.25">
      <c r="O101" s="1121" t="s">
        <v>3386</v>
      </c>
      <c r="P101" s="1121">
        <f>5039.1+1665.8</f>
        <v>6704.9000000000005</v>
      </c>
    </row>
    <row r="102" spans="15:19" ht="14.25">
      <c r="O102" s="1121" t="s">
        <v>3404</v>
      </c>
      <c r="P102" s="1121">
        <v>2008.65</v>
      </c>
    </row>
  </sheetData>
  <phoneticPr fontId="134" type="noConversion"/>
  <pageMargins left="0.7" right="0.7" top="0.75" bottom="0.75" header="0.3" footer="0.3"/>
  <pageSetup paperSize="9" scale="26" orientation="landscape"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43" t="s">
        <v>1129</v>
      </c>
      <c r="B2" s="3243"/>
      <c r="C2" s="3243"/>
      <c r="D2" s="748" t="s">
        <v>1105</v>
      </c>
      <c r="E2" s="1523" t="s">
        <v>1106</v>
      </c>
      <c r="F2" s="2437"/>
      <c r="G2" s="2430"/>
      <c r="H2" s="2431"/>
      <c r="I2" s="2144" t="s">
        <v>1130</v>
      </c>
      <c r="J2" s="2437"/>
      <c r="K2" s="2437"/>
      <c r="L2" s="2437"/>
      <c r="M2" s="2437"/>
      <c r="N2" s="2438"/>
      <c r="O2" s="2437"/>
      <c r="P2" s="2437"/>
    </row>
    <row r="3" spans="1:16" ht="15.75" thickBot="1">
      <c r="A3" s="3244" t="s">
        <v>1103</v>
      </c>
      <c r="B3" s="3244"/>
      <c r="C3" s="3244"/>
      <c r="D3" s="41">
        <f>'数据-基础表'!AY6</f>
        <v>0</v>
      </c>
      <c r="E3" s="41">
        <f>'数据-基础表'!AZ5</f>
        <v>155425.82999999999</v>
      </c>
      <c r="F3" s="2437"/>
      <c r="G3" s="42"/>
      <c r="H3" s="43" t="s">
        <v>1104</v>
      </c>
      <c r="I3" s="802" t="e">
        <f>ROUND('数据-基础表'!B3/'数据-基础表'!A3,2)</f>
        <v>#DIV/0!</v>
      </c>
      <c r="J3" s="2437"/>
      <c r="K3" s="2437"/>
      <c r="L3" s="2437"/>
      <c r="M3" s="2437"/>
      <c r="N3" s="2438"/>
      <c r="O3" s="2437"/>
      <c r="P3" s="2437"/>
    </row>
    <row r="4" spans="1:16" ht="15">
      <c r="A4" s="3245"/>
      <c r="B4" s="3246"/>
      <c r="C4" s="3247"/>
      <c r="D4" s="1524" t="s">
        <v>1105</v>
      </c>
      <c r="E4" s="1525" t="s">
        <v>1106</v>
      </c>
      <c r="F4" s="2437"/>
      <c r="G4" s="2432" t="s">
        <v>1131</v>
      </c>
      <c r="H4" s="43" t="s">
        <v>1111</v>
      </c>
      <c r="I4" s="802" t="e">
        <f>ROUND(SUMIF('数据-基础表'!I9:AS9,"地上",'数据-基础表'!I5:AS5)/'数据-基础表'!A3,2)</f>
        <v>#DIV/0!</v>
      </c>
      <c r="J4" s="2437"/>
      <c r="K4" s="2437"/>
      <c r="L4" s="2437"/>
      <c r="M4" s="2437"/>
      <c r="N4" s="2438"/>
      <c r="O4" s="2437"/>
      <c r="P4" s="2437"/>
    </row>
    <row r="5" spans="1:16">
      <c r="A5" s="42" t="s">
        <v>1107</v>
      </c>
      <c r="B5" s="3248" t="s">
        <v>1108</v>
      </c>
      <c r="C5" s="3248"/>
      <c r="D5" s="43">
        <f>ROUND($D$3*E5/$E$3,2)</f>
        <v>0</v>
      </c>
      <c r="E5" s="44">
        <f>SUMIF('数据-基础表'!$11:$11,"住宅",'数据-基础表'!$5:$5)</f>
        <v>130018.37</v>
      </c>
      <c r="F5" s="2437"/>
      <c r="G5" s="42"/>
      <c r="H5" s="43" t="s">
        <v>1104</v>
      </c>
      <c r="I5" s="802" t="e">
        <f>ROUND(E31/D31,2)</f>
        <v>#DIV/0!</v>
      </c>
      <c r="J5" s="2437"/>
      <c r="K5" s="2437"/>
      <c r="L5" s="2437"/>
      <c r="M5" s="2437"/>
      <c r="N5" s="2437"/>
      <c r="O5" s="2437"/>
      <c r="P5" s="2437"/>
    </row>
    <row r="6" spans="1:16" ht="15" thickBot="1">
      <c r="A6" s="1527"/>
      <c r="B6" s="3248" t="s">
        <v>1109</v>
      </c>
      <c r="C6" s="3248"/>
      <c r="D6" s="43">
        <f>ROUND($D$3*E6/$E$3,2)</f>
        <v>0</v>
      </c>
      <c r="E6" s="44">
        <f>E3-E5</f>
        <v>25407.459999999992</v>
      </c>
      <c r="F6" s="2437"/>
      <c r="G6" s="1529" t="s">
        <v>1110</v>
      </c>
      <c r="H6" s="45" t="s">
        <v>1111</v>
      </c>
      <c r="I6" s="2433" t="e">
        <f>ROUND(F31/D31,2)</f>
        <v>#DIV/0!</v>
      </c>
      <c r="J6" s="2437"/>
      <c r="K6" s="2437"/>
      <c r="L6" s="2437"/>
      <c r="M6" s="2437"/>
      <c r="N6" s="2437"/>
      <c r="O6" s="2437"/>
      <c r="P6" s="2437"/>
    </row>
    <row r="7" spans="1:16" ht="15.75" thickBot="1">
      <c r="A7" s="3240"/>
      <c r="B7" s="3241"/>
      <c r="C7" s="3242"/>
      <c r="D7" s="1524" t="s">
        <v>1105</v>
      </c>
      <c r="E7" s="1528" t="s">
        <v>1112</v>
      </c>
      <c r="F7" s="2437"/>
      <c r="G7" s="2434" t="s">
        <v>1113</v>
      </c>
      <c r="H7" s="95"/>
      <c r="I7" s="2435"/>
      <c r="J7" s="2437"/>
      <c r="K7" s="2437"/>
      <c r="L7" s="2437"/>
      <c r="M7" s="2437"/>
      <c r="N7" s="2437"/>
      <c r="O7" s="2437"/>
      <c r="P7" s="2437"/>
    </row>
    <row r="8" spans="1:16">
      <c r="A8" s="42" t="s">
        <v>1114</v>
      </c>
      <c r="B8" s="45" t="s">
        <v>1115</v>
      </c>
      <c r="C8" s="43" t="s">
        <v>1116</v>
      </c>
      <c r="D8" s="43">
        <f t="shared" ref="D8:D15" si="0">ROUND($D$3*E8/$E$3,2)</f>
        <v>0</v>
      </c>
      <c r="E8" s="46">
        <f>SUMIF('数据-基础表'!BB10:BK10,"地上",'数据-基础表'!BB5:BK5)</f>
        <v>130018.37</v>
      </c>
      <c r="F8" s="2437"/>
      <c r="G8" s="2437"/>
      <c r="H8" s="2437"/>
      <c r="I8" s="2437"/>
      <c r="J8" s="2437"/>
      <c r="K8" s="2437"/>
      <c r="L8" s="2437"/>
      <c r="M8" s="2437"/>
      <c r="N8" s="2437"/>
      <c r="O8" s="2437"/>
      <c r="P8" s="2437"/>
    </row>
    <row r="9" spans="1:16">
      <c r="A9" s="1529"/>
      <c r="B9" s="1530"/>
      <c r="C9" s="43" t="s">
        <v>1117</v>
      </c>
      <c r="D9" s="43">
        <f t="shared" si="0"/>
        <v>0</v>
      </c>
      <c r="E9" s="47">
        <v>0</v>
      </c>
      <c r="F9" s="2437"/>
      <c r="G9" s="2437"/>
      <c r="H9" s="2437"/>
      <c r="I9" s="2437"/>
      <c r="J9" s="2437"/>
      <c r="K9" s="2437"/>
      <c r="L9" s="2437"/>
      <c r="M9" s="2437"/>
      <c r="N9" s="2437"/>
      <c r="O9" s="2437"/>
      <c r="P9" s="2437"/>
    </row>
    <row r="10" spans="1:16">
      <c r="A10" s="1529"/>
      <c r="B10" s="1530"/>
      <c r="C10" s="43" t="s">
        <v>1126</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1118</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1119</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1120</v>
      </c>
      <c r="D13" s="43">
        <f t="shared" si="0"/>
        <v>0</v>
      </c>
      <c r="E13" s="46">
        <f>SUMPRODUCT(('数据-基础表'!BB10:BK10="地下")*('数据-基础表'!BB11:BK11="车库")*('数据-基础表'!BB5:BK5))</f>
        <v>25407.46</v>
      </c>
      <c r="F13" s="2437"/>
      <c r="G13" s="2437"/>
      <c r="H13" s="2437"/>
      <c r="I13" s="2437"/>
      <c r="J13" s="2437"/>
      <c r="K13" s="2437"/>
      <c r="L13" s="2437"/>
      <c r="M13" s="2437"/>
      <c r="N13" s="2437"/>
      <c r="O13" s="2437"/>
      <c r="P13" s="2437"/>
    </row>
    <row r="14" spans="1:16">
      <c r="A14" s="1529"/>
      <c r="B14" s="1530"/>
      <c r="C14" s="43" t="s">
        <v>1132</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1127</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1121</v>
      </c>
      <c r="D16" s="45">
        <f>SUM(D8:D15)</f>
        <v>0</v>
      </c>
      <c r="E16" s="48">
        <f>SUM(E8:E15)</f>
        <v>155425.82999999999</v>
      </c>
      <c r="F16" s="2437"/>
      <c r="G16" s="2437"/>
      <c r="H16" s="1531" t="s">
        <v>1133</v>
      </c>
      <c r="I16" s="1532"/>
      <c r="J16" s="1071"/>
      <c r="K16" s="3237" t="s">
        <v>1133</v>
      </c>
      <c r="L16" s="3238"/>
      <c r="M16" s="3238"/>
      <c r="N16" s="3238"/>
      <c r="O16" s="3238"/>
      <c r="P16" s="3239"/>
    </row>
    <row r="17" spans="1:19" ht="15">
      <c r="A17" s="1533" t="s">
        <v>1134</v>
      </c>
      <c r="B17" s="1534" t="s">
        <v>1135</v>
      </c>
      <c r="C17" s="1535" t="s">
        <v>1136</v>
      </c>
      <c r="D17" s="1536" t="s">
        <v>1124</v>
      </c>
      <c r="E17" s="1537" t="s">
        <v>1125</v>
      </c>
      <c r="F17" s="1538"/>
      <c r="G17" s="1539"/>
      <c r="H17" s="1540" t="s">
        <v>1137</v>
      </c>
      <c r="I17" s="1541" t="s">
        <v>1122</v>
      </c>
      <c r="J17" s="1071"/>
      <c r="K17" s="3234" t="s">
        <v>1138</v>
      </c>
      <c r="L17" s="3235"/>
      <c r="M17" s="3236"/>
      <c r="N17" s="3234" t="s">
        <v>1139</v>
      </c>
      <c r="O17" s="3235"/>
      <c r="P17" s="3236"/>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4" t="str">
        <f>'数据-基础表'!C13</f>
        <v>住宅</v>
      </c>
      <c r="D19" s="43">
        <f>ROUND($D$3*E19/$E$3,2)</f>
        <v>0</v>
      </c>
      <c r="E19" s="51">
        <f t="shared" ref="E19:E26" si="1">SUM(F19:G19)</f>
        <v>130018.37</v>
      </c>
      <c r="F19" s="2556">
        <f>'数据-基础表'!I13</f>
        <v>130018.37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130018.37</v>
      </c>
    </row>
    <row r="20" spans="1:19">
      <c r="A20" s="1549"/>
      <c r="B20" s="45" t="s">
        <v>1151</v>
      </c>
      <c r="C20" s="3114" t="str">
        <f>'数据-基础表'!C14</f>
        <v>地下车库</v>
      </c>
      <c r="D20" s="43">
        <f t="shared" ref="D20:D26" si="6">ROUND($D$3*E20/$E$3,2)</f>
        <v>0</v>
      </c>
      <c r="E20" s="51">
        <f t="shared" si="1"/>
        <v>25407.46</v>
      </c>
      <c r="F20" s="2556"/>
      <c r="G20" s="1243">
        <f>'数据-基础表'!K14</f>
        <v>25407.46</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25407.46</v>
      </c>
    </row>
    <row r="21" spans="1:19">
      <c r="A21" s="1549"/>
      <c r="B21" s="45" t="s">
        <v>1151</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0</v>
      </c>
      <c r="E27" s="1073">
        <f>IF(SUM(E19:E26)='数据-基础表'!BA5,SUM(E19:E26),IF(F27="地上面积有误","面积有误","地下面积有误"))</f>
        <v>155425.82999999999</v>
      </c>
      <c r="F27" s="1072">
        <f>IF(SUM(F19:F26)=E8,SUM(F19:F26),"地上面积有误")</f>
        <v>130018.37</v>
      </c>
      <c r="G27" s="1074">
        <f>SUM(G19:G26)</f>
        <v>25407.46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155425.82999999999</v>
      </c>
    </row>
    <row r="28" spans="1:19">
      <c r="A28" s="1549"/>
      <c r="B28" s="45" t="s">
        <v>1153</v>
      </c>
      <c r="C28" s="54" t="s">
        <v>1154</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1153</v>
      </c>
      <c r="C29" s="1555" t="s">
        <v>1155</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1152</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1156</v>
      </c>
      <c r="D31" s="643">
        <f>D27+D30</f>
        <v>0</v>
      </c>
      <c r="E31" s="643">
        <f>E27+E30</f>
        <v>155425.82999999999</v>
      </c>
      <c r="F31" s="644">
        <f>F27+F30</f>
        <v>130018.37</v>
      </c>
      <c r="G31" s="645">
        <f>G27+G30</f>
        <v>25407.46</v>
      </c>
      <c r="H31" s="2437"/>
      <c r="I31" s="2437"/>
      <c r="J31" s="2437"/>
      <c r="K31" s="2437"/>
      <c r="L31" s="2437"/>
      <c r="M31" s="2437"/>
      <c r="N31" s="2437"/>
      <c r="O31" s="2437"/>
      <c r="P31" s="2437"/>
    </row>
    <row r="32" spans="1:19">
      <c r="A32" s="1526"/>
      <c r="B32" s="1526" t="s">
        <v>1157</v>
      </c>
      <c r="C32" s="1526"/>
      <c r="D32" s="1526"/>
      <c r="E32" s="990">
        <f>SUMIF(C19:C26,"*住宅*",E19:E26)</f>
        <v>130018.37</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2" activePane="bottomRight" state="frozen"/>
      <selection activeCell="C50" sqref="C50"/>
      <selection pane="topRight" activeCell="C50" sqref="C50"/>
      <selection pane="bottomLeft" activeCell="C50" sqref="C50"/>
      <selection pane="bottomRight" activeCell="F44" sqref="F4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1159</v>
      </c>
      <c r="B2" s="984">
        <f>项目基本情况!D3</f>
        <v>45741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6"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3437</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3428</v>
      </c>
      <c r="D6" s="805">
        <f>SUMIF(项目基本情况!C$12:I$12,C6,项目基本情况!C$14:I$14)</f>
        <v>70</v>
      </c>
      <c r="E6" s="804">
        <f>IF(B6="","",SUMIF(项目基本情况!C$12:I$12,C6,项目基本情况!C$13:I$13))</f>
        <v>71082</v>
      </c>
      <c r="F6" s="61">
        <f>SUMIF(项目基本情况!C$12:I$12,C6,项目基本情况!C$15:I$15)</f>
        <v>69.42</v>
      </c>
      <c r="G6" s="62">
        <f>IF(ISERROR(ROUND(POWER(1+H6,D6-F6)*(POWER(1+H6,F6)-1)/(POWER(1+H6,D6)-1),3)),0,ROUND(POWER(1+H6,D6-F6)*(POWER(1+H6,F6)-1)/(POWER(1+H6,D6)-1),3))</f>
        <v>0.999</v>
      </c>
      <c r="H6" s="691">
        <v>0.05</v>
      </c>
      <c r="I6" s="691">
        <v>5.5E-2</v>
      </c>
      <c r="J6" s="63">
        <v>7.0000000000000007E-2</v>
      </c>
      <c r="K6" s="970">
        <f>SUMIF('数据-汇总表'!C$19:C$33,A6,'数据-汇总表'!E$19:E$33)</f>
        <v>130018.37</v>
      </c>
      <c r="L6" s="692">
        <v>6000</v>
      </c>
      <c r="M6" s="64">
        <f t="shared" ref="M6:M14" si="0">ROUND(K6*L6/10000,0)</f>
        <v>78011</v>
      </c>
      <c r="N6" s="690">
        <v>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780110220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地下车库</v>
      </c>
      <c r="B7" s="1587" t="str">
        <f t="shared" ref="B7:B13" si="1">IF(A7=0,"","经营性")</f>
        <v>经营性</v>
      </c>
      <c r="C7" s="1588" t="s">
        <v>3322</v>
      </c>
      <c r="D7" s="805">
        <f>SUMIF(项目基本情况!C$12:I$12,C7,项目基本情况!C$14:I$14)</f>
        <v>50</v>
      </c>
      <c r="E7" s="804">
        <f>IF(B7="","",SUMIF(项目基本情况!C$12:I$12,C7,项目基本情况!C$13:I$13))</f>
        <v>63777</v>
      </c>
      <c r="F7" s="61">
        <f>SUMIF(项目基本情况!C$12:I$12,C7,项目基本情况!C$15:I$15)</f>
        <v>49.41</v>
      </c>
      <c r="G7" s="62">
        <f t="shared" ref="G7:G11" si="2">IF(ISERROR(ROUND(POWER(1+H7,D7-F7)*(POWER(1+H7,F7)-1)/(POWER(1+H7,D7)-1),3)),0,ROUND(POWER(1+H7,D7-F7)*(POWER(1+H7,F7)-1)/(POWER(1+H7,D7)-1),3))</f>
        <v>0.997</v>
      </c>
      <c r="H7" s="691">
        <v>0.05</v>
      </c>
      <c r="I7" s="691">
        <v>5.5E-2</v>
      </c>
      <c r="J7" s="63">
        <v>7.0000000000000007E-2</v>
      </c>
      <c r="K7" s="970">
        <f>SUMIF('数据-汇总表'!C$19:C$33,A7,'数据-汇总表'!E$19:E$33)</f>
        <v>25407.46</v>
      </c>
      <c r="L7" s="692">
        <v>4000</v>
      </c>
      <c r="M7" s="64">
        <f t="shared" si="0"/>
        <v>10163</v>
      </c>
      <c r="N7" s="690">
        <v>1</v>
      </c>
      <c r="O7" s="64" t="str">
        <f t="shared" ref="O7:O14" si="3">IF($N$5="成新度","——",ROUND(M7*N7,0))</f>
        <v>——</v>
      </c>
      <c r="P7" s="65" t="str">
        <f t="shared" ref="P7:P14" si="4">IF($N$5="成新度","——",M7-O7)</f>
        <v>——</v>
      </c>
      <c r="Q7" s="693">
        <v>0.05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f>规证面积!L43</f>
        <v>1053</v>
      </c>
      <c r="AI7" s="73">
        <v>365</v>
      </c>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0.999</v>
      </c>
      <c r="H16" s="84">
        <f>ROUND(SUMPRODUCT(H6:H13,K6:K13)/SUMPRODUCT((H6:H13&gt;0)*(K6:K13)),3)</f>
        <v>0.05</v>
      </c>
      <c r="I16" s="85"/>
      <c r="J16" s="85"/>
      <c r="K16" s="86">
        <f>SUM(K6:K15)</f>
        <v>155425.82999999999</v>
      </c>
      <c r="L16" s="87">
        <f>ROUND(M16*10000/SUM(K6:K14),0)</f>
        <v>5673</v>
      </c>
      <c r="M16" s="87">
        <f>SUM(M6:M14)</f>
        <v>88174</v>
      </c>
      <c r="N16" s="88">
        <f>ROUND(SUMPRODUCT(M6:M14,N6:N14)/M16,3)</f>
        <v>1</v>
      </c>
      <c r="O16" s="87">
        <f>SUM(O6:O14)</f>
        <v>0</v>
      </c>
      <c r="P16" s="87">
        <f>SUM(P6:P14)</f>
        <v>0</v>
      </c>
      <c r="Q16" s="89">
        <f>ROUND(SUMPRODUCT(Q6:Q13,K6:K13)/SUMPRODUCT((Q6:Q13&gt;0)*(K6:K13)),2)</f>
        <v>0.13</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1208</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1209</v>
      </c>
      <c r="B19" s="97">
        <v>0</v>
      </c>
      <c r="C19" s="2559" t="s">
        <v>2291</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1210</v>
      </c>
      <c r="B20" s="98">
        <v>2.5</v>
      </c>
      <c r="C20" s="2560" t="s">
        <v>2289</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1211</v>
      </c>
      <c r="B21" s="98">
        <v>0</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1212</v>
      </c>
      <c r="B22" s="99">
        <f>B19+B20</f>
        <v>2.5</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1213</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1214</v>
      </c>
      <c r="B24" s="100">
        <f>B20-B21</f>
        <v>2.5</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1215</v>
      </c>
      <c r="B26" s="1600" t="s">
        <v>1216</v>
      </c>
      <c r="C26" s="2451" t="s">
        <v>1217</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1218</v>
      </c>
      <c r="B27" s="101">
        <v>150</v>
      </c>
      <c r="C27" s="2561" t="s">
        <v>2293</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1219</v>
      </c>
      <c r="B28" s="103">
        <v>190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1220</v>
      </c>
      <c r="B29" s="105">
        <v>0</v>
      </c>
      <c r="C29" s="2562" t="s">
        <v>2283</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1221</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1222</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1223</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1224</v>
      </c>
      <c r="B33" s="640">
        <v>0.05</v>
      </c>
      <c r="C33" s="2563" t="s">
        <v>3374</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1225</v>
      </c>
      <c r="B34" s="106">
        <v>0.05</v>
      </c>
      <c r="C34" s="2563" t="s">
        <v>2284</v>
      </c>
      <c r="D34" s="2458" t="s">
        <v>2290</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1226</v>
      </c>
      <c r="B35" s="103">
        <v>200</v>
      </c>
      <c r="C35" s="2563" t="s">
        <v>2285</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1227</v>
      </c>
      <c r="B36" s="107">
        <v>0.02</v>
      </c>
      <c r="C36" s="2563" t="s">
        <v>3392</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1228</v>
      </c>
      <c r="B37" s="108">
        <v>0.02</v>
      </c>
      <c r="C37" s="2563" t="s">
        <v>3375</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1229</v>
      </c>
      <c r="B38" s="106">
        <v>0.03</v>
      </c>
      <c r="C38" s="2563" t="s">
        <v>3376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1230</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2299</v>
      </c>
      <c r="B40" s="1015">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1231</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1232</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1233</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1234</v>
      </c>
      <c r="B44" s="112">
        <v>7.0000000000000007E-2</v>
      </c>
      <c r="C44" s="2563" t="s">
        <v>3377</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1235</v>
      </c>
      <c r="B45" s="110">
        <v>0.03</v>
      </c>
      <c r="C45" s="2562" t="s">
        <v>2286</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1236</v>
      </c>
      <c r="B46" s="110">
        <v>0.02</v>
      </c>
      <c r="C46" s="2562" t="s">
        <v>2287</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1237</v>
      </c>
      <c r="B47" s="113">
        <v>0</v>
      </c>
      <c r="C47" s="2565" t="s">
        <v>2294</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1238</v>
      </c>
      <c r="B48" s="114">
        <v>0.03</v>
      </c>
      <c r="C48" s="2562" t="s">
        <v>2286</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1239</v>
      </c>
      <c r="B49" s="110">
        <v>5.0000000000000001E-4</v>
      </c>
      <c r="C49" s="2562" t="s">
        <v>2288</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1240</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1241</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1242</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1243</v>
      </c>
      <c r="B53" s="1611" t="s">
        <v>29</v>
      </c>
      <c r="C53" s="2438" t="s">
        <v>1244</v>
      </c>
      <c r="D53" s="2564" t="s">
        <v>2292</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1245</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1246</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1247</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1248</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1249</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1250</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1251</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1252</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1253</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1254</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49" t="s">
        <v>2275</v>
      </c>
      <c r="B1" s="3250"/>
      <c r="C1" s="3250"/>
      <c r="D1" s="3250"/>
      <c r="E1" s="3250"/>
      <c r="F1" s="3250"/>
      <c r="G1" s="325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2272</v>
      </c>
      <c r="D2" s="1595"/>
      <c r="E2" s="2258"/>
      <c r="F2" s="2261"/>
      <c r="G2" s="2260" t="s">
        <v>2273</v>
      </c>
      <c r="H2" s="751"/>
      <c r="I2" s="751"/>
      <c r="J2" s="751"/>
      <c r="K2" s="751"/>
      <c r="L2" s="751"/>
      <c r="M2" s="751"/>
      <c r="N2" s="751"/>
      <c r="O2" s="751"/>
      <c r="P2" s="751"/>
      <c r="Q2" s="751"/>
    </row>
    <row r="3" spans="1:29" ht="24">
      <c r="A3" s="2245" t="s">
        <v>2274</v>
      </c>
      <c r="B3" s="2262" t="s">
        <v>2250</v>
      </c>
      <c r="C3" s="2263"/>
      <c r="D3" s="2264"/>
      <c r="E3" s="2246" t="s">
        <v>2274</v>
      </c>
      <c r="F3" s="2265" t="s">
        <v>2251</v>
      </c>
      <c r="G3" s="2266"/>
      <c r="H3" s="751"/>
      <c r="I3" s="751"/>
      <c r="J3" s="751"/>
      <c r="K3" s="751"/>
      <c r="L3" s="751"/>
      <c r="M3" s="751"/>
      <c r="N3" s="751"/>
      <c r="O3" s="751"/>
      <c r="P3" s="751"/>
      <c r="Q3" s="751"/>
    </row>
    <row r="4" spans="1:29">
      <c r="A4" s="2246"/>
      <c r="B4" s="315" t="s">
        <v>2252</v>
      </c>
      <c r="C4" s="2267"/>
      <c r="D4" s="2264"/>
      <c r="E4" s="2268"/>
      <c r="F4" s="1281" t="s">
        <v>2253</v>
      </c>
      <c r="G4" s="2269"/>
      <c r="H4" s="751"/>
      <c r="I4" s="751"/>
      <c r="J4" s="751"/>
      <c r="K4" s="751"/>
      <c r="L4" s="751"/>
      <c r="M4" s="751"/>
      <c r="N4" s="751"/>
      <c r="O4" s="751"/>
      <c r="P4" s="751"/>
      <c r="Q4" s="751"/>
    </row>
    <row r="5" spans="1:29">
      <c r="A5" s="2246"/>
      <c r="B5" s="315" t="s">
        <v>2254</v>
      </c>
      <c r="C5" s="2267"/>
      <c r="D5" s="2264"/>
      <c r="E5" s="2268"/>
      <c r="F5" s="315" t="s">
        <v>2255</v>
      </c>
      <c r="G5" s="2269"/>
      <c r="H5" s="751"/>
      <c r="I5" s="751"/>
      <c r="J5" s="751"/>
      <c r="K5" s="751"/>
      <c r="L5" s="751"/>
      <c r="M5" s="751"/>
      <c r="N5" s="751"/>
      <c r="O5" s="751"/>
      <c r="P5" s="751"/>
      <c r="Q5" s="751"/>
    </row>
    <row r="6" spans="1:29">
      <c r="A6" s="2246"/>
      <c r="B6" s="315" t="s">
        <v>2256</v>
      </c>
      <c r="C6" s="2269"/>
      <c r="D6" s="2264"/>
      <c r="E6" s="2268"/>
      <c r="F6" s="315" t="s">
        <v>2257</v>
      </c>
      <c r="G6" s="2269"/>
      <c r="H6" s="751"/>
      <c r="I6" s="751"/>
      <c r="J6" s="751"/>
      <c r="K6" s="751"/>
      <c r="L6" s="751"/>
      <c r="M6" s="751"/>
      <c r="N6" s="751"/>
      <c r="O6" s="751"/>
      <c r="P6" s="751"/>
      <c r="Q6" s="751"/>
    </row>
    <row r="7" spans="1:29" ht="15" thickBot="1">
      <c r="A7" s="2246"/>
      <c r="B7" s="315" t="s">
        <v>2255</v>
      </c>
      <c r="C7" s="2269"/>
      <c r="D7" s="2243"/>
      <c r="E7" s="2270"/>
      <c r="F7" s="2271" t="s">
        <v>2258</v>
      </c>
      <c r="G7" s="2272"/>
      <c r="H7" s="751"/>
      <c r="I7" s="751"/>
      <c r="J7" s="751"/>
      <c r="K7" s="751"/>
      <c r="L7" s="751"/>
      <c r="M7" s="751"/>
      <c r="N7" s="751"/>
      <c r="O7" s="751"/>
      <c r="P7" s="751"/>
      <c r="Q7" s="751"/>
    </row>
    <row r="8" spans="1:29">
      <c r="A8" s="2246"/>
      <c r="B8" s="315" t="s">
        <v>2257</v>
      </c>
      <c r="C8" s="2269"/>
      <c r="D8" s="2243"/>
      <c r="E8" s="2243"/>
      <c r="F8" s="121"/>
      <c r="G8" s="121"/>
      <c r="H8" s="751"/>
      <c r="I8" s="751"/>
      <c r="J8" s="751"/>
      <c r="K8" s="751"/>
      <c r="L8" s="751"/>
      <c r="M8" s="751"/>
      <c r="N8" s="751"/>
      <c r="O8" s="751"/>
      <c r="P8" s="751"/>
      <c r="Q8" s="751"/>
    </row>
    <row r="9" spans="1:29">
      <c r="A9" s="2246"/>
      <c r="B9" s="315" t="s">
        <v>2259</v>
      </c>
      <c r="C9" s="2267"/>
      <c r="D9" s="2264"/>
      <c r="E9" s="2243"/>
      <c r="F9" s="121"/>
      <c r="G9" s="121"/>
      <c r="H9" s="751"/>
      <c r="I9" s="751"/>
      <c r="J9" s="751"/>
      <c r="K9" s="751"/>
      <c r="L9" s="751"/>
      <c r="M9" s="751"/>
      <c r="N9" s="751"/>
      <c r="O9" s="751"/>
      <c r="P9" s="751"/>
      <c r="Q9" s="751"/>
    </row>
    <row r="10" spans="1:29" ht="15" thickBot="1">
      <c r="A10" s="2247"/>
      <c r="B10" s="2273" t="s">
        <v>2260</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2276</v>
      </c>
      <c r="B13" s="2278"/>
      <c r="C13" s="2278"/>
      <c r="D13" s="2277"/>
      <c r="E13" s="2278"/>
      <c r="F13" s="2278"/>
      <c r="G13" s="2278"/>
    </row>
    <row r="14" spans="1:29" ht="15" thickBot="1">
      <c r="A14" s="2283"/>
      <c r="B14" s="2283"/>
      <c r="C14" s="2284" t="s">
        <v>2261</v>
      </c>
      <c r="D14" s="2264"/>
      <c r="E14" s="2285"/>
      <c r="F14" s="2285"/>
      <c r="G14" s="2260" t="s">
        <v>2262</v>
      </c>
    </row>
    <row r="15" spans="1:29" ht="24">
      <c r="A15" s="2248" t="s">
        <v>2263</v>
      </c>
      <c r="B15" s="2286" t="s">
        <v>2250</v>
      </c>
      <c r="C15" s="2287">
        <f>C3</f>
        <v>0</v>
      </c>
      <c r="D15" s="2264"/>
      <c r="E15" s="2249" t="s">
        <v>2264</v>
      </c>
      <c r="F15" s="2286" t="s">
        <v>2265</v>
      </c>
      <c r="G15" s="2288">
        <f>G3</f>
        <v>0</v>
      </c>
    </row>
    <row r="16" spans="1:29">
      <c r="A16" s="2250"/>
      <c r="B16" s="2289" t="s">
        <v>2252</v>
      </c>
      <c r="C16" s="2290">
        <f>C4</f>
        <v>0</v>
      </c>
      <c r="D16" s="2264"/>
      <c r="E16" s="2251"/>
      <c r="F16" s="2291" t="s">
        <v>2253</v>
      </c>
      <c r="G16" s="2292">
        <f>G4</f>
        <v>0</v>
      </c>
    </row>
    <row r="17" spans="1:17">
      <c r="A17" s="2250"/>
      <c r="B17" s="2289" t="s">
        <v>2254</v>
      </c>
      <c r="C17" s="2290">
        <f>C5</f>
        <v>0</v>
      </c>
      <c r="D17" s="2243"/>
      <c r="E17" s="2251"/>
      <c r="F17" s="2291" t="s">
        <v>2266</v>
      </c>
      <c r="G17" s="2293"/>
    </row>
    <row r="18" spans="1:17">
      <c r="A18" s="2250"/>
      <c r="B18" s="2291" t="s">
        <v>2256</v>
      </c>
      <c r="C18" s="2292">
        <f>C6</f>
        <v>0</v>
      </c>
      <c r="D18" s="2243"/>
      <c r="E18" s="2251"/>
      <c r="F18" s="2291" t="s">
        <v>2258</v>
      </c>
      <c r="G18" s="2292">
        <f>G7</f>
        <v>0</v>
      </c>
    </row>
    <row r="19" spans="1:17">
      <c r="A19" s="2250"/>
      <c r="B19" s="2291" t="s">
        <v>2267</v>
      </c>
      <c r="C19" s="2293"/>
      <c r="D19" s="2264"/>
      <c r="E19" s="2251"/>
      <c r="F19" s="315" t="s">
        <v>2255</v>
      </c>
      <c r="G19" s="2292">
        <f>G5</f>
        <v>0</v>
      </c>
    </row>
    <row r="20" spans="1:17">
      <c r="A20" s="2250"/>
      <c r="B20" s="2291" t="s">
        <v>2268</v>
      </c>
      <c r="C20" s="2290">
        <f>C9</f>
        <v>0</v>
      </c>
      <c r="D20" s="2243"/>
      <c r="E20" s="2251"/>
      <c r="F20" s="315" t="s">
        <v>2257</v>
      </c>
      <c r="G20" s="2292">
        <f>G6</f>
        <v>0</v>
      </c>
    </row>
    <row r="21" spans="1:17">
      <c r="A21" s="2250"/>
      <c r="B21" s="315" t="s">
        <v>2255</v>
      </c>
      <c r="C21" s="2292">
        <f>C7</f>
        <v>0</v>
      </c>
      <c r="D21" s="2264"/>
      <c r="E21" s="2251"/>
      <c r="F21" s="2291" t="s">
        <v>2269</v>
      </c>
      <c r="G21" s="2294"/>
    </row>
    <row r="22" spans="1:17" ht="13.5" customHeight="1">
      <c r="A22" s="2250"/>
      <c r="B22" s="315" t="s">
        <v>2257</v>
      </c>
      <c r="C22" s="2292">
        <f>C8</f>
        <v>0</v>
      </c>
      <c r="D22" s="2264"/>
      <c r="E22" s="2251"/>
      <c r="F22" s="2291" t="s">
        <v>2260</v>
      </c>
      <c r="G22" s="2293"/>
    </row>
    <row r="23" spans="1:17" s="751" customFormat="1" ht="15" thickBot="1">
      <c r="A23" s="2250"/>
      <c r="B23" s="2291" t="s">
        <v>2269</v>
      </c>
      <c r="C23" s="2294"/>
      <c r="D23" s="1614"/>
      <c r="E23" s="2252"/>
      <c r="F23" s="2295" t="s">
        <v>2270</v>
      </c>
      <c r="G23" s="2296"/>
      <c r="H23" s="2275"/>
      <c r="I23" s="2275"/>
      <c r="J23" s="2275"/>
      <c r="K23" s="2275"/>
      <c r="L23" s="2275"/>
      <c r="M23" s="2275"/>
      <c r="N23" s="2275"/>
      <c r="O23" s="2275"/>
      <c r="P23" s="2275"/>
      <c r="Q23" s="2275"/>
    </row>
    <row r="24" spans="1:17" s="751" customFormat="1" ht="15" thickBot="1">
      <c r="A24" s="2253"/>
      <c r="B24" s="2295" t="s">
        <v>2271</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5" zoomScaleNormal="80" zoomScaleSheetLayoutView="85" workbookViewId="0">
      <selection activeCell="D22" sqref="D22"/>
    </sheetView>
  </sheetViews>
  <sheetFormatPr defaultColWidth="9" defaultRowHeight="13.5"/>
  <cols>
    <col min="1" max="1" width="25" style="2299" customWidth="1"/>
    <col min="2" max="9" width="15.75" style="2299" customWidth="1"/>
    <col min="10" max="16384" width="9" style="2299"/>
  </cols>
  <sheetData>
    <row r="1" spans="1:11" ht="16.5">
      <c r="A1" s="2298" t="s">
        <v>663</v>
      </c>
      <c r="B1" s="2298">
        <f>SUM(B14:B23)</f>
        <v>155425.82999999999</v>
      </c>
      <c r="C1" s="2460"/>
      <c r="D1" s="2460"/>
      <c r="E1" s="2460"/>
      <c r="F1" s="2460"/>
      <c r="G1" s="2461"/>
      <c r="H1" s="2461"/>
      <c r="I1" s="2461"/>
      <c r="J1" s="2461"/>
      <c r="K1" s="2461"/>
    </row>
    <row r="2" spans="1:11" ht="16.5">
      <c r="A2" s="2298" t="s">
        <v>651</v>
      </c>
      <c r="B2" s="2298">
        <f>SUM(C14:C23)</f>
        <v>0</v>
      </c>
      <c r="C2" s="2460"/>
      <c r="D2" s="2460"/>
      <c r="E2" s="2460"/>
      <c r="F2" s="2460"/>
      <c r="G2" s="2461"/>
      <c r="H2" s="2461"/>
      <c r="I2" s="2461"/>
      <c r="J2" s="2461"/>
      <c r="K2" s="2461"/>
    </row>
    <row r="3" spans="1:11" ht="16.5">
      <c r="A3" s="2298" t="s">
        <v>660</v>
      </c>
      <c r="B3" s="2300">
        <f>项目基本情况!D3</f>
        <v>45741</v>
      </c>
      <c r="C3" s="2460"/>
      <c r="D3" s="2460"/>
      <c r="E3" s="2460"/>
      <c r="F3" s="2460"/>
      <c r="G3" s="2461"/>
      <c r="H3" s="2461"/>
      <c r="I3" s="2461"/>
      <c r="J3" s="2461"/>
      <c r="K3" s="2461"/>
    </row>
    <row r="4" spans="1:11" ht="33">
      <c r="A4" s="2298" t="s">
        <v>659</v>
      </c>
      <c r="B4" s="2298" t="s">
        <v>658</v>
      </c>
      <c r="C4" s="2298" t="s">
        <v>657</v>
      </c>
      <c r="D4" s="2298" t="s">
        <v>656</v>
      </c>
      <c r="E4" s="2460"/>
      <c r="F4" s="2461"/>
      <c r="G4" s="2461"/>
      <c r="H4" s="2461"/>
      <c r="I4" s="2461"/>
      <c r="J4" s="2461"/>
      <c r="K4" s="2461"/>
    </row>
    <row r="5" spans="1:11" ht="16.5">
      <c r="A5" s="2298" t="s">
        <v>655</v>
      </c>
      <c r="B5" s="2298">
        <f ca="1">SUM(D14:D23)</f>
        <v>361173</v>
      </c>
      <c r="C5" s="2298">
        <f ca="1">IF(B5=D14,'结果表-住宅'!H102,ROUND(B5*10000/$B$1,0))</f>
        <v>23238</v>
      </c>
      <c r="D5" s="2298" t="e">
        <f ca="1">ROUND(B5*10000/$B$2,0)</f>
        <v>#DIV/0!</v>
      </c>
      <c r="E5" s="2460"/>
      <c r="F5" s="2461"/>
      <c r="G5" s="2461"/>
      <c r="H5" s="2461"/>
      <c r="I5" s="2461"/>
      <c r="J5" s="2461"/>
      <c r="K5" s="2461"/>
    </row>
    <row r="6" spans="1:11" ht="16.5">
      <c r="A6" s="2298" t="s">
        <v>654</v>
      </c>
      <c r="B6" s="2298">
        <f ca="1">SUM(G14:G23)</f>
        <v>361173</v>
      </c>
      <c r="C6" s="2298">
        <f ca="1">IF(B6=G14,'结果表-住宅'!H108,ROUND(B6*10000/$B$1,0))</f>
        <v>23238</v>
      </c>
      <c r="D6" s="2298" t="e">
        <f ca="1">ROUND(B6*10000/$B$2,0)</f>
        <v>#DIV/0!</v>
      </c>
      <c r="E6" s="2460"/>
      <c r="F6" s="2461"/>
      <c r="G6" s="2461"/>
      <c r="H6" s="2461"/>
      <c r="I6" s="2461"/>
      <c r="J6" s="2461"/>
      <c r="K6" s="2461"/>
    </row>
    <row r="7" spans="1:11" ht="16.5">
      <c r="A7" s="2298" t="s">
        <v>662</v>
      </c>
      <c r="B7" s="2298">
        <f>SUM(H14:H23)</f>
        <v>0</v>
      </c>
      <c r="C7" s="2298" t="str">
        <f>IF(B7=H14,'结果表-住宅'!H110,ROUND(B7*10000/$B$1,0))</f>
        <v>——</v>
      </c>
      <c r="D7" s="2298" t="e">
        <f>ROUND(B7*10000/$B$2,0)</f>
        <v>#DIV/0!</v>
      </c>
      <c r="E7" s="2460"/>
      <c r="F7" s="2461"/>
      <c r="G7" s="2461"/>
      <c r="H7" s="2461"/>
      <c r="I7" s="2461"/>
      <c r="J7" s="2461"/>
      <c r="K7" s="2461"/>
    </row>
    <row r="8" spans="1:11" ht="16.5">
      <c r="A8" s="2298" t="s">
        <v>587</v>
      </c>
      <c r="B8" s="2298">
        <f>SUM(I14:I23)</f>
        <v>0</v>
      </c>
      <c r="C8" s="2298" t="str">
        <f>IF(B8=I14,'结果表-住宅'!H112,ROUND(B8*10000/$B$1,0))</f>
        <v>——</v>
      </c>
      <c r="D8" s="2298" t="e">
        <f>ROUND(B8*10000/$B$2,0)</f>
        <v>#DIV/0!</v>
      </c>
      <c r="E8" s="2460"/>
      <c r="F8" s="2461"/>
      <c r="G8" s="2461"/>
      <c r="H8" s="2461"/>
      <c r="I8" s="2461"/>
      <c r="J8" s="2461"/>
      <c r="K8" s="2461"/>
    </row>
    <row r="9" spans="1:11" ht="16.5">
      <c r="A9" s="2298" t="s">
        <v>653</v>
      </c>
      <c r="B9" s="1244"/>
      <c r="C9" s="2460"/>
      <c r="D9" s="2460"/>
      <c r="E9" s="2460"/>
      <c r="F9" s="2461"/>
      <c r="G9" s="2461"/>
      <c r="H9" s="2461"/>
      <c r="I9" s="2461"/>
      <c r="J9" s="2461"/>
      <c r="K9" s="2461"/>
    </row>
    <row r="10" spans="1:11" ht="16.5">
      <c r="A10" s="2298" t="s">
        <v>652</v>
      </c>
      <c r="B10" s="2298">
        <f>IF(E10="",0,ROUND(B1*(E10*365/G10)/10000,0))</f>
        <v>0</v>
      </c>
      <c r="C10" s="2298" t="s">
        <v>3344</v>
      </c>
      <c r="D10" s="2298" t="s">
        <v>3345</v>
      </c>
      <c r="E10" s="3135"/>
      <c r="F10" s="3139" t="s">
        <v>3346</v>
      </c>
      <c r="G10" s="3136"/>
      <c r="H10" s="2461"/>
      <c r="I10" s="2461"/>
      <c r="J10" s="2461"/>
      <c r="K10" s="2461"/>
    </row>
    <row r="11" spans="1:11" ht="16.5">
      <c r="A11" s="2298" t="s">
        <v>668</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667</v>
      </c>
      <c r="B13" s="2302" t="s">
        <v>664</v>
      </c>
      <c r="C13" s="2302" t="s">
        <v>666</v>
      </c>
      <c r="D13" s="2302" t="s">
        <v>665</v>
      </c>
      <c r="E13" s="2298" t="s">
        <v>657</v>
      </c>
      <c r="F13" s="2298" t="s">
        <v>656</v>
      </c>
      <c r="G13" s="2302" t="s">
        <v>650</v>
      </c>
      <c r="H13" s="2302" t="s">
        <v>661</v>
      </c>
      <c r="I13" s="2302" t="s">
        <v>649</v>
      </c>
      <c r="J13" s="2461"/>
      <c r="K13" s="2461"/>
    </row>
    <row r="14" spans="1:11" ht="16.5">
      <c r="A14" s="2304" t="s">
        <v>2541</v>
      </c>
      <c r="B14" s="2304">
        <f>'数据-汇总表'!F19</f>
        <v>130018.37</v>
      </c>
      <c r="C14" s="2304"/>
      <c r="D14" s="2304">
        <f ca="1">'结果表-住宅'!G19</f>
        <v>346733</v>
      </c>
      <c r="E14" s="2304">
        <f ca="1">ROUND(D14*10000/B14,0)</f>
        <v>26668</v>
      </c>
      <c r="F14" s="2304" t="e">
        <f ca="1">ROUND(D14*10000/C14,0)</f>
        <v>#DIV/0!</v>
      </c>
      <c r="G14" s="2304">
        <f ca="1">D14</f>
        <v>346733</v>
      </c>
      <c r="H14" s="2304"/>
      <c r="I14" s="2304"/>
      <c r="J14" s="2461"/>
      <c r="K14" s="2461"/>
    </row>
    <row r="15" spans="1:11" ht="16.5">
      <c r="A15" s="2304" t="s">
        <v>3426</v>
      </c>
      <c r="B15" s="2304">
        <f>'数据-汇总表'!G20</f>
        <v>25407.46</v>
      </c>
      <c r="C15" s="2304"/>
      <c r="D15" s="2304">
        <f ca="1">'结果表-车位'!G19</f>
        <v>14440</v>
      </c>
      <c r="E15" s="2304">
        <f t="shared" ref="E15:E23" ca="1" si="0">ROUND(D15*10000/B15,0)</f>
        <v>5683</v>
      </c>
      <c r="F15" s="2304" t="e">
        <f t="shared" ref="F15:F23" ca="1" si="1">ROUND(D15*10000/C15,0)</f>
        <v>#DIV/0!</v>
      </c>
      <c r="G15" s="2304">
        <f ca="1">D15</f>
        <v>14440</v>
      </c>
      <c r="H15" s="2304"/>
      <c r="I15" s="2304"/>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北京市房地产市场价值预评估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H29" sqref="H2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t="s">
        <v>3428</v>
      </c>
      <c r="D1" s="646"/>
      <c r="E1" s="646"/>
      <c r="F1" s="1621" t="s">
        <v>1261</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1262</v>
      </c>
      <c r="B3" s="3323"/>
      <c r="C3" s="3323"/>
      <c r="D3" s="3323"/>
      <c r="E3" s="3323"/>
      <c r="F3" s="3323"/>
      <c r="G3" s="3323"/>
      <c r="H3" s="3323"/>
      <c r="I3" s="3323"/>
    </row>
    <row r="4" spans="1:12" ht="14.25">
      <c r="A4" s="1624" t="s">
        <v>1263</v>
      </c>
      <c r="B4" s="1625" t="s">
        <v>1264</v>
      </c>
      <c r="C4" s="1626" t="s">
        <v>3439</v>
      </c>
      <c r="D4" s="1626" t="s">
        <v>3439</v>
      </c>
      <c r="E4" s="3327" t="s">
        <v>1265</v>
      </c>
      <c r="F4" s="3328"/>
      <c r="G4" s="3328"/>
      <c r="H4" s="3328"/>
      <c r="I4" s="3329"/>
      <c r="K4" s="138" t="str">
        <f>IF(ISNUMBER(FIND("比较法",'结果表-住宅'!C4)),"比较法",IF(ISNUMBER(FIND("成本法",'结果表-住宅'!C4)),"成本法",IF(ISNUMBER(FIND("假设开发法",'结果表-住宅'!C4)),"假设开发法",IF(ISNUMBER(FIND("收益法",'结果表-住宅'!C4)),"收益法","基准地价系数修正法"))))</f>
        <v>比较法</v>
      </c>
      <c r="L4" s="138"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66" t="s">
        <v>1266</v>
      </c>
      <c r="B5" s="3321">
        <v>25</v>
      </c>
      <c r="C5" s="3324"/>
      <c r="D5" s="3312"/>
      <c r="E5" s="123" t="s">
        <v>1267</v>
      </c>
      <c r="F5" s="1627"/>
      <c r="G5" s="1627"/>
      <c r="H5" s="1627"/>
      <c r="I5" s="1281"/>
    </row>
    <row r="6" spans="1:12" ht="12.75">
      <c r="A6" s="3266"/>
      <c r="B6" s="3321"/>
      <c r="C6" s="3326"/>
      <c r="D6" s="3312"/>
      <c r="E6" s="123" t="s">
        <v>1268</v>
      </c>
      <c r="F6" s="1627"/>
      <c r="G6" s="1627"/>
      <c r="H6" s="1627"/>
      <c r="I6" s="1281"/>
    </row>
    <row r="7" spans="1:12" ht="12.75">
      <c r="A7" s="3266"/>
      <c r="B7" s="3321"/>
      <c r="C7" s="3325"/>
      <c r="D7" s="3312"/>
      <c r="E7" s="123" t="s">
        <v>1269</v>
      </c>
      <c r="F7" s="1627"/>
      <c r="G7" s="1627"/>
      <c r="H7" s="1627"/>
      <c r="I7" s="1281"/>
    </row>
    <row r="8" spans="1:12" ht="12.75">
      <c r="A8" s="3266" t="s">
        <v>1270</v>
      </c>
      <c r="B8" s="3321">
        <v>15</v>
      </c>
      <c r="C8" s="3324"/>
      <c r="D8" s="3312"/>
      <c r="E8" s="123" t="s">
        <v>1271</v>
      </c>
      <c r="F8" s="1627"/>
      <c r="G8" s="1627"/>
      <c r="H8" s="1627"/>
      <c r="I8" s="1281"/>
    </row>
    <row r="9" spans="1:12" ht="12.75">
      <c r="A9" s="3266"/>
      <c r="B9" s="3321"/>
      <c r="C9" s="3325"/>
      <c r="D9" s="3312"/>
      <c r="E9" s="123" t="s">
        <v>1272</v>
      </c>
      <c r="F9" s="1627"/>
      <c r="G9" s="1627"/>
      <c r="H9" s="1627"/>
      <c r="I9" s="1281"/>
    </row>
    <row r="10" spans="1:12" ht="12.75">
      <c r="A10" s="3266" t="s">
        <v>1273</v>
      </c>
      <c r="B10" s="3321">
        <v>15</v>
      </c>
      <c r="C10" s="3324"/>
      <c r="D10" s="3312"/>
      <c r="E10" s="123" t="s">
        <v>1274</v>
      </c>
      <c r="F10" s="1627"/>
      <c r="G10" s="1627"/>
      <c r="H10" s="1627"/>
      <c r="I10" s="1281"/>
    </row>
    <row r="11" spans="1:12" ht="12.75">
      <c r="A11" s="3266"/>
      <c r="B11" s="3321"/>
      <c r="C11" s="3325"/>
      <c r="D11" s="3312"/>
      <c r="E11" s="123" t="s">
        <v>1275</v>
      </c>
      <c r="F11" s="1627"/>
      <c r="G11" s="1627"/>
      <c r="H11" s="1627"/>
      <c r="I11" s="1281"/>
    </row>
    <row r="12" spans="1:12" ht="12.75">
      <c r="A12" s="3266" t="s">
        <v>1276</v>
      </c>
      <c r="B12" s="3321">
        <v>15</v>
      </c>
      <c r="C12" s="3324"/>
      <c r="D12" s="3312"/>
      <c r="E12" s="123" t="s">
        <v>1277</v>
      </c>
      <c r="F12" s="1627"/>
      <c r="G12" s="1627"/>
      <c r="H12" s="1627"/>
      <c r="I12" s="1281"/>
    </row>
    <row r="13" spans="1:12" ht="12.75">
      <c r="A13" s="3266"/>
      <c r="B13" s="3321"/>
      <c r="C13" s="3325"/>
      <c r="D13" s="3312"/>
      <c r="E13" s="123" t="s">
        <v>1278</v>
      </c>
      <c r="F13" s="1627"/>
      <c r="G13" s="1627"/>
      <c r="H13" s="1627"/>
      <c r="I13" s="1281"/>
    </row>
    <row r="14" spans="1:12" ht="12.75">
      <c r="A14" s="3266" t="s">
        <v>1279</v>
      </c>
      <c r="B14" s="3321">
        <v>30</v>
      </c>
      <c r="C14" s="3324">
        <v>5</v>
      </c>
      <c r="D14" s="3312">
        <v>5</v>
      </c>
      <c r="E14" s="123" t="s">
        <v>1280</v>
      </c>
      <c r="F14" s="1627"/>
      <c r="G14" s="1627"/>
      <c r="H14" s="1627"/>
      <c r="I14" s="1281"/>
    </row>
    <row r="15" spans="1:12" ht="12.75">
      <c r="A15" s="3266"/>
      <c r="B15" s="3321"/>
      <c r="C15" s="3326"/>
      <c r="D15" s="3312"/>
      <c r="E15" s="123" t="s">
        <v>1281</v>
      </c>
      <c r="F15" s="1627"/>
      <c r="G15" s="1627"/>
      <c r="H15" s="1627"/>
      <c r="I15" s="1281"/>
    </row>
    <row r="16" spans="1:12" ht="12.75">
      <c r="A16" s="3266"/>
      <c r="B16" s="3321"/>
      <c r="C16" s="3325"/>
      <c r="D16" s="3312"/>
      <c r="E16" s="123" t="s">
        <v>1282</v>
      </c>
      <c r="F16" s="1627"/>
      <c r="G16" s="1627"/>
      <c r="H16" s="1627"/>
      <c r="I16" s="1281"/>
    </row>
    <row r="17" spans="1:36" ht="15">
      <c r="A17" s="1628" t="s">
        <v>1283</v>
      </c>
      <c r="B17" s="54"/>
      <c r="C17" s="124">
        <f>SUM(C5:C16)</f>
        <v>5</v>
      </c>
      <c r="D17" s="124">
        <f>SUM(D5:D16)</f>
        <v>5</v>
      </c>
      <c r="E17" s="121"/>
      <c r="F17" s="121"/>
      <c r="G17" s="121"/>
      <c r="H17" s="121"/>
      <c r="I17" s="121"/>
      <c r="K17" s="294"/>
      <c r="L17" s="294" t="s">
        <v>1284</v>
      </c>
      <c r="M17" s="294" t="s">
        <v>1285</v>
      </c>
    </row>
    <row r="18" spans="1:36" ht="31.9" customHeight="1" thickBot="1">
      <c r="A18" s="1629" t="s">
        <v>1286</v>
      </c>
      <c r="B18" s="1542"/>
      <c r="C18" s="125">
        <f>ROUND(C17/SUM(C17:D17),2)</f>
        <v>0.5</v>
      </c>
      <c r="D18" s="125">
        <f>1-C18</f>
        <v>0.5</v>
      </c>
      <c r="E18" s="3343" t="s">
        <v>2129</v>
      </c>
      <c r="F18" s="3344"/>
      <c r="G18" s="3344"/>
      <c r="H18" s="3344"/>
      <c r="I18" s="3344"/>
      <c r="K18" s="294" t="s">
        <v>1287</v>
      </c>
      <c r="L18" s="294">
        <f>IF(C1="",'数据-汇总表'!E3,SUMIF(项目类型,C1,'数据-汇总表'!E17:E26)+SUMIF(项目类型,C1,'数据-汇总表'!I17:I26))</f>
        <v>130018.37</v>
      </c>
      <c r="M18" s="294">
        <f>IF(C1="",'数据-汇总表'!E3,SUMIF(项目类型,C1,'数据-汇总表'!E17:E26))</f>
        <v>130018.37</v>
      </c>
    </row>
    <row r="19" spans="1:36" ht="15">
      <c r="A19" s="1630" t="s">
        <v>1288</v>
      </c>
      <c r="B19" s="1631" t="s">
        <v>1289</v>
      </c>
      <c r="C19" s="126">
        <f ca="1">SUMIF(INDIRECT("'"&amp;C4&amp;"'"&amp;"!A:A"),'结果表-住宅'!B19,INDIRECT("'"&amp;C4&amp;"'"&amp;"!B:B"))</f>
        <v>346733</v>
      </c>
      <c r="D19" s="127">
        <f ca="1">SUMIF(INDIRECT("'"&amp;D4&amp;"'"&amp;"!A:A"),'结果表-住宅'!B19,INDIRECT("'"&amp;D4&amp;"'"&amp;"!B:B"))</f>
        <v>346733</v>
      </c>
      <c r="E19" s="1630" t="s">
        <v>1290</v>
      </c>
      <c r="F19" s="1631" t="s">
        <v>1289</v>
      </c>
      <c r="G19" s="128">
        <f ca="1">ROUND(C19*$C$18+D19*$D$18,0)</f>
        <v>346733</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SUMIF(INDIRECT("'"&amp;C4&amp;"'"&amp;"!A:A"),'结果表-住宅'!B20,INDIRECT("'"&amp;C4&amp;"'"&amp;"!B:B"))</f>
        <v>26668</v>
      </c>
      <c r="D20" s="130">
        <f ca="1">SUMIF(INDIRECT("'"&amp;D4&amp;"'"&amp;"!A:A"),'结果表-住宅'!B20,INDIRECT("'"&amp;D4&amp;"'"&amp;"!B:B"))</f>
        <v>26668</v>
      </c>
      <c r="E20" s="1633"/>
      <c r="F20" s="43" t="s">
        <v>1293</v>
      </c>
      <c r="G20" s="131">
        <f ca="1">ROUND(C20*$C$18+D20*$D$18,0)</f>
        <v>26668</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336" t="s">
        <v>1297</v>
      </c>
      <c r="B24" s="1631" t="s">
        <v>1289</v>
      </c>
      <c r="C24" s="128">
        <f>IF(B30=0,0,D30)</f>
        <v>0</v>
      </c>
      <c r="D24" s="1637"/>
      <c r="E24" s="121"/>
      <c r="F24" s="121"/>
      <c r="G24" s="121"/>
      <c r="H24" s="121"/>
      <c r="I24" s="121"/>
    </row>
    <row r="25" spans="1:36" ht="14.25">
      <c r="A25" s="333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5" t="s">
        <v>2130</v>
      </c>
      <c r="F30" s="121"/>
      <c r="G30" s="121"/>
      <c r="H30" s="121"/>
      <c r="I30" s="121"/>
    </row>
    <row r="31" spans="1:36" s="2131" customFormat="1" ht="26.45" customHeight="1" thickTop="1" thickBot="1">
      <c r="A31" s="2126"/>
      <c r="B31" s="2127"/>
      <c r="C31" s="2127"/>
      <c r="D31" s="2127"/>
      <c r="E31" s="2127"/>
      <c r="F31" s="2127"/>
      <c r="G31" s="2127"/>
      <c r="H31" s="2127"/>
      <c r="I31" s="2128" t="s">
        <v>2131</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1303</v>
      </c>
      <c r="B32" s="1535"/>
      <c r="C32" s="136">
        <f ca="1">IF(D32="总价",G19-C24,G20-C25)</f>
        <v>346733</v>
      </c>
      <c r="D32" s="1641" t="s">
        <v>3466</v>
      </c>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13" t="s">
        <v>1310</v>
      </c>
      <c r="B36" s="1652" t="s">
        <v>1311</v>
      </c>
      <c r="C36" s="137"/>
      <c r="D36" s="1653"/>
      <c r="E36" s="1567"/>
      <c r="F36" s="1654"/>
      <c r="G36" s="121"/>
      <c r="H36" s="121"/>
      <c r="I36" s="121"/>
    </row>
    <row r="37" spans="1:15" ht="15.75" thickBot="1">
      <c r="A37" s="3314"/>
      <c r="B37" s="1555" t="s">
        <v>1312</v>
      </c>
      <c r="C37" s="139"/>
      <c r="D37" s="1071"/>
      <c r="E37" s="1071"/>
      <c r="F37" s="1654"/>
      <c r="G37" s="121"/>
      <c r="H37" s="121"/>
      <c r="I37" s="121"/>
    </row>
    <row r="38" spans="1:15" ht="15.75" thickBot="1">
      <c r="A38" s="3315"/>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33" t="s">
        <v>1324</v>
      </c>
      <c r="B45" s="3334"/>
      <c r="C45" s="3335"/>
      <c r="D45" s="147">
        <f ca="1">ROUND(H101*F45,0)</f>
        <v>346733</v>
      </c>
      <c r="E45" s="148" t="s">
        <v>1325</v>
      </c>
      <c r="F45" s="149">
        <v>1</v>
      </c>
      <c r="G45" s="150" t="s">
        <v>1326</v>
      </c>
      <c r="H45" s="121"/>
      <c r="I45" s="121"/>
      <c r="J45" s="3253" t="s">
        <v>1327</v>
      </c>
      <c r="K45" s="3253"/>
      <c r="L45" s="3253"/>
      <c r="M45" s="3253"/>
      <c r="N45" s="3253"/>
      <c r="O45" s="3253"/>
    </row>
    <row r="46" spans="1:15" ht="14.25" customHeight="1">
      <c r="A46" s="3330" t="s">
        <v>1328</v>
      </c>
      <c r="B46" s="3331"/>
      <c r="C46" s="3331"/>
      <c r="D46" s="3331"/>
      <c r="E46" s="3331"/>
      <c r="F46" s="3331"/>
      <c r="G46" s="3332"/>
      <c r="H46" s="1668"/>
      <c r="I46" s="151"/>
      <c r="J46" s="2308">
        <v>1</v>
      </c>
      <c r="K46" s="3254" t="s">
        <v>1329</v>
      </c>
      <c r="L46" s="3254"/>
      <c r="M46" s="3255"/>
      <c r="N46" s="3255"/>
      <c r="O46" s="3255"/>
    </row>
    <row r="47" spans="1:15" ht="12" customHeight="1">
      <c r="A47" s="152" t="s">
        <v>1330</v>
      </c>
      <c r="B47" s="153"/>
      <c r="C47" s="154"/>
      <c r="D47" s="1024" t="s">
        <v>1331</v>
      </c>
      <c r="E47" s="294" t="s">
        <v>1332</v>
      </c>
      <c r="F47" s="155" t="s">
        <v>1333</v>
      </c>
      <c r="G47" s="2331" t="s">
        <v>1334</v>
      </c>
      <c r="H47" s="2332"/>
      <c r="I47" s="151"/>
      <c r="J47" s="2308">
        <v>2</v>
      </c>
      <c r="K47" s="3254" t="s">
        <v>1335</v>
      </c>
      <c r="L47" s="3254"/>
      <c r="M47" s="3256">
        <f>'数据-取费表'!B2</f>
        <v>45741</v>
      </c>
      <c r="N47" s="3256"/>
      <c r="O47" s="3256"/>
    </row>
    <row r="48" spans="1:15" ht="25.5">
      <c r="A48" s="3316" t="s">
        <v>1336</v>
      </c>
      <c r="B48" s="3317"/>
      <c r="C48" s="331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1337</v>
      </c>
      <c r="H48" s="2335"/>
      <c r="I48" s="1668"/>
      <c r="J48" s="2308">
        <v>3</v>
      </c>
      <c r="K48" s="3254" t="s">
        <v>1338</v>
      </c>
      <c r="L48" s="3254"/>
      <c r="M48" s="3257">
        <f ca="1">H101</f>
        <v>346733</v>
      </c>
      <c r="N48" s="3257"/>
      <c r="O48" s="3257"/>
    </row>
    <row r="49" spans="1:35" ht="25.5" customHeight="1">
      <c r="A49" s="2150" t="s">
        <v>1339</v>
      </c>
      <c r="B49" s="3302" t="s">
        <v>1340</v>
      </c>
      <c r="C49" s="3302"/>
      <c r="D49" s="1478">
        <v>0</v>
      </c>
      <c r="E49" s="316" t="s">
        <v>1341</v>
      </c>
      <c r="F49" s="2231" t="s">
        <v>28</v>
      </c>
      <c r="G49" s="3285"/>
      <c r="H49" s="2132" t="s">
        <v>2132</v>
      </c>
      <c r="I49" s="2133"/>
      <c r="J49" s="2308">
        <v>4</v>
      </c>
      <c r="K49" s="3254" t="str">
        <f>IF(项目基本情况!E8="房地产抵押价值","房地产抵押价值","抵押担保权已注销时的房地产抵押价值")</f>
        <v>房地产抵押价值</v>
      </c>
      <c r="L49" s="3254"/>
      <c r="M49" s="3257">
        <f ca="1">IF(项目基本情况!E8="房地产抵押价值",H107,H109)</f>
        <v>346733</v>
      </c>
      <c r="N49" s="3257"/>
      <c r="O49" s="3257"/>
    </row>
    <row r="50" spans="1:35" ht="25.5" customHeight="1">
      <c r="A50" s="2336"/>
      <c r="B50" s="3302" t="s">
        <v>1342</v>
      </c>
      <c r="C50" s="3302"/>
      <c r="D50" s="2187"/>
      <c r="E50" s="323"/>
      <c r="F50" s="2231"/>
      <c r="G50" s="3286"/>
      <c r="H50" s="2134" t="s">
        <v>2133</v>
      </c>
      <c r="I50" s="2133"/>
      <c r="J50" s="3253" t="s">
        <v>1343</v>
      </c>
      <c r="K50" s="3253"/>
      <c r="L50" s="3253"/>
      <c r="M50" s="3253"/>
      <c r="N50" s="3253"/>
      <c r="O50" s="3253"/>
    </row>
    <row r="51" spans="1:35" ht="20.45" customHeight="1">
      <c r="A51" s="2337"/>
      <c r="B51" s="3302" t="s">
        <v>1344</v>
      </c>
      <c r="C51" s="3302"/>
      <c r="D51" s="1024"/>
      <c r="E51" s="319"/>
      <c r="F51" s="2231"/>
      <c r="G51" s="3287"/>
      <c r="H51" s="2134" t="s">
        <v>2134</v>
      </c>
      <c r="I51" s="2133"/>
      <c r="J51" s="2309" t="s">
        <v>1345</v>
      </c>
      <c r="K51" s="3254" t="s">
        <v>1346</v>
      </c>
      <c r="L51" s="3254"/>
      <c r="M51" s="2309" t="s">
        <v>1347</v>
      </c>
      <c r="N51" s="2309" t="s">
        <v>1348</v>
      </c>
      <c r="O51" s="2309" t="s">
        <v>1349</v>
      </c>
    </row>
    <row r="52" spans="1:35" ht="24" customHeight="1">
      <c r="A52" s="2151" t="s">
        <v>1350</v>
      </c>
      <c r="B52" s="3302" t="s">
        <v>1351</v>
      </c>
      <c r="C52" s="3302"/>
      <c r="D52" s="1024">
        <f ca="1">ROUND(D45*'数据-取费表'!B41/(1+'数据-取费表'!C42),0)</f>
        <v>18492</v>
      </c>
      <c r="E52" s="1256" t="s">
        <v>1352</v>
      </c>
      <c r="F52" s="2338">
        <f>'数据-取费表'!B41</f>
        <v>5.6000000000000001E-2</v>
      </c>
      <c r="G52" s="2339"/>
      <c r="H52" s="2329"/>
      <c r="I52" s="1669"/>
      <c r="J52" s="2308">
        <v>1</v>
      </c>
      <c r="K52" s="3279" t="s">
        <v>1353</v>
      </c>
      <c r="L52" s="3279"/>
      <c r="M52" s="2310" t="b">
        <f>D48</f>
        <v>0</v>
      </c>
      <c r="N52" s="2308" t="str">
        <f>E48</f>
        <v>销售额×税（费）率</v>
      </c>
      <c r="O52" s="2311">
        <f>F48</f>
        <v>5.6000000000000001E-2</v>
      </c>
    </row>
    <row r="53" spans="1:35" ht="12" customHeight="1">
      <c r="A53" s="2151" t="s">
        <v>1354</v>
      </c>
      <c r="B53" s="3303" t="s">
        <v>2280</v>
      </c>
      <c r="C53" s="3304"/>
      <c r="D53" s="1024">
        <f ca="1">ROUND(D45*'数据-取费表'!B41/(1+'数据-取费表'!C42),0)</f>
        <v>18492</v>
      </c>
      <c r="E53" s="1256" t="s">
        <v>1352</v>
      </c>
      <c r="F53" s="2338">
        <f>'数据-取费表'!B41</f>
        <v>5.6000000000000001E-2</v>
      </c>
      <c r="G53" s="2339"/>
      <c r="H53" s="2329"/>
      <c r="I53" s="1669"/>
      <c r="J53" s="2308">
        <v>2</v>
      </c>
      <c r="K53" s="3279" t="s">
        <v>1355</v>
      </c>
      <c r="L53" s="3279"/>
      <c r="M53" s="2310">
        <f t="shared" ref="M53:O54" ca="1" si="0">D55</f>
        <v>173</v>
      </c>
      <c r="N53" s="2308" t="str">
        <f t="shared" si="0"/>
        <v>销售额×税（费）率</v>
      </c>
      <c r="O53" s="2311" t="str">
        <f t="shared" si="0"/>
        <v>免征</v>
      </c>
    </row>
    <row r="54" spans="1:35" ht="12" customHeight="1">
      <c r="A54" s="2151" t="s">
        <v>1356</v>
      </c>
      <c r="B54" s="3303" t="s">
        <v>2281</v>
      </c>
      <c r="C54" s="3304"/>
      <c r="D54" s="1024">
        <f ca="1">C68</f>
        <v>18492</v>
      </c>
      <c r="E54" s="319" t="s">
        <v>1357</v>
      </c>
      <c r="F54" s="2338">
        <f>'数据-取费表'!B41</f>
        <v>5.6000000000000001E-2</v>
      </c>
      <c r="G54" s="2339"/>
      <c r="H54" s="2340"/>
      <c r="I54" s="1669"/>
      <c r="J54" s="2308">
        <v>3</v>
      </c>
      <c r="K54" s="3279" t="s">
        <v>1358</v>
      </c>
      <c r="L54" s="3279"/>
      <c r="M54" s="2310">
        <f t="shared" ca="1" si="0"/>
        <v>196251</v>
      </c>
      <c r="N54" s="2308" t="str">
        <f t="shared" si="0"/>
        <v>增值额×税（费）率</v>
      </c>
      <c r="O54" s="2312" t="str">
        <f t="shared" si="0"/>
        <v>免征</v>
      </c>
    </row>
    <row r="55" spans="1:35" ht="24" customHeight="1">
      <c r="A55" s="3339" t="s">
        <v>1359</v>
      </c>
      <c r="B55" s="3317"/>
      <c r="C55" s="3317"/>
      <c r="D55" s="12">
        <f ca="1">IF(H55="个人住宅",0,ROUND(D45*I55,0))</f>
        <v>173</v>
      </c>
      <c r="E55" s="1256" t="s">
        <v>1360</v>
      </c>
      <c r="F55" s="2338" t="str">
        <f>IF(H55="正常",I55,"免征")</f>
        <v>免征</v>
      </c>
      <c r="G55" s="2339"/>
      <c r="H55" s="2335"/>
      <c r="I55" s="157">
        <f>'数据-取费表'!B49</f>
        <v>5.0000000000000001E-4</v>
      </c>
      <c r="J55" s="2308">
        <f>IF(H59="非个人房产","",4)</f>
        <v>4</v>
      </c>
      <c r="K55" s="3279" t="str">
        <f>IF(H59="非个人房产","——","个人所得税")</f>
        <v>个人所得税</v>
      </c>
      <c r="L55" s="3279"/>
      <c r="M55" s="2313">
        <f ca="1">D59</f>
        <v>3302</v>
      </c>
      <c r="N55" s="1881" t="str">
        <f>E59</f>
        <v>差额计税</v>
      </c>
      <c r="O55" s="2314">
        <f>F59</f>
        <v>0.01</v>
      </c>
    </row>
    <row r="56" spans="1:35" ht="24.75">
      <c r="A56" s="3339" t="s">
        <v>1361</v>
      </c>
      <c r="B56" s="3317"/>
      <c r="C56" s="3317"/>
      <c r="D56" s="12">
        <f ca="1">IF(H56="个人住宅",D57,D58)</f>
        <v>196251</v>
      </c>
      <c r="E56" s="1256" t="s">
        <v>1362</v>
      </c>
      <c r="F56" s="2338" t="str">
        <f>IF(H56="正常",F58,"免征")</f>
        <v>免征</v>
      </c>
      <c r="G56" s="2341" t="s">
        <v>1363</v>
      </c>
      <c r="H56" s="2342"/>
      <c r="I56" s="1670"/>
      <c r="J56" s="2308" t="str">
        <f>IF(项目基本情况!K6="上海银行",IF(J55="",4,J55+1),"")</f>
        <v/>
      </c>
      <c r="K56" s="3260" t="str">
        <f>IF(项目基本情况!K6="上海银行","其他处置费用","")</f>
        <v/>
      </c>
      <c r="L56" s="3261"/>
      <c r="M56" s="2310" t="str">
        <f>IF(项目基本情况!K6="上海银行",M69,"")</f>
        <v/>
      </c>
      <c r="N56" s="3260" t="str">
        <f>IF(项目基本情况!K6="上海银行","包含处置中涉及的律师、诉讼、拍卖、评估等费用","")</f>
        <v/>
      </c>
      <c r="O56" s="3263"/>
    </row>
    <row r="57" spans="1:35" ht="12.75">
      <c r="A57" s="2151" t="s">
        <v>1339</v>
      </c>
      <c r="B57" s="3303" t="s">
        <v>1364</v>
      </c>
      <c r="C57" s="3304"/>
      <c r="D57" s="1478">
        <v>0</v>
      </c>
      <c r="E57" s="316" t="s">
        <v>1341</v>
      </c>
      <c r="F57" s="294"/>
      <c r="G57" s="2339"/>
      <c r="H57" s="2343"/>
      <c r="I57" s="1670"/>
      <c r="J57" s="3279">
        <f>IF(AND(J55="",J56=""),4,IF(项目基本情况!K6="上海银行",'结果表-住宅'!J56+1,'结果表-住宅'!J55+1))</f>
        <v>5</v>
      </c>
      <c r="K57" s="3279" t="s">
        <v>1365</v>
      </c>
      <c r="L57" s="2315" t="s">
        <v>1366</v>
      </c>
      <c r="M57" s="2316"/>
      <c r="N57" s="2317">
        <f ca="1">SUMIF(M52:M56,"&lt;9e307")</f>
        <v>199726</v>
      </c>
      <c r="O57" s="2318"/>
      <c r="P57" s="2463">
        <f ca="1">N57/M49</f>
        <v>0.57602247262302697</v>
      </c>
    </row>
    <row r="58" spans="1:35" ht="24.75">
      <c r="A58" s="2151" t="s">
        <v>1350</v>
      </c>
      <c r="B58" s="3303" t="s">
        <v>1367</v>
      </c>
      <c r="C58" s="3302"/>
      <c r="D58" s="12">
        <f ca="1">IF(H58="转让取得",C81,C97)</f>
        <v>196251</v>
      </c>
      <c r="E58" s="1256" t="s">
        <v>1362</v>
      </c>
      <c r="F58" s="294" t="s">
        <v>28</v>
      </c>
      <c r="G58" s="2339"/>
      <c r="H58" s="2342"/>
      <c r="I58" s="1670"/>
      <c r="J58" s="3279"/>
      <c r="K58" s="3279"/>
      <c r="L58" s="2315" t="s">
        <v>1368</v>
      </c>
      <c r="M58" s="2319"/>
      <c r="N58" s="2320" t="str">
        <f ca="1">NUMBERSTRING(INT(N57*10000),2)&amp;"元整"</f>
        <v>壹拾玖亿玖仟柒佰贰拾陆万元整</v>
      </c>
      <c r="O58" s="2321"/>
    </row>
    <row r="59" spans="1:35" ht="24.75" thickBot="1">
      <c r="A59" s="3283" t="s">
        <v>1369</v>
      </c>
      <c r="B59" s="3284"/>
      <c r="C59" s="3284"/>
      <c r="D59" s="2344">
        <f ca="1">IF(H59="非个人房产","——",IF(H59="个人住宅（满五唯一有凭证）",0,IF(H59="个人其他（无凭证）",ROUND(D45*F59,0),ROUND(C67*F59,0))))</f>
        <v>3302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1363</v>
      </c>
      <c r="H59" s="2136"/>
      <c r="I59" s="2135" t="s">
        <v>2135</v>
      </c>
      <c r="J59" s="3281">
        <f>J57+1</f>
        <v>6</v>
      </c>
      <c r="K59" s="3279" t="s">
        <v>1370</v>
      </c>
      <c r="L59" s="2308" t="s">
        <v>1366</v>
      </c>
      <c r="M59" s="2322"/>
      <c r="N59" s="2323">
        <f ca="1">M49-N57</f>
        <v>147007</v>
      </c>
      <c r="O59" s="2324"/>
    </row>
    <row r="60" spans="1:35" ht="12" customHeight="1">
      <c r="A60" s="1671"/>
      <c r="B60" s="646"/>
      <c r="C60" s="646"/>
      <c r="D60" s="646"/>
      <c r="E60" s="1466"/>
      <c r="F60" s="1670"/>
      <c r="G60" s="1670"/>
      <c r="H60" s="151"/>
      <c r="I60" s="121"/>
      <c r="J60" s="3282"/>
      <c r="K60" s="3279"/>
      <c r="L60" s="2315" t="s">
        <v>1368</v>
      </c>
      <c r="M60" s="2319"/>
      <c r="N60" s="2320" t="str">
        <f ca="1">NUMBERSTRING(INT(N59*10000),2)&amp;"元整"</f>
        <v>壹拾肆亿柒仟零柒万元整</v>
      </c>
      <c r="O60" s="2321"/>
    </row>
    <row r="61" spans="1:35" ht="13.5" thickBot="1">
      <c r="A61" s="3338" t="s">
        <v>1371</v>
      </c>
      <c r="B61" s="3338"/>
      <c r="C61" s="3338"/>
      <c r="D61" s="3338"/>
      <c r="E61" s="3338"/>
      <c r="F61" s="1670"/>
      <c r="G61" s="1670"/>
      <c r="H61" s="151"/>
      <c r="I61" s="121"/>
      <c r="J61" s="2308">
        <f>J59+1</f>
        <v>7</v>
      </c>
      <c r="K61" s="3279" t="s">
        <v>1372</v>
      </c>
      <c r="L61" s="3279"/>
      <c r="M61" s="2325"/>
      <c r="N61" s="2326">
        <f ca="1">ROUND(N59*10000/'数据-汇总表'!E3,0)</f>
        <v>9458</v>
      </c>
      <c r="O61" s="2327"/>
    </row>
    <row r="62" spans="1:35" ht="12.75">
      <c r="A62" s="3298" t="s">
        <v>1373</v>
      </c>
      <c r="B62" s="3299"/>
      <c r="C62" s="1863"/>
      <c r="D62" s="1863" t="s">
        <v>1374</v>
      </c>
      <c r="E62" s="158" t="s">
        <v>1375</v>
      </c>
      <c r="F62" s="1670"/>
      <c r="G62" s="1670"/>
      <c r="H62" s="151"/>
      <c r="I62" s="121"/>
    </row>
    <row r="63" spans="1:35" ht="12.75">
      <c r="A63" s="165" t="s">
        <v>330</v>
      </c>
      <c r="B63" s="159" t="s">
        <v>1376</v>
      </c>
      <c r="C63" s="2348">
        <f ca="1">ROUND((C64+C65)/(1+'数据-取费表'!C42),0)</f>
        <v>330222</v>
      </c>
      <c r="D63" s="159"/>
      <c r="E63" s="160"/>
      <c r="F63" s="1670"/>
      <c r="G63" s="1670"/>
      <c r="H63" s="151"/>
      <c r="I63" s="121"/>
      <c r="J63" s="3262" t="s">
        <v>1377</v>
      </c>
      <c r="K63" s="1245" t="s">
        <v>1378</v>
      </c>
      <c r="L63" s="1245">
        <f ca="1">IF(M49&gt;10000,M49*0.5%,IF(AND(M49&gt;1000,M49&lt;=10000),M49*1%,IF(AND(M49&gt;100,M49&lt;=1000),M49*3%,IF(AND(M49&gt;10,M49&lt;=100),M49*5%,M49*8%))))</f>
        <v>1733.665</v>
      </c>
      <c r="M63" s="294">
        <f ca="1">ROUND(L63,1)</f>
        <v>1733.7</v>
      </c>
      <c r="N63" s="2328"/>
      <c r="Z63" s="1623"/>
      <c r="AI63" s="1561"/>
    </row>
    <row r="64" spans="1:35" ht="14.25" customHeight="1">
      <c r="A64" s="161" t="s">
        <v>325</v>
      </c>
      <c r="B64" s="162" t="s">
        <v>1379</v>
      </c>
      <c r="C64" s="2349">
        <f ca="1">D45</f>
        <v>346733</v>
      </c>
      <c r="D64" s="162" t="s">
        <v>26</v>
      </c>
      <c r="E64" s="164"/>
      <c r="F64" s="1670"/>
      <c r="G64" s="1670"/>
      <c r="H64" s="151"/>
      <c r="I64" s="121"/>
      <c r="J64" s="3262"/>
      <c r="K64" s="1245" t="s">
        <v>1380</v>
      </c>
      <c r="L64" s="1245">
        <f ca="1">IF(M49&gt;2000,M49*0.5%,IF(AND(M49&gt;1000,M49&lt;=2000),M49*0.6%,IF(AND(M49&gt;500,M49&lt;=1000),M49*0.7%,IF(AND(M49&gt;200,M49&lt;=500),M49*0.8%,IF(AND(M49&gt;100,M49&lt;=200),M49*0.9%,IF(AND(M49&gt;50,M49&lt;=100),M49*1%,IF(AND(M49&gt;20,M49&lt;=50),M49*1.5%,IF(AND(M49&gt;10,M49&lt;=20),M49*2%,IF(AND(M49&gt;1,M49&lt;=10),M49*2.5%)))))))))</f>
        <v>1733.665</v>
      </c>
      <c r="M64" s="294">
        <f t="shared" ref="M64:M65" ca="1" si="1">ROUND(L64,1)</f>
        <v>1733.7</v>
      </c>
      <c r="N64" s="2329" t="s">
        <v>1381</v>
      </c>
      <c r="Z64" s="1623"/>
      <c r="AI64" s="1561"/>
    </row>
    <row r="65" spans="1:35" ht="14.25" customHeight="1">
      <c r="A65" s="161" t="s">
        <v>326</v>
      </c>
      <c r="B65" s="162" t="s">
        <v>1382</v>
      </c>
      <c r="C65" s="2350"/>
      <c r="D65" s="162"/>
      <c r="E65" s="164"/>
      <c r="F65" s="1670"/>
      <c r="G65" s="1670"/>
      <c r="H65" s="151"/>
      <c r="I65" s="121"/>
      <c r="J65" s="3262"/>
      <c r="K65" s="1245" t="s">
        <v>1383</v>
      </c>
      <c r="L65" s="1245">
        <f ca="1">IF(M49&gt;1000,M49*0.1%,IF(AND(M49&gt;500,M49&lt;=1000),M49*0.5%,IF(AND(M49&gt;50,M49&lt;=500),M49*1%,IF(AND(M49&gt;1,M49&lt;=50),M49*1.5%))))</f>
        <v>346.733</v>
      </c>
      <c r="M65" s="294">
        <f t="shared" ca="1" si="1"/>
        <v>346.7</v>
      </c>
      <c r="N65" s="2329" t="s">
        <v>1381</v>
      </c>
      <c r="Z65" s="1623"/>
      <c r="AI65" s="1561"/>
    </row>
    <row r="66" spans="1:35" ht="14.25" customHeight="1">
      <c r="A66" s="165" t="s">
        <v>327</v>
      </c>
      <c r="B66" s="166" t="s">
        <v>1384</v>
      </c>
      <c r="C66" s="2351"/>
      <c r="D66" s="166" t="s">
        <v>26</v>
      </c>
      <c r="E66" s="1251" t="s">
        <v>669</v>
      </c>
      <c r="F66" s="1670"/>
      <c r="G66" s="1670"/>
      <c r="H66" s="151"/>
      <c r="I66" s="121"/>
      <c r="J66" s="3262"/>
      <c r="K66" s="1245" t="s">
        <v>1385</v>
      </c>
      <c r="L66" s="1245">
        <f ca="1">M49*0.5%</f>
        <v>1733.665</v>
      </c>
      <c r="M66" s="294">
        <f ca="1">IF(L66&gt;0.5,0.5,ROUND(L66,0))</f>
        <v>0.5</v>
      </c>
      <c r="N66" s="2329" t="s">
        <v>1386</v>
      </c>
      <c r="Z66" s="1623"/>
      <c r="AI66" s="1561"/>
    </row>
    <row r="67" spans="1:35" ht="14.25" customHeight="1">
      <c r="A67" s="165" t="s">
        <v>328</v>
      </c>
      <c r="B67" s="166" t="s">
        <v>1387</v>
      </c>
      <c r="C67" s="2352">
        <f ca="1">C63-C66</f>
        <v>330222</v>
      </c>
      <c r="D67" s="162" t="s">
        <v>26</v>
      </c>
      <c r="E67" s="164"/>
      <c r="F67" s="1670"/>
      <c r="G67" s="1670"/>
      <c r="H67" s="151"/>
      <c r="I67" s="121"/>
      <c r="J67" s="3262"/>
      <c r="K67" s="1245" t="s">
        <v>1388</v>
      </c>
      <c r="L67" s="1245">
        <f ca="1">IF(M49&gt;=10000,(8.25+(M49-10000)*0.01%),IF(AND(M49&gt;=8000,M49&lt;10000),(7.85+(M49-8000)*0.02%),IF(AND(M49&gt;=5000,M49&lt;8000),(6.65+(M49-5000)*0.04%),IF(AND(M49&gt;=2000,M49&lt;5000),(4.25+(PM49-2000)*0.08%),IF(AND(M49&gt;=1000,M49&lt;2000),(2.75+(M49-1000)*0.15%),IF(AND(M49&gt;=100,M49&lt;1000),(0.5+(M49-100)*0.25%),IF(AND(M49&gt;0,M49&lt;100),M49*0.5%)))))))</f>
        <v>41.923300000000005</v>
      </c>
      <c r="M67" s="294">
        <f ca="1">ROUND(L67*0.9,1)</f>
        <v>37.700000000000003</v>
      </c>
      <c r="N67" s="2328"/>
      <c r="Z67" s="1623"/>
      <c r="AI67" s="1561"/>
    </row>
    <row r="68" spans="1:35" ht="14.25" customHeight="1" thickBot="1">
      <c r="A68" s="168" t="s">
        <v>329</v>
      </c>
      <c r="B68" s="169" t="s">
        <v>1389</v>
      </c>
      <c r="C68" s="2353">
        <f ca="1">IF(C67&lt;=0,0,ROUND(C67*D68,0))</f>
        <v>18492</v>
      </c>
      <c r="D68" s="2354">
        <f>'数据-取费表'!B41</f>
        <v>5.6000000000000001E-2</v>
      </c>
      <c r="E68" s="170"/>
      <c r="F68" s="1670"/>
      <c r="G68" s="1670"/>
      <c r="H68" s="151"/>
      <c r="I68" s="121"/>
      <c r="J68" s="3262"/>
      <c r="K68" s="1245" t="s">
        <v>1390</v>
      </c>
      <c r="L68" s="1245">
        <f ca="1">IF(M49&gt;10000,M49*0.5%,IF(AND(M49&gt;5000,M49&lt;=10000),M49*1%,IF(AND(M49&gt;1000,M49&lt;=5000),M49*2%,IF(AND(M49&gt;200,M49&lt;=1000),M49*3%,M49*5%))))</f>
        <v>1733.665</v>
      </c>
      <c r="M68" s="294">
        <f ca="1">ROUND(L68,1)</f>
        <v>1733.7</v>
      </c>
      <c r="N68" s="2328"/>
      <c r="Z68" s="1623"/>
      <c r="AI68" s="1561"/>
    </row>
    <row r="69" spans="1:35" ht="16.5" customHeight="1">
      <c r="A69" s="1672"/>
      <c r="B69" s="1673"/>
      <c r="C69" s="1674"/>
      <c r="D69" s="1675"/>
      <c r="E69" s="1676"/>
      <c r="F69" s="1466"/>
      <c r="G69" s="1466"/>
      <c r="H69" s="1467"/>
      <c r="I69" s="646"/>
      <c r="J69" s="3262"/>
      <c r="K69" s="1245" t="s">
        <v>1391</v>
      </c>
      <c r="L69" s="1245"/>
      <c r="M69" s="294">
        <f ca="1">ROUND(SUM(M63:M68),0)</f>
        <v>5586</v>
      </c>
      <c r="N69" s="2330">
        <f ca="1">M69/M49</f>
        <v>1.6110378879425957E-2</v>
      </c>
      <c r="Z69" s="1623"/>
      <c r="AI69" s="1561"/>
    </row>
    <row r="70" spans="1:35" s="642" customFormat="1" ht="15" thickBot="1">
      <c r="A70" s="3306" t="s">
        <v>1392</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1373</v>
      </c>
      <c r="B71" s="3299"/>
      <c r="C71" s="1863"/>
      <c r="D71" s="1863"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2">
        <f ca="1">ROUND(D45/(1+'数据-取费表'!C42),0)</f>
        <v>330222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2">
        <f ca="1">C74+C78</f>
        <v>1981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5"/>
      <c r="D75" s="162" t="s">
        <v>26</v>
      </c>
      <c r="E75" s="176" t="s">
        <v>1397</v>
      </c>
      <c r="F75" s="2356"/>
      <c r="G75" s="176" t="s">
        <v>1398</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8">
        <v>0.05</v>
      </c>
      <c r="E76" s="3303" t="s">
        <v>1400</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59">
        <f>'数据-取费表'!B48+'数据-取费表'!B49</f>
        <v>3.0499999999999999E-2</v>
      </c>
      <c r="E77" s="12" t="s">
        <v>1402</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0">
        <f ca="1">ROUND(D45*D78/(1+'数据-取费表'!C42),0)</f>
        <v>1981</v>
      </c>
      <c r="D78" s="2361">
        <f>'数据-取费表'!B43</f>
        <v>6.000000000000001E-3</v>
      </c>
      <c r="E78" s="3295" t="s">
        <v>1404</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2">
        <f ca="1">C72-C73</f>
        <v>328241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2">
        <f ca="1">IF(C79&lt;=0,0,C79/C73)</f>
        <v>165.69459868753154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3">
        <f ca="1">ROUND(IF(C79&lt;=0,0,IF(C80&gt;=200%,C79*60%-C73*35%,IF(C80&gt;=100%,C79*50%-C73*15%,IF(C80&gt;=50%,C79*40%-C73*5%,IF(C80&lt;50%,C79*30%,0))))),0)</f>
        <v>196251</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1408</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1373</v>
      </c>
      <c r="B84" s="3299"/>
      <c r="C84" s="1863"/>
      <c r="D84" s="1863"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2">
        <f ca="1">ROUND(D45/(1+'数据-取费表'!C42),0)</f>
        <v>330222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2">
        <f ca="1">IF(H88="仅含出让金",C87+C90+C91+C92+C93+C94,C87+C91+C92+C93+C94)</f>
        <v>1981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6"/>
      <c r="D88" s="2361"/>
      <c r="E88" s="185" t="s">
        <v>1411</v>
      </c>
      <c r="F88" s="2146"/>
      <c r="G88" s="186" t="s">
        <v>1412</v>
      </c>
      <c r="H88" s="1684"/>
      <c r="I88" s="1681"/>
      <c r="J88" s="2306"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0">
        <f>ROUND(C88*D89,0)</f>
        <v>0</v>
      </c>
      <c r="D89" s="2361">
        <f>'数据-取费表'!B48+'数据-取费表'!B49</f>
        <v>3.0499999999999999E-2</v>
      </c>
      <c r="E89" s="185" t="s">
        <v>1413</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6"/>
      <c r="D90" s="2361"/>
      <c r="E90" s="185" t="str">
        <f>IF(H88="-","土地取得成本中已包含该笔费用"," ")</f>
        <v xml:space="preserve"> </v>
      </c>
      <c r="F90" s="2146"/>
      <c r="G90" s="3264" t="s">
        <v>2127</v>
      </c>
      <c r="H90" s="3265"/>
      <c r="I90" s="1681"/>
      <c r="J90" s="2306"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0">
        <f>IF(H91="——",成本法!C33,I91)</f>
        <v>0</v>
      </c>
      <c r="D91" s="2361"/>
      <c r="E91" s="3295" t="s">
        <v>1417</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0">
        <f>ROUND((C87+C90+C91)*D92,0)</f>
        <v>0</v>
      </c>
      <c r="D92" s="2367"/>
      <c r="E92" s="3295" t="s">
        <v>1420</v>
      </c>
      <c r="F92" s="3296"/>
      <c r="G92" s="3296"/>
      <c r="H92" s="3297"/>
      <c r="I92" s="1681"/>
      <c r="J92" s="2307"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0">
        <f ca="1">ROUND(D45*D93/(1+'数据-取费表'!C42),0)</f>
        <v>1981</v>
      </c>
      <c r="D93" s="2361">
        <f>'数据-取费表'!B43</f>
        <v>6.000000000000001E-3</v>
      </c>
      <c r="E93" s="3295" t="s">
        <v>1404</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6">
        <f>ROUND((C87+C90+C91)*D94,0)</f>
        <v>0</v>
      </c>
      <c r="D94" s="2361">
        <v>0.2</v>
      </c>
      <c r="E94" s="3340" t="s">
        <v>1424</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2">
        <f ca="1">ROUND(C85-C86,0)</f>
        <v>328241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2">
        <f ca="1">IF(C95&lt;=0,0,C95/C86)</f>
        <v>165.69459868753154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3">
        <f ca="1">ROUND(IF(C95&lt;=0,0,IF(C96&gt;=200%,C95*60%-C86*35%,IF(C96&gt;=100%,C95*50%-C86*15%,IF(C96&gt;=50%,C95*40%-C86*5%,IF(C96&lt;50%,C95*30%,0))))),0)</f>
        <v>196251</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45" t="s">
        <v>1426</v>
      </c>
      <c r="B100" s="3246"/>
      <c r="C100" s="3246"/>
      <c r="D100" s="3280"/>
      <c r="E100" s="3246" t="s">
        <v>1427</v>
      </c>
      <c r="F100" s="3246"/>
      <c r="G100" s="3246"/>
      <c r="H100" s="3280"/>
      <c r="I100" s="121"/>
    </row>
    <row r="101" spans="1:35" ht="18.75" customHeight="1">
      <c r="A101" s="3288" t="s">
        <v>1428</v>
      </c>
      <c r="B101" s="3289"/>
      <c r="C101" s="2369" t="str">
        <f>C4</f>
        <v>比较法-住宅</v>
      </c>
      <c r="D101" s="2370" t="str">
        <f>D4</f>
        <v>比较法-住宅</v>
      </c>
      <c r="E101" s="3258" t="s">
        <v>1429</v>
      </c>
      <c r="F101" s="3259"/>
      <c r="G101" s="1687" t="s">
        <v>1430</v>
      </c>
      <c r="H101" s="2379">
        <f ca="1">H118</f>
        <v>346733</v>
      </c>
      <c r="I101" s="121"/>
    </row>
    <row r="102" spans="1:35" ht="18.75" customHeight="1">
      <c r="A102" s="3290" t="s">
        <v>1431</v>
      </c>
      <c r="B102" s="2368" t="s">
        <v>1430</v>
      </c>
      <c r="C102" s="2369">
        <f ca="1">IF(D32="楼面单价",ROUND(C19,0),C19)</f>
        <v>346733</v>
      </c>
      <c r="D102" s="2370">
        <f ca="1">IF(D32="楼面单价",ROUND(D19,0),D19)</f>
        <v>346733</v>
      </c>
      <c r="E102" s="3258"/>
      <c r="F102" s="3259"/>
      <c r="G102" s="1687" t="s">
        <v>1432</v>
      </c>
      <c r="H102" s="2339">
        <f ca="1">I118</f>
        <v>26668</v>
      </c>
      <c r="I102" s="121"/>
    </row>
    <row r="103" spans="1:35" ht="42.75" customHeight="1">
      <c r="A103" s="3290"/>
      <c r="B103" s="2368" t="s">
        <v>1432</v>
      </c>
      <c r="C103" s="2371">
        <f ca="1">C20</f>
        <v>26668</v>
      </c>
      <c r="D103" s="2372">
        <f ca="1">D20</f>
        <v>26668</v>
      </c>
      <c r="E103" s="3251" t="s">
        <v>1433</v>
      </c>
      <c r="F103" s="3252"/>
      <c r="G103" s="1688" t="s">
        <v>1434</v>
      </c>
      <c r="H103" s="2379">
        <f>IF(D36="正常操作",H104+H105+H106,H105+H106)</f>
        <v>0</v>
      </c>
      <c r="I103" s="121"/>
    </row>
    <row r="104" spans="1:35" ht="18.75" customHeight="1">
      <c r="A104" s="3290" t="s">
        <v>1435</v>
      </c>
      <c r="B104" s="2373" t="s">
        <v>1430</v>
      </c>
      <c r="C104" s="2374">
        <f ca="1">H118</f>
        <v>346733</v>
      </c>
      <c r="D104" s="2375"/>
      <c r="E104" s="1555" t="s">
        <v>1436</v>
      </c>
      <c r="F104" s="1548"/>
      <c r="G104" s="1688" t="s">
        <v>1434</v>
      </c>
      <c r="H104" s="2380">
        <f>IF(D36="同一抵押权人同一抵押物续贷",C36&amp;"（续贷，未扣减，详见特别提示）",C36)</f>
        <v>0</v>
      </c>
      <c r="I104" s="121"/>
    </row>
    <row r="105" spans="1:35" ht="18.75" customHeight="1" thickBot="1">
      <c r="A105" s="3300"/>
      <c r="B105" s="2376" t="s">
        <v>1432</v>
      </c>
      <c r="C105" s="2377">
        <f ca="1">I118</f>
        <v>26668</v>
      </c>
      <c r="D105" s="2378"/>
      <c r="E105" s="1555" t="s">
        <v>1437</v>
      </c>
      <c r="F105" s="1548"/>
      <c r="G105" s="1688" t="s">
        <v>1434</v>
      </c>
      <c r="H105" s="2381">
        <f>C37</f>
        <v>0</v>
      </c>
      <c r="I105" s="121"/>
    </row>
    <row r="106" spans="1:35" ht="18.75" customHeight="1">
      <c r="A106" s="646" t="s">
        <v>1438</v>
      </c>
      <c r="B106" s="646"/>
      <c r="C106" s="646"/>
      <c r="D106" s="646"/>
      <c r="E106" s="1689" t="s">
        <v>1439</v>
      </c>
      <c r="F106" s="1548"/>
      <c r="G106" s="1688" t="s">
        <v>1434</v>
      </c>
      <c r="H106" s="2381">
        <f>C38</f>
        <v>0</v>
      </c>
      <c r="I106" s="121"/>
    </row>
    <row r="107" spans="1:35" ht="18.75" customHeight="1">
      <c r="A107" s="121"/>
      <c r="B107" s="121"/>
      <c r="C107" s="121"/>
      <c r="D107" s="121"/>
      <c r="E107" s="3291" t="str">
        <f>IF(项目基本情况!E8="已注销","——","3.房地产抵押价值")</f>
        <v>3.房地产抵押价值</v>
      </c>
      <c r="F107" s="3259"/>
      <c r="G107" s="1687" t="s">
        <v>1430</v>
      </c>
      <c r="H107" s="2379">
        <f ca="1">IF(E107="——","——",H101-H103)</f>
        <v>346733</v>
      </c>
      <c r="I107" s="121"/>
    </row>
    <row r="108" spans="1:35" ht="18.75" customHeight="1">
      <c r="A108" s="121"/>
      <c r="B108" s="121"/>
      <c r="C108" s="121"/>
      <c r="D108" s="121"/>
      <c r="E108" s="3291"/>
      <c r="F108" s="3259"/>
      <c r="G108" s="1687" t="s">
        <v>1432</v>
      </c>
      <c r="H108" s="2339">
        <f ca="1">IF(H107=H101,H102,ROUND(H107*10000/'数据-汇总表'!E3,0))</f>
        <v>26668</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1430</v>
      </c>
      <c r="H109" s="2382" t="str">
        <f>IF(E109="——","——",H101-H105-H106)</f>
        <v>——</v>
      </c>
      <c r="I109" s="121"/>
    </row>
    <row r="110" spans="1:35" ht="18.75" customHeight="1">
      <c r="A110" s="121"/>
      <c r="B110" s="121"/>
      <c r="C110" s="121"/>
      <c r="D110" s="121"/>
      <c r="E110" s="3291"/>
      <c r="F110" s="3259"/>
      <c r="G110" s="1687" t="s">
        <v>1432</v>
      </c>
      <c r="H110" s="2339"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1430</v>
      </c>
      <c r="H111" s="2379" t="str">
        <f>IF(E111="——","——",N59)</f>
        <v>——</v>
      </c>
      <c r="I111" s="121"/>
    </row>
    <row r="112" spans="1:35" ht="18.75" customHeight="1" thickBot="1">
      <c r="A112" s="121"/>
      <c r="B112" s="121"/>
      <c r="C112" s="121"/>
      <c r="D112" s="121"/>
      <c r="E112" s="3293"/>
      <c r="F112" s="3294"/>
      <c r="G112" s="1690" t="s">
        <v>1432</v>
      </c>
      <c r="H112" s="2383" t="str">
        <f>IF(E111="——","——",N61)</f>
        <v>——</v>
      </c>
      <c r="I112" s="121"/>
    </row>
    <row r="113" spans="1:27" ht="18.75" customHeight="1">
      <c r="A113" s="121"/>
      <c r="B113" s="121"/>
      <c r="C113" s="121"/>
      <c r="D113" s="121"/>
      <c r="E113" s="3301" t="s">
        <v>1438</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1440</v>
      </c>
      <c r="B115" s="3310"/>
      <c r="C115" s="3310"/>
      <c r="D115" s="3310"/>
      <c r="E115" s="3310"/>
      <c r="F115" s="3310"/>
      <c r="G115" s="3310"/>
      <c r="H115" s="3310"/>
      <c r="I115" s="3311"/>
    </row>
    <row r="116" spans="1:27" ht="27" customHeight="1">
      <c r="A116" s="3266" t="s">
        <v>1441</v>
      </c>
      <c r="B116" s="3270" t="s">
        <v>1442</v>
      </c>
      <c r="C116" s="3270" t="s">
        <v>1443</v>
      </c>
      <c r="D116" s="3276" t="s">
        <v>1444</v>
      </c>
      <c r="E116" s="3277"/>
      <c r="F116" s="3308" t="s">
        <v>1445</v>
      </c>
      <c r="G116" s="3308"/>
      <c r="H116" s="3266" t="s">
        <v>1446</v>
      </c>
      <c r="I116" s="3266"/>
    </row>
    <row r="117" spans="1:27" ht="18.75" customHeight="1">
      <c r="A117" s="3266"/>
      <c r="B117" s="3271"/>
      <c r="C117" s="3271"/>
      <c r="D117" s="2148" t="s">
        <v>1447</v>
      </c>
      <c r="E117" s="2148" t="s">
        <v>1448</v>
      </c>
      <c r="F117" s="2148" t="s">
        <v>1447</v>
      </c>
      <c r="G117" s="2148" t="s">
        <v>1449</v>
      </c>
      <c r="H117" s="2148" t="s">
        <v>1447</v>
      </c>
      <c r="I117" s="2148" t="s">
        <v>1449</v>
      </c>
    </row>
    <row r="118" spans="1:27" ht="24.75" customHeight="1">
      <c r="A118" s="2384" t="str">
        <f>项目基本情况!S2</f>
        <v>北京市房地产</v>
      </c>
      <c r="B118" s="2148">
        <f>M18</f>
        <v>130018.37</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346733</v>
      </c>
      <c r="I118" s="2148">
        <f ca="1">ROUND(IF(D32="楼面单价",C32,H118*10000/B118),0)</f>
        <v>26668</v>
      </c>
    </row>
    <row r="119" spans="1:27" ht="18.75" customHeight="1">
      <c r="A119" s="3266" t="s">
        <v>1450</v>
      </c>
      <c r="B119" s="3266"/>
      <c r="C119" s="3266"/>
      <c r="D119" s="3272" t="e">
        <f ca="1">NUMBERSTRING(INT(D118*10000),2)&amp;"元整"</f>
        <v>#REF!</v>
      </c>
      <c r="E119" s="3273"/>
      <c r="F119" s="3272" t="e">
        <f ca="1">NUMBERSTRING(INT(F118*10000),2)&amp;"元整"</f>
        <v>#REF!</v>
      </c>
      <c r="G119" s="3273"/>
      <c r="H119" s="3272" t="str">
        <f ca="1">NUMBERSTRING(INT(H118*10000),2)&amp;"元整"</f>
        <v>叁拾肆亿陆仟柒佰叁拾叁万元整</v>
      </c>
      <c r="I119" s="3273"/>
    </row>
    <row r="120" spans="1:27" ht="18.75" customHeight="1">
      <c r="A120" s="3267" t="str">
        <f>IF(项目基本情况!B9="房地产市场价值","",MID(E103,3,LEN(E103)-2))</f>
        <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2" t="s">
        <v>1450</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
      </c>
      <c r="B122" s="3278"/>
      <c r="C122" s="3278"/>
      <c r="D122" s="3267">
        <f ca="1">H107</f>
        <v>346733</v>
      </c>
      <c r="E122" s="3268"/>
      <c r="F122" s="3268"/>
      <c r="G122" s="3268"/>
      <c r="H122" s="3268"/>
      <c r="I122" s="3269"/>
      <c r="AA122" s="684"/>
    </row>
    <row r="123" spans="1:27" ht="18.75" customHeight="1">
      <c r="A123" s="3266" t="s">
        <v>1450</v>
      </c>
      <c r="B123" s="3266"/>
      <c r="C123" s="3266"/>
      <c r="D123" s="3272" t="str">
        <f ca="1">NUMBERSTRING(INT(D122*10000),2)&amp;"元整"</f>
        <v>叁拾肆亿陆仟柒佰叁拾叁万元整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1450</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1450</v>
      </c>
      <c r="B127" s="3266"/>
      <c r="C127" s="3266"/>
      <c r="D127" s="3272" t="e">
        <f>NUMBERSTRING(INT(D126*10000),2)&amp;"元整"</f>
        <v>#VALUE!</v>
      </c>
      <c r="E127" s="3274"/>
      <c r="F127" s="3274"/>
      <c r="G127" s="3274"/>
      <c r="H127" s="3274"/>
      <c r="I127" s="3273"/>
      <c r="AA127" s="684"/>
    </row>
    <row r="128" spans="1:27" ht="21.75" customHeight="1">
      <c r="A128" s="3275" t="s">
        <v>1451</v>
      </c>
      <c r="B128" s="3275"/>
      <c r="C128" s="3275"/>
      <c r="D128" s="3275"/>
      <c r="E128" s="3275"/>
      <c r="F128" s="3275"/>
      <c r="G128" s="3275"/>
      <c r="H128" s="3275"/>
      <c r="I128" s="327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8</v>
      </c>
    </row>
    <row r="2" spans="1:9" s="192" customFormat="1" ht="18" customHeight="1">
      <c r="A2" s="193" t="s">
        <v>1460</v>
      </c>
      <c r="B2" s="194">
        <f ca="1">IF(D2="——",C52,C52-E2)</f>
        <v>131442</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8457</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1950</v>
      </c>
      <c r="D9" s="795">
        <f ca="1">IF(B1="",'数据-汇总表'!E5,IF(INDIRECT("'数据-取费表'!c"&amp;$G$1)="住宅",INDIRECT("'数据-取费表'!k"&amp;$G$1),0))</f>
        <v>130018.37</v>
      </c>
      <c r="E9" s="217">
        <f>'数据-取费表'!B27</f>
        <v>150</v>
      </c>
      <c r="F9" s="213"/>
      <c r="G9" s="1715"/>
      <c r="H9" s="1070"/>
      <c r="I9" s="1716" t="s">
        <v>1477</v>
      </c>
    </row>
    <row r="10" spans="1:9" s="206" customFormat="1" ht="13.5" customHeight="1">
      <c r="A10" s="733" t="s">
        <v>356</v>
      </c>
      <c r="B10" s="216" t="s">
        <v>1478</v>
      </c>
      <c r="C10" s="217">
        <f ca="1">ROUND(D10*E10/10000,0)</f>
        <v>483</v>
      </c>
      <c r="D10" s="795">
        <f ca="1">IF(B1="",'数据-汇总表'!E6,IF(INDIRECT("'数据-取费表'!c"&amp;$G$1)="住宅",INDIRECT("'数据-取费表'!s"&amp;$G$1),INDIRECT("'数据-取费表'!k"&amp;$G$1)+INDIRECT("'数据-取费表'!s"&amp;$G$1)))</f>
        <v>25407.459999999992</v>
      </c>
      <c r="E10" s="217">
        <f>'数据-取费表'!B28</f>
        <v>190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3109</v>
      </c>
      <c r="D19" s="204">
        <f ca="1">D9+D10</f>
        <v>155425.82999999999</v>
      </c>
      <c r="E19" s="203">
        <f>'数据-取费表'!B31</f>
        <v>200</v>
      </c>
      <c r="F19" s="223"/>
      <c r="G19" s="1714"/>
    </row>
    <row r="20" spans="1:7" s="206" customFormat="1" ht="13.5" customHeight="1">
      <c r="A20" s="247" t="s">
        <v>1491</v>
      </c>
      <c r="B20" s="202" t="s">
        <v>1492</v>
      </c>
      <c r="C20" s="224">
        <f ca="1">ROUND((C5+C19)*F20,0)</f>
        <v>62</v>
      </c>
      <c r="D20" s="224"/>
      <c r="E20" s="224"/>
      <c r="F20" s="225">
        <f>'数据-取费表'!B37</f>
        <v>0.02</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0</v>
      </c>
      <c r="D22" s="227">
        <f ca="1">C26</f>
        <v>0</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0</v>
      </c>
      <c r="D26" s="230"/>
      <c r="E26" s="233"/>
      <c r="F26" s="231"/>
      <c r="G26" s="235"/>
    </row>
    <row r="27" spans="1:7" s="206" customFormat="1" ht="24.75">
      <c r="A27" s="247" t="s">
        <v>1510</v>
      </c>
      <c r="B27" s="236" t="s">
        <v>1511</v>
      </c>
      <c r="C27" s="237">
        <f ca="1">C28</f>
        <v>0</v>
      </c>
      <c r="D27" s="227">
        <f ca="1">C29</f>
        <v>0</v>
      </c>
      <c r="E27" s="228" t="s">
        <v>1512</v>
      </c>
      <c r="F27" s="238">
        <f ca="1">IF(B1="",'数据-取费表'!Q16,INDIRECT("'数据-取费表'!q"&amp;$G$1))</f>
        <v>0.13</v>
      </c>
      <c r="G27" s="239" t="s">
        <v>1513</v>
      </c>
    </row>
    <row r="28" spans="1:7" s="206" customFormat="1" ht="13.5" customHeight="1">
      <c r="A28" s="734" t="s">
        <v>346</v>
      </c>
      <c r="B28" s="240" t="s">
        <v>1514</v>
      </c>
      <c r="C28" s="241">
        <f ca="1">ROUND((C5+C19+C20)*F27*'数据-取费表'!B21/'数据-取费表'!B20,0)</f>
        <v>0</v>
      </c>
      <c r="D28" s="227"/>
      <c r="E28" s="228"/>
      <c r="F28" s="238"/>
      <c r="G28" s="239"/>
    </row>
    <row r="29" spans="1:7" s="206" customFormat="1" ht="13.5" customHeight="1">
      <c r="A29" s="734" t="s">
        <v>347</v>
      </c>
      <c r="B29" s="240" t="s">
        <v>1515</v>
      </c>
      <c r="C29" s="230">
        <f ca="1">ROUND(C21*F27*'数据-取费表'!B21/'数据-取费表'!B20,4)</f>
        <v>0</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3459</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101356</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88174</v>
      </c>
      <c r="D34" s="209"/>
      <c r="E34" s="212"/>
      <c r="F34" s="249">
        <f ca="1">IF('数据-取费表'!B24=0,1,IF(B1="",'数据-取费表'!N16,INDIRECT("'数据-取费表'!n"&amp;$G$1)))</f>
        <v>1</v>
      </c>
      <c r="G34" s="211" t="s">
        <v>1524</v>
      </c>
    </row>
    <row r="35" spans="1:7" ht="13.5" customHeight="1">
      <c r="A35" s="734" t="s">
        <v>351</v>
      </c>
      <c r="B35" s="207" t="s">
        <v>1525</v>
      </c>
      <c r="C35" s="212">
        <f ca="1">ROUND(C34*F35,0)</f>
        <v>4409</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3901</v>
      </c>
      <c r="D36" s="212"/>
      <c r="E36" s="212"/>
      <c r="F36" s="251">
        <f>'数据-取费表'!B34</f>
        <v>0.05</v>
      </c>
      <c r="G36" s="252" t="s">
        <v>1528</v>
      </c>
    </row>
    <row r="37" spans="1:7" s="250" customFormat="1" ht="13.5" customHeight="1">
      <c r="A37" s="734" t="s">
        <v>353</v>
      </c>
      <c r="B37" s="207" t="s">
        <v>1529</v>
      </c>
      <c r="C37" s="241">
        <f ca="1">ROUND(E37*D37*F34/10000,0)</f>
        <v>3109</v>
      </c>
      <c r="D37" s="209">
        <f ca="1">D19</f>
        <v>155425.82999999999</v>
      </c>
      <c r="E37" s="241">
        <f>'数据-取费表'!B35</f>
        <v>200</v>
      </c>
      <c r="F37" s="251"/>
      <c r="G37" s="253" t="s">
        <v>1530</v>
      </c>
    </row>
    <row r="38" spans="1:7" ht="13.5" customHeight="1">
      <c r="A38" s="734" t="s">
        <v>354</v>
      </c>
      <c r="B38" s="207" t="s">
        <v>1531</v>
      </c>
      <c r="C38" s="212">
        <f ca="1">ROUND(C34*F38,0)</f>
        <v>1763</v>
      </c>
      <c r="D38" s="212"/>
      <c r="E38" s="212"/>
      <c r="F38" s="251">
        <f>'数据-取费表'!B36</f>
        <v>0.02</v>
      </c>
      <c r="G38" s="211" t="s">
        <v>1526</v>
      </c>
    </row>
    <row r="39" spans="1:7" s="206" customFormat="1" ht="13.5" customHeight="1">
      <c r="A39" s="247" t="s">
        <v>1532</v>
      </c>
      <c r="B39" s="202" t="s">
        <v>1533</v>
      </c>
      <c r="C39" s="224">
        <f ca="1">ROUND(C33*F20,0)</f>
        <v>2027</v>
      </c>
      <c r="D39" s="224"/>
      <c r="E39" s="224"/>
      <c r="F39" s="225">
        <f>F20</f>
        <v>0.02</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0</v>
      </c>
      <c r="D41" s="227">
        <f ca="1">C44</f>
        <v>0</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0</v>
      </c>
      <c r="D42" s="230"/>
      <c r="E42" s="230"/>
      <c r="F42" s="231"/>
      <c r="G42" s="3345" t="s">
        <v>1542</v>
      </c>
    </row>
    <row r="43" spans="1:7" ht="13.5" customHeight="1">
      <c r="A43" s="734" t="s">
        <v>347</v>
      </c>
      <c r="B43" s="207" t="s">
        <v>1543</v>
      </c>
      <c r="C43" s="230">
        <f ca="1">ROUND(IF('数据-取费表'!B22&lt;=1,C39*F22*'数据-取费表'!B21/2,C39*(POWER((1+F22),'数据-取费表'!B21/2)-1)),0)</f>
        <v>0</v>
      </c>
      <c r="D43" s="230"/>
      <c r="E43" s="230"/>
      <c r="F43" s="231"/>
      <c r="G43" s="3346"/>
    </row>
    <row r="44" spans="1:7" ht="13.5" customHeight="1">
      <c r="A44" s="734" t="s">
        <v>348</v>
      </c>
      <c r="B44" s="207" t="s">
        <v>1544</v>
      </c>
      <c r="C44" s="230">
        <f ca="1">ROUND(IF('数据-取费表'!B22&lt;=1,C40*F22*'数据-取费表'!B21/2,C40*(POWER((1+F22),'数据-取费表'!B21/2)-1)),4)</f>
        <v>0</v>
      </c>
      <c r="D44" s="230"/>
      <c r="E44" s="230"/>
      <c r="F44" s="231"/>
      <c r="G44" s="3347"/>
    </row>
    <row r="45" spans="1:7" s="206" customFormat="1" ht="13.5" customHeight="1">
      <c r="A45" s="247" t="s">
        <v>1545</v>
      </c>
      <c r="B45" s="236" t="s">
        <v>1511</v>
      </c>
      <c r="C45" s="237">
        <f ca="1">C46</f>
        <v>13440</v>
      </c>
      <c r="D45" s="227">
        <f ca="1">C47</f>
        <v>3.8999999999999998E-3</v>
      </c>
      <c r="E45" s="228" t="s">
        <v>1537</v>
      </c>
      <c r="F45" s="238">
        <f ca="1">F27</f>
        <v>0.13</v>
      </c>
      <c r="G45" s="239" t="s">
        <v>1546</v>
      </c>
    </row>
    <row r="46" spans="1:7" s="206" customFormat="1" ht="13.5" customHeight="1">
      <c r="A46" s="734" t="s">
        <v>346</v>
      </c>
      <c r="B46" s="240" t="s">
        <v>1547</v>
      </c>
      <c r="C46" s="241">
        <f ca="1">ROUND((C33+C39)*F27,0)</f>
        <v>13440</v>
      </c>
      <c r="D46" s="255"/>
      <c r="E46" s="228"/>
      <c r="F46" s="238"/>
      <c r="G46" s="239"/>
    </row>
    <row r="47" spans="1:7" s="206" customFormat="1" ht="13.5" customHeight="1">
      <c r="A47" s="734" t="s">
        <v>347</v>
      </c>
      <c r="B47" s="240" t="s">
        <v>1548</v>
      </c>
      <c r="C47" s="230">
        <f ca="1">ROUND(C40*F27,4)</f>
        <v>3.8999999999999998E-3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127983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127983</v>
      </c>
      <c r="D51" s="224"/>
      <c r="E51" s="224"/>
      <c r="F51" s="256"/>
      <c r="G51" s="226" t="s">
        <v>1558</v>
      </c>
    </row>
    <row r="52" spans="1:7" s="200" customFormat="1" ht="16.5" thickBot="1">
      <c r="A52" s="257" t="s">
        <v>1559</v>
      </c>
      <c r="B52" s="258"/>
      <c r="C52" s="259">
        <f ca="1">C31+C51</f>
        <v>131442</v>
      </c>
      <c r="D52" s="258"/>
      <c r="E52" s="258"/>
      <c r="F52" s="258"/>
      <c r="G52" s="260"/>
    </row>
    <row r="55" spans="1:7" ht="15">
      <c r="B55" s="262" t="s">
        <v>1560</v>
      </c>
      <c r="C55" s="263"/>
    </row>
    <row r="56" spans="1:7">
      <c r="B56" s="265" t="s">
        <v>800</v>
      </c>
      <c r="C56" s="267">
        <f ca="1">1-C57</f>
        <v>2.6000000000000023E-2</v>
      </c>
    </row>
    <row r="57" spans="1:7">
      <c r="B57" s="265" t="s">
        <v>801</v>
      </c>
      <c r="C57" s="266">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8</v>
      </c>
      <c r="H1" s="998" t="str">
        <f>IF(ISERROR(FIND("住宅",B1)),"非住宅","住宅")</f>
        <v>非住宅</v>
      </c>
    </row>
    <row r="2" spans="1:8" s="192" customFormat="1" ht="18" customHeight="1">
      <c r="A2" s="193" t="s">
        <v>1460</v>
      </c>
      <c r="B2" s="3121">
        <f ca="1">ROUND(IF(D2="——",C52/10000,C52/10000-E2),4)</f>
        <v>140055.4253</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9011</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24330173</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24330173</v>
      </c>
      <c r="D8" s="214"/>
      <c r="E8" s="212"/>
      <c r="F8" s="213"/>
      <c r="G8" s="1714"/>
    </row>
    <row r="9" spans="1:8" s="206" customFormat="1" ht="13.5" customHeight="1">
      <c r="A9" s="733" t="s">
        <v>355</v>
      </c>
      <c r="B9" s="216" t="s">
        <v>1476</v>
      </c>
      <c r="C9" s="217">
        <f ca="1">ROUND(D9*E9,0)</f>
        <v>19502756</v>
      </c>
      <c r="D9" s="795">
        <f ca="1">IF(B1="",'数据-汇总表'!E5,IF(INDIRECT("'数据-取费表'!c"&amp;$G$1)="住宅",INDIRECT("'数据-取费表'!k"&amp;$G$1),0))</f>
        <v>130018.37</v>
      </c>
      <c r="E9" s="217">
        <f>'数据-取费表'!B27</f>
        <v>150</v>
      </c>
      <c r="F9" s="213"/>
      <c r="G9" s="218"/>
    </row>
    <row r="10" spans="1:8" s="206" customFormat="1" ht="13.5" customHeight="1">
      <c r="A10" s="733" t="s">
        <v>356</v>
      </c>
      <c r="B10" s="216" t="s">
        <v>1478</v>
      </c>
      <c r="C10" s="217">
        <f ca="1">ROUND(D10*E10,0)</f>
        <v>4827417</v>
      </c>
      <c r="D10" s="795">
        <f ca="1">IF(B1="",'数据-汇总表'!E6,IF(INDIRECT("'数据-取费表'!c"&amp;$G$1)="住宅",INDIRECT("'数据-取费表'!s"&amp;$G$1),INDIRECT("'数据-取费表'!k"&amp;$G$1)+INDIRECT("'数据-取费表'!s"&amp;$G$1)))</f>
        <v>25407.459999999992</v>
      </c>
      <c r="E10" s="217">
        <f>'数据-取费表'!B28</f>
        <v>190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31085166</v>
      </c>
      <c r="D19" s="204">
        <f ca="1">D9+D10</f>
        <v>155425.82999999999</v>
      </c>
      <c r="E19" s="203">
        <f>'数据-取费表'!B31</f>
        <v>200</v>
      </c>
      <c r="F19" s="223"/>
      <c r="G19" s="1714"/>
    </row>
    <row r="20" spans="1:7" s="206" customFormat="1" ht="13.5" customHeight="1">
      <c r="A20" s="247" t="s">
        <v>1572</v>
      </c>
      <c r="B20" s="202" t="s">
        <v>1573</v>
      </c>
      <c r="C20" s="224">
        <f ca="1">ROUND((C5+C19)*F20,0)</f>
        <v>1108307</v>
      </c>
      <c r="D20" s="224"/>
      <c r="E20" s="224"/>
      <c r="F20" s="225">
        <f>'数据-取费表'!B37</f>
        <v>0.02</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4438166</v>
      </c>
      <c r="D22" s="227">
        <f ca="1">C26</f>
        <v>1.1999999999999999E-3</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1929654</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2465400</v>
      </c>
      <c r="D24" s="230"/>
      <c r="E24" s="230"/>
      <c r="F24" s="231"/>
      <c r="G24" s="232" t="s">
        <v>1584</v>
      </c>
    </row>
    <row r="25" spans="1:7" s="206" customFormat="1" ht="24">
      <c r="A25" s="734" t="s">
        <v>1474</v>
      </c>
      <c r="B25" s="207" t="s">
        <v>1585</v>
      </c>
      <c r="C25" s="230">
        <f ca="1">ROUND(IF('数据-取费表'!B22&lt;=1,C20*F22*'数据-取费表'!B22/2,C20*(POWER((1+F22),'数据-取费表'!B22/2)-1)),0)</f>
        <v>43112</v>
      </c>
      <c r="D25" s="230"/>
      <c r="E25" s="233"/>
      <c r="F25" s="231"/>
      <c r="G25" s="234" t="s">
        <v>1586</v>
      </c>
    </row>
    <row r="26" spans="1:7" s="206" customFormat="1">
      <c r="A26" s="734" t="s">
        <v>350</v>
      </c>
      <c r="B26" s="207" t="s">
        <v>1509</v>
      </c>
      <c r="C26" s="230">
        <f ca="1">ROUND(IF('数据-取费表'!B22&lt;=1,F21*F22*'数据-取费表'!B22/2,F21*(POWER((1+F22),'数据-取费表'!B22/2)-1)),4)</f>
        <v>1.1999999999999999E-3</v>
      </c>
      <c r="D26" s="230"/>
      <c r="E26" s="233"/>
      <c r="F26" s="231"/>
      <c r="G26" s="235"/>
    </row>
    <row r="27" spans="1:7" s="206" customFormat="1" ht="24.75">
      <c r="A27" s="247" t="s">
        <v>1510</v>
      </c>
      <c r="B27" s="236" t="s">
        <v>1511</v>
      </c>
      <c r="C27" s="237">
        <f ca="1">C28</f>
        <v>7348074</v>
      </c>
      <c r="D27" s="227">
        <f ca="1">C29</f>
        <v>3.8999999999999998E-3</v>
      </c>
      <c r="E27" s="228" t="s">
        <v>1512</v>
      </c>
      <c r="F27" s="238">
        <f ca="1">IF(B1="",'数据-取费表'!Q16,INDIRECT("'数据-取费表'!q"&amp;$G$1))</f>
        <v>0.13</v>
      </c>
      <c r="G27" s="239" t="s">
        <v>1513</v>
      </c>
    </row>
    <row r="28" spans="1:7" s="206" customFormat="1" ht="13.5" customHeight="1">
      <c r="A28" s="734" t="s">
        <v>346</v>
      </c>
      <c r="B28" s="240" t="s">
        <v>1514</v>
      </c>
      <c r="C28" s="241">
        <f ca="1">ROUND((C5+C19+C20)*F27,0)</f>
        <v>7348074</v>
      </c>
      <c r="D28" s="227"/>
      <c r="E28" s="228"/>
      <c r="F28" s="238"/>
      <c r="G28" s="239"/>
    </row>
    <row r="29" spans="1:7" s="206" customFormat="1" ht="13.5" customHeight="1">
      <c r="A29" s="734" t="s">
        <v>347</v>
      </c>
      <c r="B29" s="240" t="s">
        <v>1515</v>
      </c>
      <c r="C29" s="230">
        <f ca="1">ROUND(C21*F27,4)</f>
        <v>3.8999999999999998E-3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74934057</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1013552541</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881740060</v>
      </c>
      <c r="D34" s="209"/>
      <c r="E34" s="212"/>
      <c r="F34" s="249"/>
      <c r="G34" s="211"/>
    </row>
    <row r="35" spans="1:7" ht="13.5" customHeight="1">
      <c r="A35" s="734" t="s">
        <v>351</v>
      </c>
      <c r="B35" s="207" t="s">
        <v>1525</v>
      </c>
      <c r="C35" s="212">
        <f ca="1">ROUND(C34*F35,0)</f>
        <v>44087003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39005511</v>
      </c>
      <c r="D36" s="212"/>
      <c r="E36" s="212"/>
      <c r="F36" s="251">
        <f>'数据-取费表'!B34</f>
        <v>0.05</v>
      </c>
      <c r="G36" s="252" t="s">
        <v>1528</v>
      </c>
    </row>
    <row r="37" spans="1:7" s="250" customFormat="1" ht="13.5" customHeight="1">
      <c r="A37" s="734" t="s">
        <v>353</v>
      </c>
      <c r="B37" s="207" t="s">
        <v>1529</v>
      </c>
      <c r="C37" s="241">
        <f ca="1">ROUND(E37*D37,0)</f>
        <v>31085166</v>
      </c>
      <c r="D37" s="209">
        <f ca="1">D19</f>
        <v>155425.82999999999</v>
      </c>
      <c r="E37" s="241">
        <f>'数据-取费表'!B35</f>
        <v>200</v>
      </c>
      <c r="F37" s="251"/>
      <c r="G37" s="253"/>
    </row>
    <row r="38" spans="1:7" ht="13.5" customHeight="1">
      <c r="A38" s="734" t="s">
        <v>354</v>
      </c>
      <c r="B38" s="207" t="s">
        <v>1531</v>
      </c>
      <c r="C38" s="212">
        <f ca="1">ROUND(C34*F38,0)</f>
        <v>17634801</v>
      </c>
      <c r="D38" s="212"/>
      <c r="E38" s="212"/>
      <c r="F38" s="251">
        <f>'数据-取费表'!B36</f>
        <v>0.02</v>
      </c>
      <c r="G38" s="211" t="s">
        <v>1526</v>
      </c>
    </row>
    <row r="39" spans="1:7" s="206" customFormat="1" ht="13.5" customHeight="1">
      <c r="A39" s="247" t="s">
        <v>1532</v>
      </c>
      <c r="B39" s="202" t="s">
        <v>1533</v>
      </c>
      <c r="C39" s="224">
        <f ca="1">ROUND(C33*F20,0)</f>
        <v>20271051</v>
      </c>
      <c r="D39" s="224"/>
      <c r="E39" s="224"/>
      <c r="F39" s="225">
        <f>F20</f>
        <v>0.02</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40214712</v>
      </c>
      <c r="D41" s="227">
        <f ca="1">C44</f>
        <v>1.1999999999999999E-3</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39426188</v>
      </c>
      <c r="D42" s="230"/>
      <c r="E42" s="230"/>
      <c r="F42" s="231"/>
      <c r="G42" s="3345" t="s">
        <v>1589</v>
      </c>
    </row>
    <row r="43" spans="1:7" ht="13.5" customHeight="1">
      <c r="A43" s="734" t="s">
        <v>347</v>
      </c>
      <c r="B43" s="207" t="s">
        <v>1543</v>
      </c>
      <c r="C43" s="230">
        <f ca="1">ROUND(IF('数据-取费表'!B22&lt;=1,C39*F22*'数据-取费表'!B20/2,C39*(POWER((1+F22),'数据-取费表'!B20/2)-1)),0)</f>
        <v>788524</v>
      </c>
      <c r="D43" s="230"/>
      <c r="E43" s="230"/>
      <c r="F43" s="231"/>
      <c r="G43" s="3346"/>
    </row>
    <row r="44" spans="1:7" ht="13.5" customHeight="1">
      <c r="A44" s="734" t="s">
        <v>348</v>
      </c>
      <c r="B44" s="207" t="s">
        <v>1544</v>
      </c>
      <c r="C44" s="230">
        <f ca="1">ROUND(IF('数据-取费表'!B22&lt;=1,C40*F22*'数据-取费表'!B20/2,C40*(POWER((1+F22),'数据-取费表'!B20/2)-1)),4)</f>
        <v>1.1999999999999999E-3</v>
      </c>
      <c r="D44" s="230"/>
      <c r="E44" s="230"/>
      <c r="F44" s="231"/>
      <c r="G44" s="3347"/>
    </row>
    <row r="45" spans="1:7" s="206" customFormat="1" ht="13.5" customHeight="1">
      <c r="A45" s="247" t="s">
        <v>1545</v>
      </c>
      <c r="B45" s="236" t="s">
        <v>1511</v>
      </c>
      <c r="C45" s="237">
        <f ca="1">C46</f>
        <v>134397067</v>
      </c>
      <c r="D45" s="227">
        <f ca="1">C47</f>
        <v>3.8999999999999998E-3</v>
      </c>
      <c r="E45" s="228" t="s">
        <v>1537</v>
      </c>
      <c r="F45" s="238">
        <f ca="1">F27</f>
        <v>0.13</v>
      </c>
      <c r="G45" s="239" t="s">
        <v>1546</v>
      </c>
    </row>
    <row r="46" spans="1:7" s="206" customFormat="1" ht="13.5" customHeight="1">
      <c r="A46" s="734" t="s">
        <v>346</v>
      </c>
      <c r="B46" s="240" t="s">
        <v>1547</v>
      </c>
      <c r="C46" s="241">
        <f ca="1">ROUND((C33+C39)*F27,0)</f>
        <v>134397067</v>
      </c>
      <c r="D46" s="255"/>
      <c r="E46" s="228"/>
      <c r="F46" s="238"/>
      <c r="G46" s="239"/>
    </row>
    <row r="47" spans="1:7" s="206" customFormat="1" ht="13.5" customHeight="1">
      <c r="A47" s="734" t="s">
        <v>347</v>
      </c>
      <c r="B47" s="240" t="s">
        <v>1548</v>
      </c>
      <c r="C47" s="230">
        <f ca="1">ROUND(C40*F27,4)</f>
        <v>3.8999999999999998E-3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1325620196</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1325620196</v>
      </c>
      <c r="D51" s="224"/>
      <c r="E51" s="224"/>
      <c r="F51" s="256"/>
      <c r="G51" s="226" t="s">
        <v>1558</v>
      </c>
    </row>
    <row r="52" spans="1:7" s="200" customFormat="1" ht="16.5" thickBot="1">
      <c r="A52" s="257" t="s">
        <v>1559</v>
      </c>
      <c r="B52" s="258"/>
      <c r="C52" s="259">
        <f ca="1">C31+C51</f>
        <v>1400554253</v>
      </c>
      <c r="D52" s="258"/>
      <c r="E52" s="258"/>
      <c r="F52" s="258"/>
      <c r="G52" s="260"/>
    </row>
    <row r="55" spans="1:7" ht="15">
      <c r="B55" s="262" t="s">
        <v>1560</v>
      </c>
      <c r="C55" s="263"/>
    </row>
    <row r="56" spans="1:7">
      <c r="B56" s="265" t="s">
        <v>800</v>
      </c>
      <c r="C56" s="267">
        <f ca="1">1-C57</f>
        <v>5.4000000000000048E-2</v>
      </c>
    </row>
    <row r="57" spans="1:7">
      <c r="B57" s="265" t="s">
        <v>801</v>
      </c>
      <c r="C57" s="266">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6"/>
      <c r="F1" s="2566"/>
      <c r="G1" s="2447"/>
      <c r="H1" s="2566"/>
      <c r="I1" s="2566"/>
      <c r="J1" s="2566"/>
      <c r="K1" s="2567">
        <f>MATCH(C1,'数据-取费表'!A6:A16,0)+5</f>
        <v>8</v>
      </c>
    </row>
    <row r="2" spans="1:33" ht="18" customHeight="1">
      <c r="A2" s="193" t="s">
        <v>1460</v>
      </c>
      <c r="B2" s="196">
        <f ca="1">C32</f>
        <v>-2332</v>
      </c>
      <c r="C2" s="268" t="s">
        <v>1593</v>
      </c>
      <c r="D2" s="268"/>
      <c r="E2" s="2566"/>
      <c r="F2" s="2566"/>
      <c r="G2" s="2566"/>
      <c r="H2" s="2566"/>
      <c r="I2" s="2566"/>
      <c r="J2" s="2566"/>
      <c r="K2" s="2566"/>
    </row>
    <row r="3" spans="1:33" ht="18" customHeight="1" thickBot="1">
      <c r="A3" s="195" t="s">
        <v>1462</v>
      </c>
      <c r="B3" s="196">
        <f ca="1">ROUND(B2*10000/IF(C1="",'数据-汇总表'!E3,INDIRECT("'数据-取费表'!K"&amp;$K$1)),0)</f>
        <v>-150</v>
      </c>
      <c r="C3" s="268" t="s">
        <v>1594</v>
      </c>
      <c r="D3" s="268"/>
      <c r="E3" s="2566"/>
      <c r="F3" s="2566"/>
      <c r="G3" s="2566"/>
      <c r="H3" s="2566"/>
      <c r="I3" s="2566"/>
      <c r="J3" s="2566"/>
      <c r="K3" s="2566"/>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155425.82999999999</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155425.82999999999</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2433</v>
      </c>
      <c r="D18" s="796"/>
      <c r="E18" s="21"/>
      <c r="F18" s="756"/>
      <c r="G18" s="1720"/>
      <c r="H18" s="1106"/>
      <c r="I18" s="1721" t="s">
        <v>1623</v>
      </c>
      <c r="J18" s="759"/>
      <c r="K18" s="760"/>
    </row>
    <row r="19" spans="1:33" s="755" customFormat="1" ht="13.5" customHeight="1">
      <c r="A19" s="752" t="s">
        <v>360</v>
      </c>
      <c r="B19" s="753" t="s">
        <v>1624</v>
      </c>
      <c r="C19" s="21">
        <f ca="1">ROUND(D19*E19/10000,0)</f>
        <v>1950</v>
      </c>
      <c r="D19" s="796">
        <f ca="1">IF(C1="",'数据-汇总表'!E5,IF(INDIRECT("'数据-取费表'!c"&amp;$K$1)="住宅",INDIRECT("'数据-取费表'!k"&amp;$K$1),0))</f>
        <v>130018.37</v>
      </c>
      <c r="E19" s="21">
        <f>'数据-取费表'!B27</f>
        <v>150</v>
      </c>
      <c r="F19" s="756"/>
      <c r="G19" s="12"/>
      <c r="H19" s="1108"/>
      <c r="I19" s="761"/>
      <c r="J19" s="761"/>
      <c r="K19" s="762"/>
    </row>
    <row r="20" spans="1:33" s="755" customFormat="1" ht="13.5" customHeight="1">
      <c r="A20" s="752" t="s">
        <v>361</v>
      </c>
      <c r="B20" s="753" t="s">
        <v>1625</v>
      </c>
      <c r="C20" s="21">
        <f ca="1">ROUND(D20*E20/10000,0)</f>
        <v>483</v>
      </c>
      <c r="D20" s="796">
        <f ca="1">IF(C1="",'数据-汇总表'!E6,IF(INDIRECT("'数据-取费表'!c"&amp;$K$1)="住宅",INDIRECT("'数据-取费表'!s"&amp;$K$1),INDIRECT("'数据-取费表'!k"&amp;$K$1)+INDIRECT("'数据-取费表'!s"&amp;$K$1)))</f>
        <v>25407.459999999992</v>
      </c>
      <c r="E20" s="21">
        <f>'数据-取费表'!B28</f>
        <v>190</v>
      </c>
      <c r="F20" s="756"/>
      <c r="G20" s="12"/>
      <c r="H20" s="761"/>
      <c r="I20" s="761"/>
      <c r="J20" s="761"/>
      <c r="K20" s="762"/>
    </row>
    <row r="21" spans="1:33" s="755" customFormat="1" ht="13.5" customHeight="1">
      <c r="A21" s="744" t="s">
        <v>357</v>
      </c>
      <c r="B21" s="765" t="s">
        <v>1626</v>
      </c>
      <c r="C21" s="766">
        <f ca="1">C16+C17+C18</f>
        <v>2433</v>
      </c>
      <c r="D21" s="767"/>
      <c r="E21" s="273"/>
      <c r="F21" s="273"/>
      <c r="G21" s="123" t="s">
        <v>1627</v>
      </c>
      <c r="H21" s="759"/>
      <c r="I21" s="759"/>
      <c r="J21" s="759"/>
      <c r="K21" s="760"/>
    </row>
    <row r="22" spans="1:33" s="755" customFormat="1" ht="13.5" customHeight="1">
      <c r="A22" s="744" t="s">
        <v>1599</v>
      </c>
      <c r="B22" s="765" t="s">
        <v>1628</v>
      </c>
      <c r="C22" s="766">
        <f ca="1">ROUND(C21*F22,0)</f>
        <v>49</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97</v>
      </c>
      <c r="D25" s="272">
        <f ca="1">C26</f>
        <v>8.1600000000000006E-2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8.1600000000000006E-2</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97</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323</v>
      </c>
      <c r="D28" s="272">
        <f ca="1">C29</f>
        <v>0.1338</v>
      </c>
      <c r="E28" s="274" t="s">
        <v>12</v>
      </c>
      <c r="F28" s="280">
        <f ca="1">IF(C1="",'数据-取费表'!Q16,INDIRECT("'数据-取费表'!q"&amp;$K$1))</f>
        <v>0.13</v>
      </c>
      <c r="G28" s="769"/>
      <c r="H28" s="770"/>
      <c r="I28" s="770"/>
      <c r="J28" s="770"/>
      <c r="K28" s="55"/>
    </row>
    <row r="29" spans="1:33" s="283" customFormat="1" ht="13.5" customHeight="1">
      <c r="A29" s="752" t="s">
        <v>358</v>
      </c>
      <c r="B29" s="773" t="s">
        <v>1641</v>
      </c>
      <c r="C29" s="276">
        <f ca="1">ROUND((1+C24)*F28*'数据-取费表'!B24/'数据-取费表'!B20,4)</f>
        <v>0.1338</v>
      </c>
      <c r="D29" s="276"/>
      <c r="E29" s="277"/>
      <c r="F29" s="282"/>
      <c r="G29" s="123" t="s">
        <v>1642</v>
      </c>
      <c r="H29" s="759"/>
      <c r="I29" s="759"/>
      <c r="J29" s="759"/>
      <c r="K29" s="760"/>
    </row>
    <row r="30" spans="1:33" s="283" customFormat="1" ht="13.5" customHeight="1">
      <c r="A30" s="752" t="s">
        <v>359</v>
      </c>
      <c r="B30" s="773" t="s">
        <v>1643</v>
      </c>
      <c r="C30" s="284">
        <f ca="1">ROUND((C21+C22+C23)*F28,0)</f>
        <v>323</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-2332</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t="e">
        <f ca="1">C40+J29+L46</f>
        <v>#DIV/0!</v>
      </c>
      <c r="C2" s="1289" t="s">
        <v>803</v>
      </c>
      <c r="D2" s="1289"/>
      <c r="E2" s="1295"/>
      <c r="F2" s="1296"/>
      <c r="G2" s="2477"/>
      <c r="H2" s="2467"/>
      <c r="I2" s="2467"/>
      <c r="J2" s="2467"/>
      <c r="K2" s="2468"/>
      <c r="L2" s="2467"/>
      <c r="M2" s="2467"/>
    </row>
    <row r="3" spans="1:37" ht="18" customHeight="1" thickBot="1">
      <c r="A3" s="1297" t="s">
        <v>804</v>
      </c>
      <c r="B3" s="1298">
        <f ca="1">IF(ISERROR(B2*10000/F43),0,ROUND(B2*10000/F43,0))</f>
        <v>0</v>
      </c>
      <c r="C3" s="1289" t="s">
        <v>805</v>
      </c>
      <c r="D3" s="1289"/>
      <c r="E3" s="1295"/>
      <c r="F3" s="1296"/>
      <c r="G3" s="2477"/>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0</v>
      </c>
      <c r="D5" s="1273" t="s">
        <v>691</v>
      </c>
      <c r="E5" s="1008"/>
      <c r="F5" s="1009"/>
      <c r="G5" s="1292"/>
      <c r="H5" s="291">
        <v>1</v>
      </c>
      <c r="I5" s="292" t="s">
        <v>690</v>
      </c>
      <c r="J5" s="1007">
        <f ca="1">J6+J10+J12</f>
        <v>0</v>
      </c>
      <c r="K5" s="1273" t="s">
        <v>691</v>
      </c>
      <c r="L5" s="1008"/>
      <c r="M5" s="1009"/>
    </row>
    <row r="6" spans="1:37" ht="18" customHeight="1">
      <c r="A6" s="1006" t="s">
        <v>398</v>
      </c>
      <c r="B6" s="3350" t="s">
        <v>692</v>
      </c>
      <c r="C6" s="1011">
        <f ca="1">ROUND(F6*F8*F7*(1-F9)/10000,0)</f>
        <v>0</v>
      </c>
      <c r="D6" s="147" t="s">
        <v>2107</v>
      </c>
      <c r="E6" s="294" t="s">
        <v>694</v>
      </c>
      <c r="F6" s="295">
        <f ca="1">INDIRECT("'数据-取费表'!u"&amp;$G$1)</f>
        <v>0</v>
      </c>
      <c r="G6" s="1292"/>
      <c r="H6" s="1006" t="s">
        <v>398</v>
      </c>
      <c r="I6" s="3350" t="s">
        <v>692</v>
      </c>
      <c r="J6" s="293">
        <f ca="1">ROUND(M6*M8*M7*(1-M9)/10000,0)</f>
        <v>0</v>
      </c>
      <c r="K6" s="147" t="s">
        <v>2106</v>
      </c>
      <c r="L6" s="294" t="s">
        <v>694</v>
      </c>
      <c r="M6" s="295">
        <f ca="1">INDIRECT("'数据-取费表'!z"&amp;$G$1)</f>
        <v>0</v>
      </c>
    </row>
    <row r="7" spans="1:37" ht="18" customHeight="1">
      <c r="A7" s="1010"/>
      <c r="B7" s="3351"/>
      <c r="C7" s="1012"/>
      <c r="D7" s="299"/>
      <c r="E7" s="1013" t="s">
        <v>695</v>
      </c>
      <c r="F7" s="295">
        <f ca="1">IF(INDIRECT("'数据-取费表'!ah"&amp;$G$1)="",INDIRECT("'数据-取费表'!k"&amp;$G$1),INDIRECT("'数据-取费表'!ah"&amp;$G$1))</f>
        <v>0</v>
      </c>
      <c r="G7" s="1292"/>
      <c r="H7" s="296"/>
      <c r="I7" s="3351"/>
      <c r="J7" s="298"/>
      <c r="K7" s="299"/>
      <c r="L7" s="294" t="s">
        <v>695</v>
      </c>
      <c r="M7" s="295">
        <f ca="1">F7</f>
        <v>0</v>
      </c>
    </row>
    <row r="8" spans="1:37" ht="18" customHeight="1">
      <c r="A8" s="296"/>
      <c r="B8" s="3351"/>
      <c r="C8" s="298"/>
      <c r="D8" s="299"/>
      <c r="E8" s="294" t="s">
        <v>696</v>
      </c>
      <c r="F8" s="295">
        <f ca="1">INDIRECT("'数据-取费表'!ai"&amp;$G$1)</f>
        <v>0</v>
      </c>
      <c r="G8" s="1292"/>
      <c r="H8" s="296"/>
      <c r="I8" s="3351"/>
      <c r="J8" s="298"/>
      <c r="K8" s="299"/>
      <c r="L8" s="294" t="s">
        <v>696</v>
      </c>
      <c r="M8" s="295">
        <f ca="1">INDIRECT("'数据-取费表'!ai"&amp;$G$1)</f>
        <v>0</v>
      </c>
    </row>
    <row r="9" spans="1:37" ht="18" customHeight="1">
      <c r="A9" s="296"/>
      <c r="B9" s="3352"/>
      <c r="C9" s="298"/>
      <c r="D9" s="299"/>
      <c r="E9" s="294" t="s">
        <v>697</v>
      </c>
      <c r="F9" s="304">
        <f ca="1">INDIRECT("'数据-取费表'!w"&amp;$G$1)</f>
        <v>0</v>
      </c>
      <c r="G9" s="1292"/>
      <c r="H9" s="296"/>
      <c r="I9" s="3352"/>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2115</v>
      </c>
      <c r="E10" s="305" t="s">
        <v>699</v>
      </c>
      <c r="F10" s="1053"/>
      <c r="G10" s="1292"/>
      <c r="H10" s="1006" t="s">
        <v>402</v>
      </c>
      <c r="I10" s="1274" t="s">
        <v>698</v>
      </c>
      <c r="J10" s="293">
        <f ca="1">ROUND(IF(M10="押一",J6/12*M11,IF(M10="押二",J6/12*2*M11,IF(M10="押三",J6/12*3*M11,J11*M11))),0)</f>
        <v>0</v>
      </c>
      <c r="K10" s="150" t="s">
        <v>2114</v>
      </c>
      <c r="L10" s="305" t="s">
        <v>699</v>
      </c>
      <c r="M10" s="1053"/>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INDIRECT("'数据-取费表'!m"&amp;$G$1)+INDIRECT("'数据-取费表'!t"&amp;$G$1)</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ROUND(F17*(F43+INDIRECT("'数据-取费表'!S"&amp;$G$1))/10000,0)</f>
        <v>0</v>
      </c>
      <c r="D17" s="294" t="s">
        <v>715</v>
      </c>
      <c r="E17" s="294" t="s">
        <v>716</v>
      </c>
      <c r="F17" s="23">
        <f>'数据-取费表'!B35</f>
        <v>200</v>
      </c>
      <c r="G17" s="1303"/>
      <c r="H17" s="928" t="s">
        <v>398</v>
      </c>
      <c r="I17" s="294" t="s">
        <v>717</v>
      </c>
      <c r="J17" s="2138">
        <f ca="1">ROUND(IF(AND(项目基本情况!B11="自然人",项目基本情况!B10="北京市"),J6*M17/(1+'数据-取费表'!C42),J18+J19+J20),2)</f>
        <v>0</v>
      </c>
      <c r="K17" s="1257" t="s">
        <v>718</v>
      </c>
      <c r="L17" s="1256" t="s">
        <v>719</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0.02</v>
      </c>
      <c r="G18" s="1303"/>
      <c r="H18" s="928" t="s">
        <v>397</v>
      </c>
      <c r="I18" s="294" t="s">
        <v>721</v>
      </c>
      <c r="J18" s="21">
        <f ca="1">ROUND(J6*M18/(1+'数据-取费表'!C42),2)</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IF(K19="按租金收入计税",ROUND(J6*M19/(1+'数据-取费表'!C42),2),ROUND(C29*M19*0.7,2))</f>
        <v>0</v>
      </c>
      <c r="K19" s="1278" t="s">
        <v>3325</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ROUND(M20*M21/10000,2)</f>
        <v>0</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0.03</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ROUND(J14*M22,2)</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2.5</v>
      </c>
      <c r="G23" s="1303"/>
      <c r="H23" s="928" t="s">
        <v>437</v>
      </c>
      <c r="I23" s="294" t="s">
        <v>740</v>
      </c>
      <c r="J23" s="21">
        <f ca="1">ROUND(J13*M23,2)</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1.1999999999999999E-3</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ROUND(J5*M24,2)</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69"/>
      <c r="I30" s="1305"/>
      <c r="J30" s="1306"/>
      <c r="K30" s="121"/>
      <c r="L30" s="2470"/>
      <c r="M30" s="2471"/>
    </row>
    <row r="31" spans="1:37" ht="18" customHeight="1">
      <c r="A31" s="928" t="s">
        <v>398</v>
      </c>
      <c r="B31" s="294" t="s">
        <v>717</v>
      </c>
      <c r="C31" s="2138">
        <f ca="1">ROUND(IF(AND(项目基本情况!B11="自然人",项目基本情况!B10="北京市"),C6*F31/(1+'数据-取费表'!C42),C32+C33+C34),2)</f>
        <v>0</v>
      </c>
      <c r="D31" s="1257" t="s">
        <v>718</v>
      </c>
      <c r="E31" s="1256" t="s">
        <v>768</v>
      </c>
      <c r="F31" s="2137" t="str">
        <f>IF(项目基本情况!B11="企业","——",IF(M47="住宅",IF(F6*F7*F8/12/(1+'数据-取费表'!F30)&gt;100000,4%,2.5%),IF(F6*F7*F8/12/(1+'数据-取费表'!F30)&gt;100000,12%,7%)))</f>
        <v>——</v>
      </c>
      <c r="G31" s="1292"/>
      <c r="H31" s="2568" t="s">
        <v>2295</v>
      </c>
      <c r="I31" s="1305"/>
      <c r="J31" s="1306"/>
      <c r="K31" s="121"/>
      <c r="L31" s="2470"/>
      <c r="M31" s="2471"/>
    </row>
    <row r="32" spans="1:37" ht="18" customHeight="1">
      <c r="A32" s="928" t="s">
        <v>397</v>
      </c>
      <c r="B32" s="294" t="s">
        <v>721</v>
      </c>
      <c r="C32" s="21">
        <f ca="1">IF(项目基本情况!B11="自然人","——",ROUND(C6*F32/(1+'数据-取费表'!C42),2))</f>
        <v>0</v>
      </c>
      <c r="D32" s="1256" t="s">
        <v>722</v>
      </c>
      <c r="E32" s="294" t="s">
        <v>710</v>
      </c>
      <c r="F32" s="322">
        <f>'数据-取费表'!B41</f>
        <v>5.6000000000000001E-2</v>
      </c>
      <c r="G32" s="1292"/>
      <c r="H32" s="2469"/>
      <c r="I32" s="1305"/>
      <c r="J32" s="1306"/>
      <c r="K32" s="121"/>
      <c r="L32" s="2470"/>
      <c r="M32" s="2471"/>
    </row>
    <row r="33" spans="1:18" ht="18" customHeight="1">
      <c r="A33" s="928" t="s">
        <v>399</v>
      </c>
      <c r="B33" s="294" t="s">
        <v>725</v>
      </c>
      <c r="C33" s="21">
        <f ca="1">IF(项目基本情况!B11="自然人","——",IF(D33="按租金收入计税",ROUND(C6*F33/(1+'数据-取费表'!C42),2),IF(D33="按房产原值计税",ROUND(C29*F33*0.7,2),INDIRECT("'数据-取费表'!Aj"&amp;$G$1))))</f>
        <v>0</v>
      </c>
      <c r="D33" s="1278" t="s">
        <v>3325</v>
      </c>
      <c r="E33" s="294" t="s">
        <v>710</v>
      </c>
      <c r="F33" s="314">
        <f>IF(D33="按票据","——",IF(D33="按租金收入计税",'数据-取费表'!B51,'数据-取费表'!B50))</f>
        <v>0.12</v>
      </c>
      <c r="G33" s="1292"/>
      <c r="H33" s="2472"/>
      <c r="I33" s="1305"/>
      <c r="J33" s="1306"/>
      <c r="K33" s="2473"/>
      <c r="L33" s="2472"/>
      <c r="M33" s="2472"/>
    </row>
    <row r="34" spans="1:18" ht="18" customHeight="1">
      <c r="A34" s="1006" t="s">
        <v>678</v>
      </c>
      <c r="B34" s="147" t="s">
        <v>728</v>
      </c>
      <c r="C34" s="22">
        <f ca="1">IF(项目基本情况!B11="自然人","——",ROUND(F34*F35/10000,2))</f>
        <v>0</v>
      </c>
      <c r="D34" s="316" t="s">
        <v>729</v>
      </c>
      <c r="E34" s="294" t="s">
        <v>730</v>
      </c>
      <c r="F34" s="317">
        <f>'数据-取费表'!B52</f>
        <v>1.5</v>
      </c>
      <c r="G34" s="1292"/>
      <c r="H34" s="2469"/>
      <c r="I34" s="1305"/>
      <c r="J34" s="1306"/>
      <c r="K34" s="2474"/>
      <c r="L34" s="2475"/>
      <c r="M34" s="2475"/>
    </row>
    <row r="35" spans="1:18" ht="18" customHeight="1">
      <c r="A35" s="1040"/>
      <c r="B35" s="1038"/>
      <c r="C35" s="26"/>
      <c r="D35" s="319"/>
      <c r="E35" s="294" t="s">
        <v>734</v>
      </c>
      <c r="F35" s="295">
        <f ca="1">INDIRECT("'数据-取费表'!r"&amp;$G$1)</f>
        <v>0</v>
      </c>
      <c r="G35" s="1292"/>
      <c r="H35" s="2469"/>
      <c r="I35" s="1305"/>
      <c r="J35" s="1306"/>
      <c r="K35" s="2473"/>
      <c r="L35" s="2472"/>
      <c r="M35" s="2472"/>
    </row>
    <row r="36" spans="1:18" ht="18" customHeight="1">
      <c r="A36" s="1039" t="s">
        <v>402</v>
      </c>
      <c r="B36" s="294" t="s">
        <v>736</v>
      </c>
      <c r="C36" s="21">
        <f ca="1">ROUND(C29*F36,2)</f>
        <v>0</v>
      </c>
      <c r="D36" s="1256" t="s">
        <v>769</v>
      </c>
      <c r="E36" s="294" t="s">
        <v>710</v>
      </c>
      <c r="F36" s="320">
        <f ca="1">INDIRECT("'数据-取费表'!Ak"&amp;$G$1)</f>
        <v>0</v>
      </c>
      <c r="G36" s="1292"/>
      <c r="H36" s="2472"/>
      <c r="I36" s="1305"/>
      <c r="J36" s="1306"/>
      <c r="K36" s="2329"/>
      <c r="L36" s="2472"/>
      <c r="M36" s="2472"/>
    </row>
    <row r="37" spans="1:18" ht="18" customHeight="1">
      <c r="A37" s="928" t="s">
        <v>437</v>
      </c>
      <c r="B37" s="294" t="s">
        <v>740</v>
      </c>
      <c r="C37" s="21">
        <f ca="1">ROUND(C13*F37,2)</f>
        <v>0</v>
      </c>
      <c r="D37" s="1256" t="s">
        <v>741</v>
      </c>
      <c r="E37" s="294" t="s">
        <v>742</v>
      </c>
      <c r="F37" s="321">
        <f ca="1">INDIRECT("'数据-取费表'!Al"&amp;$G$1)</f>
        <v>0</v>
      </c>
      <c r="G37" s="1292"/>
      <c r="H37" s="2472"/>
      <c r="I37" s="1305"/>
      <c r="J37" s="1306"/>
      <c r="K37" s="2329"/>
      <c r="L37" s="2472"/>
      <c r="M37" s="2472"/>
    </row>
    <row r="38" spans="1:18" ht="18" customHeight="1" thickBot="1">
      <c r="A38" s="1026" t="s">
        <v>682</v>
      </c>
      <c r="B38" s="1027" t="s">
        <v>726</v>
      </c>
      <c r="C38" s="1028">
        <f ca="1">ROUND(C5*F38,2)</f>
        <v>0</v>
      </c>
      <c r="D38" s="1029" t="s">
        <v>746</v>
      </c>
      <c r="E38" s="1027" t="s">
        <v>742</v>
      </c>
      <c r="F38" s="1023">
        <f ca="1">INDIRECT("'数据-取费表'!Am"&amp;$G$1)</f>
        <v>0</v>
      </c>
      <c r="G38" s="1292"/>
      <c r="H38" s="2472"/>
      <c r="I38" s="1305"/>
      <c r="J38" s="1306"/>
      <c r="K38" s="2470"/>
      <c r="L38" s="2472"/>
      <c r="M38" s="2472"/>
    </row>
    <row r="39" spans="1:18" ht="24.6" customHeight="1" thickTop="1">
      <c r="A39" s="1016" t="s">
        <v>394</v>
      </c>
      <c r="B39" s="1031" t="s">
        <v>770</v>
      </c>
      <c r="C39" s="302">
        <f ca="1">C5-C30</f>
        <v>0</v>
      </c>
      <c r="D39" s="1032" t="s">
        <v>771</v>
      </c>
      <c r="E39" s="1033"/>
      <c r="F39" s="1034"/>
      <c r="G39" s="1292"/>
      <c r="H39" s="2472"/>
      <c r="I39" s="1305"/>
      <c r="J39" s="1306"/>
      <c r="K39" s="2470"/>
      <c r="L39" s="2472"/>
      <c r="M39" s="2472"/>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0"/>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764</v>
      </c>
      <c r="F42" s="304">
        <f ca="1">INDIRECT("'数据-取费表'!v"&amp;$G$1)</f>
        <v>0</v>
      </c>
      <c r="G42" s="1292"/>
      <c r="H42" s="121"/>
      <c r="I42" s="1305"/>
      <c r="J42" s="1306"/>
      <c r="K42" s="2329"/>
      <c r="L42" s="121"/>
      <c r="M42" s="121"/>
    </row>
    <row r="43" spans="1:18" ht="18" customHeight="1" thickBot="1">
      <c r="A43" s="325" t="s">
        <v>396</v>
      </c>
      <c r="B43" s="326" t="s">
        <v>774</v>
      </c>
      <c r="C43" s="327" t="e">
        <f ca="1">ROUND(C40*10000/F43,0)</f>
        <v>#DIV/0!</v>
      </c>
      <c r="D43" s="328" t="s">
        <v>775</v>
      </c>
      <c r="E43" s="329" t="s">
        <v>776</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806</v>
      </c>
      <c r="P45" s="1366"/>
      <c r="Q45" s="1366"/>
      <c r="R45" s="1366"/>
    </row>
    <row r="46" spans="1:18" s="1292" customFormat="1" ht="13.5" thickBot="1">
      <c r="A46" s="1311" t="s">
        <v>807</v>
      </c>
      <c r="C46" s="1312" t="e">
        <f ca="1">C68-C40</f>
        <v>#DIV/0!</v>
      </c>
      <c r="D46" s="1313" t="str">
        <f>C2</f>
        <v>万元</v>
      </c>
      <c r="E46" s="1307"/>
      <c r="F46" s="1307"/>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28.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ROUND(F49*F51*F50*(1-F52)/10000,0)</f>
        <v>0</v>
      </c>
      <c r="D49" s="992" t="s">
        <v>2108</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1055"/>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24.75" thickBot="1">
      <c r="A53" s="1079" t="s">
        <v>440</v>
      </c>
      <c r="B53" s="1281" t="s">
        <v>698</v>
      </c>
      <c r="C53" s="308">
        <f ca="1">ROUND(IF(F53="押一",C49/12*F11,IF(F53="押二",C49/12*2*F11,IF(F53="押三",C49/12*3*F11,C54*F11))),0)</f>
        <v>0</v>
      </c>
      <c r="D53" s="150" t="s">
        <v>2114</v>
      </c>
      <c r="E53" s="305" t="s">
        <v>699</v>
      </c>
      <c r="F53" s="1053"/>
      <c r="I53" s="1344" t="s">
        <v>834</v>
      </c>
      <c r="J53" s="2004">
        <f ca="1">IF(M47="住宅",IF(D1="——",MAX(J51,L48),MAX(J51,L48-'数据-取费表'!B24)),IF(D1="——",MIN(J51,L48),MIN(J51,L48-'数据-取费表'!B24)))</f>
        <v>0</v>
      </c>
      <c r="K53" s="3348" t="s">
        <v>835</v>
      </c>
      <c r="L53" s="3349"/>
      <c r="O53" s="1325" t="s">
        <v>409</v>
      </c>
      <c r="P53" s="1326" t="s">
        <v>836</v>
      </c>
      <c r="Q53" s="1327" t="e">
        <f ca="1">Q47+Q48</f>
        <v>#DIV/0!</v>
      </c>
      <c r="R53" s="1327" t="s">
        <v>410</v>
      </c>
    </row>
    <row r="54" spans="1:18" s="1292" customFormat="1" ht="13.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25.5" thickTop="1" thickBot="1">
      <c r="A56" s="903">
        <v>2</v>
      </c>
      <c r="B56" s="904" t="s">
        <v>702</v>
      </c>
      <c r="C56" s="224">
        <f ca="1">C13</f>
        <v>0</v>
      </c>
      <c r="D56" s="1352"/>
      <c r="E56" s="1353"/>
      <c r="F56" s="1345"/>
      <c r="I56" s="1354" t="s">
        <v>840</v>
      </c>
      <c r="J56" s="1355"/>
      <c r="K56" s="1328" t="s">
        <v>841</v>
      </c>
      <c r="L56" s="1331">
        <f ca="1">IF(L48&lt;J51,"——",L48-J53)</f>
        <v>0</v>
      </c>
      <c r="O56" s="1325" t="s">
        <v>403</v>
      </c>
      <c r="P56" s="1326" t="s">
        <v>815</v>
      </c>
      <c r="Q56" s="1327" t="e">
        <f ca="1">C40+J29</f>
        <v>#DIV/0!</v>
      </c>
      <c r="R56" s="1327" t="s">
        <v>816</v>
      </c>
    </row>
    <row r="57" spans="1:18" s="1292" customFormat="1" ht="24.75" thickBot="1">
      <c r="A57" s="1356"/>
      <c r="B57" s="896" t="s">
        <v>765</v>
      </c>
      <c r="C57" s="230">
        <f ca="1">C29</f>
        <v>0</v>
      </c>
      <c r="D57" s="1357"/>
      <c r="E57" s="1358"/>
      <c r="F57" s="1359"/>
      <c r="I57" s="1360" t="s">
        <v>842</v>
      </c>
      <c r="J57" s="1361">
        <f ca="1">IF(OR(M47="住宅",J51&lt;L48,J56="是"),"——",J51-L48)</f>
        <v>0</v>
      </c>
      <c r="K57" s="1328" t="s">
        <v>843</v>
      </c>
      <c r="L57" s="1331">
        <f ca="1">IF(L48&lt;J51,"——",IF(L55="比较法",L49,IF(L55="基准地价",L50,L51)))</f>
        <v>0</v>
      </c>
      <c r="O57" s="1325" t="s">
        <v>404</v>
      </c>
      <c r="P57" s="1326" t="s">
        <v>844</v>
      </c>
      <c r="Q57" s="1327" t="e">
        <f ca="1">L60</f>
        <v>#DIV/0!</v>
      </c>
      <c r="R57" s="1327" t="s">
        <v>845</v>
      </c>
    </row>
    <row r="58" spans="1:18" s="1292" customFormat="1" ht="24.75" thickBot="1">
      <c r="A58" s="307" t="s">
        <v>393</v>
      </c>
      <c r="B58" s="904" t="s">
        <v>712</v>
      </c>
      <c r="C58" s="308">
        <f ca="1">ROUND(C59+C64+C65+C66,0)</f>
        <v>0</v>
      </c>
      <c r="D58" s="906" t="s">
        <v>713</v>
      </c>
      <c r="E58" s="907"/>
      <c r="F58" s="908"/>
      <c r="I58" s="1360" t="s">
        <v>846</v>
      </c>
      <c r="J58" s="1362" t="e">
        <f ca="1">IF(J55&lt;0.4,0.4,J55)</f>
        <v>#DIV/0!</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38">
        <f ca="1">ROUND(IF(AND(项目基本情况!B11="自然人",项目基本情况!B10="北京市"),C49*F59/(1+'数据-取费表'!C42),C60+C61+C62),0)</f>
        <v>0</v>
      </c>
      <c r="D59" s="909" t="s">
        <v>718</v>
      </c>
      <c r="E59" s="910" t="s">
        <v>719</v>
      </c>
      <c r="F59" s="2137" t="str">
        <f>IF(项目基本情况!B11="企业","——",IF('数据-取费表'!B10="住宅",IF(F49*F50*F51/12/(1+'数据-取费表'!F30)&gt;100000,4%,2.5%),IF(F49*F50*F51/12/(1+'数据-取费表'!F30)&gt;100000,12%,7%)))</f>
        <v>——</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IF(项目基本情况!B11="自然人","——",ROUND(C48*F60/(1+'数据-取费表'!C42),2))</f>
        <v>0</v>
      </c>
      <c r="D60" s="910" t="s">
        <v>722</v>
      </c>
      <c r="E60" s="896" t="s">
        <v>710</v>
      </c>
      <c r="F60" s="322">
        <f t="shared" ref="F60:F66" si="0">F32</f>
        <v>5.6000000000000001E-2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IF(项目基本情况!B11="自然人","——",IF(D61="按租金收入计税",ROUND(C49*F61/(1+'数据-取费表'!C42),2),IF(D61="按房产原值计税",ROUND(C57*F61*0.7,2),INDIRECT("'数据-取费表'!Aj"&amp;$G$1))))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IF(项目基本情况!B11="自然人","——",ROUND(F62*F63/10000,2))</f>
        <v>0</v>
      </c>
      <c r="D62" s="911" t="s">
        <v>784</v>
      </c>
      <c r="E62" s="896" t="s">
        <v>785</v>
      </c>
      <c r="F62" s="317">
        <f t="shared" si="0"/>
        <v>1.5</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ROUND(C57*F64,2)</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ROUND(C56*F65,2)</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5" thickBot="1">
      <c r="A66" s="928" t="s">
        <v>791</v>
      </c>
      <c r="B66" s="896" t="s">
        <v>726</v>
      </c>
      <c r="C66" s="21">
        <f ca="1">ROUND(C48*F66,2)</f>
        <v>0</v>
      </c>
      <c r="D66" s="910" t="s">
        <v>792</v>
      </c>
      <c r="E66" s="896" t="s">
        <v>710</v>
      </c>
      <c r="F66" s="304">
        <f t="shared" ca="1" si="0"/>
        <v>0</v>
      </c>
      <c r="O66" s="1325" t="s">
        <v>404</v>
      </c>
      <c r="P66" s="1326" t="s">
        <v>844</v>
      </c>
      <c r="Q66" s="1327" t="e">
        <f ca="1">L60</f>
        <v>#DIV/0!</v>
      </c>
      <c r="R66" s="1327" t="s">
        <v>867</v>
      </c>
    </row>
    <row r="67" spans="1:18" s="1292" customFormat="1" ht="1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5"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ROUND(C68*10000/F71,0)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2" t="e">
        <f ca="1">ROUND(D2/10000,4)</f>
        <v>#DIV/0!</v>
      </c>
      <c r="C2" s="1289" t="s">
        <v>877</v>
      </c>
      <c r="D2" s="1375" t="e">
        <f ca="1">C40+J29+L46</f>
        <v>#DIV/0!</v>
      </c>
      <c r="E2" s="1295" t="s">
        <v>878</v>
      </c>
      <c r="F2" s="1296"/>
      <c r="G2" s="2477"/>
      <c r="H2" s="2467"/>
      <c r="I2" s="2467"/>
      <c r="J2" s="2467"/>
      <c r="K2" s="2468"/>
      <c r="L2" s="2467"/>
      <c r="M2" s="2467"/>
    </row>
    <row r="3" spans="1:37" ht="18" customHeight="1" thickBot="1">
      <c r="A3" s="1297" t="s">
        <v>879</v>
      </c>
      <c r="B3" s="1298">
        <f ca="1">IF(ISERROR(D2/F43),0,ROUND(D2/F43,0))</f>
        <v>0</v>
      </c>
      <c r="C3" s="1289" t="s">
        <v>880</v>
      </c>
      <c r="D3" s="1289"/>
      <c r="E3" s="1295"/>
      <c r="F3" s="1296"/>
      <c r="G3" s="2477"/>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0</v>
      </c>
      <c r="D5" s="1273" t="s">
        <v>887</v>
      </c>
      <c r="E5" s="1008"/>
      <c r="F5" s="1009"/>
      <c r="G5" s="1292"/>
      <c r="H5" s="291">
        <v>1</v>
      </c>
      <c r="I5" s="292" t="s">
        <v>886</v>
      </c>
      <c r="J5" s="1007">
        <f ca="1">J6+J10+J12</f>
        <v>0</v>
      </c>
      <c r="K5" s="1273" t="s">
        <v>887</v>
      </c>
      <c r="L5" s="1008"/>
      <c r="M5" s="1009"/>
    </row>
    <row r="6" spans="1:37" ht="18" customHeight="1">
      <c r="A6" s="1006" t="s">
        <v>398</v>
      </c>
      <c r="B6" s="3350" t="s">
        <v>692</v>
      </c>
      <c r="C6" s="1011">
        <f ca="1">ROUND(F6*F8*F7*(1-F9),0)</f>
        <v>0</v>
      </c>
      <c r="D6" s="147" t="s">
        <v>2104</v>
      </c>
      <c r="E6" s="294" t="s">
        <v>694</v>
      </c>
      <c r="F6" s="295">
        <f ca="1">INDIRECT("'数据-取费表'!u"&amp;$G$1)</f>
        <v>0</v>
      </c>
      <c r="G6" s="1292"/>
      <c r="H6" s="1006" t="s">
        <v>398</v>
      </c>
      <c r="I6" s="3350" t="s">
        <v>692</v>
      </c>
      <c r="J6" s="293">
        <f ca="1">ROUND(M6*M8*M7*(1-M9),0)</f>
        <v>0</v>
      </c>
      <c r="K6" s="1284" t="s">
        <v>2105</v>
      </c>
      <c r="L6" s="294" t="s">
        <v>694</v>
      </c>
      <c r="M6" s="295">
        <f ca="1">INDIRECT("'数据-取费表'!z"&amp;$G$1)</f>
        <v>0</v>
      </c>
    </row>
    <row r="7" spans="1:37" ht="18" customHeight="1">
      <c r="A7" s="1010"/>
      <c r="B7" s="3351"/>
      <c r="C7" s="1012"/>
      <c r="D7" s="299"/>
      <c r="E7" s="1013" t="s">
        <v>695</v>
      </c>
      <c r="F7" s="295">
        <f ca="1">IF(INDIRECT("'数据-取费表'!ah"&amp;$G$1)="",INDIRECT("'数据-取费表'!k"&amp;$G$1),INDIRECT("'数据-取费表'!ah"&amp;$G$1))</f>
        <v>0</v>
      </c>
      <c r="G7" s="1292"/>
      <c r="H7" s="296"/>
      <c r="I7" s="3351"/>
      <c r="J7" s="298"/>
      <c r="K7" s="299"/>
      <c r="L7" s="294" t="s">
        <v>695</v>
      </c>
      <c r="M7" s="295">
        <f ca="1">F7</f>
        <v>0</v>
      </c>
    </row>
    <row r="8" spans="1:37" ht="18" customHeight="1">
      <c r="A8" s="296"/>
      <c r="B8" s="3351"/>
      <c r="C8" s="298"/>
      <c r="D8" s="299"/>
      <c r="E8" s="294" t="s">
        <v>696</v>
      </c>
      <c r="F8" s="295">
        <f ca="1">INDIRECT("'数据-取费表'!ai"&amp;$G$1)</f>
        <v>0</v>
      </c>
      <c r="G8" s="1292"/>
      <c r="H8" s="296"/>
      <c r="I8" s="3351"/>
      <c r="J8" s="298"/>
      <c r="K8" s="299"/>
      <c r="L8" s="294" t="s">
        <v>696</v>
      </c>
      <c r="M8" s="295">
        <f ca="1">INDIRECT("'数据-取费表'!ai"&amp;$G$1)</f>
        <v>0</v>
      </c>
    </row>
    <row r="9" spans="1:37" ht="18" customHeight="1">
      <c r="A9" s="296"/>
      <c r="B9" s="3352"/>
      <c r="C9" s="298"/>
      <c r="D9" s="299"/>
      <c r="E9" s="294" t="s">
        <v>697</v>
      </c>
      <c r="F9" s="304">
        <f ca="1">INDIRECT("'数据-取费表'!w"&amp;$G$1)</f>
        <v>0</v>
      </c>
      <c r="G9" s="1292"/>
      <c r="H9" s="296"/>
      <c r="I9" s="3352"/>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2114</v>
      </c>
      <c r="E10" s="305" t="s">
        <v>699</v>
      </c>
      <c r="F10" s="1053"/>
      <c r="G10" s="1292"/>
      <c r="H10" s="1006" t="s">
        <v>402</v>
      </c>
      <c r="I10" s="1274" t="s">
        <v>698</v>
      </c>
      <c r="J10" s="293">
        <f ca="1">ROUND(IF(M10="押一",J6/12*M11,IF(M10="押二",J6/12*2*M11,IF(M10="押三",J6/12*3*M11,J11*M11))),0)</f>
        <v>0</v>
      </c>
      <c r="K10" s="1285" t="s">
        <v>2116</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ROUND(F17*(F43+INDIRECT("'数据-取费表'!S"&amp;$G$1)),0)</f>
        <v>0</v>
      </c>
      <c r="D17" s="294" t="s">
        <v>715</v>
      </c>
      <c r="E17" s="294" t="s">
        <v>716</v>
      </c>
      <c r="F17" s="23">
        <f>'数据-取费表'!B35</f>
        <v>200</v>
      </c>
      <c r="G17" s="1303"/>
      <c r="H17" s="928" t="s">
        <v>398</v>
      </c>
      <c r="I17" s="294" t="s">
        <v>717</v>
      </c>
      <c r="J17" s="2138">
        <f ca="1">ROUND(IF(AND(项目基本情况!B11="自然人",项目基本情况!B10="北京市"),J6*M17/(1+'数据-取费表'!C42),J18+J19+J20),0)</f>
        <v>0</v>
      </c>
      <c r="K17" s="1257" t="s">
        <v>718</v>
      </c>
      <c r="L17" s="1256" t="s">
        <v>719</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0.02</v>
      </c>
      <c r="G18" s="1303"/>
      <c r="H18" s="928" t="s">
        <v>397</v>
      </c>
      <c r="I18" s="294" t="s">
        <v>721</v>
      </c>
      <c r="J18" s="21">
        <f ca="1">ROUND(J6*M18/(1+'数据-取费表'!C42),0)</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IF(K19="按租金收入计税",ROUND(J6*M19/(1+'数据-取费表'!C42),0),ROUND(C29*M19*0.7,0))</f>
        <v>0</v>
      </c>
      <c r="K19" s="1278" t="s">
        <v>3325</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ROUND(M20*M21,0)</f>
        <v>0</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0.03</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ROUND(J14*M22,0)</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2.5</v>
      </c>
      <c r="G23" s="1303"/>
      <c r="H23" s="928" t="s">
        <v>437</v>
      </c>
      <c r="I23" s="294" t="s">
        <v>740</v>
      </c>
      <c r="J23" s="21">
        <f ca="1">ROUND(J13*M23,0)</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1.1999999999999999E-3</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ROUND(J5*M24,0)</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69"/>
      <c r="I30" s="1305"/>
      <c r="J30" s="1306"/>
      <c r="K30" s="121"/>
      <c r="L30" s="2470"/>
      <c r="M30" s="2471"/>
    </row>
    <row r="31" spans="1:37" ht="18" customHeight="1">
      <c r="A31" s="928" t="s">
        <v>398</v>
      </c>
      <c r="B31" s="294" t="s">
        <v>717</v>
      </c>
      <c r="C31" s="2138">
        <f ca="1">ROUND(IF(AND(项目基本情况!B11="自然人",项目基本情况!B10="北京市"),C6*F31/(1+'数据-取费表'!C42),C32+C33+C34),0)</f>
        <v>0</v>
      </c>
      <c r="D31" s="1257" t="s">
        <v>718</v>
      </c>
      <c r="E31" s="1256" t="s">
        <v>768</v>
      </c>
      <c r="F31" s="2137" t="str">
        <f>IF(项目基本情况!B11="企业","——",IF(M47="住宅",IF(F6*F7*F8/12/(1+'数据-取费表'!F30)&gt;100000,4%,2.5%),IF(F6*F7*F8/12/(1+'数据-取费表'!F30)&gt;100000,12%,7%)))</f>
        <v>——</v>
      </c>
      <c r="G31" s="1292"/>
      <c r="H31" s="2568" t="s">
        <v>2295</v>
      </c>
      <c r="I31" s="1305"/>
      <c r="J31" s="1306"/>
      <c r="K31" s="121"/>
      <c r="L31" s="2470"/>
      <c r="M31" s="2471"/>
    </row>
    <row r="32" spans="1:37" ht="18" customHeight="1">
      <c r="A32" s="928" t="s">
        <v>397</v>
      </c>
      <c r="B32" s="294" t="s">
        <v>721</v>
      </c>
      <c r="C32" s="21">
        <f ca="1">IF(项目基本情况!B11="自然人","——",ROUND(C6*F32/(1+'数据-取费表'!C42),0))</f>
        <v>0</v>
      </c>
      <c r="D32" s="1256" t="s">
        <v>722</v>
      </c>
      <c r="E32" s="294" t="s">
        <v>710</v>
      </c>
      <c r="F32" s="322">
        <f>'数据-取费表'!B41</f>
        <v>5.6000000000000001E-2</v>
      </c>
      <c r="G32" s="1292"/>
      <c r="H32" s="2469"/>
      <c r="I32" s="1305"/>
      <c r="J32" s="1306"/>
      <c r="K32" s="121"/>
      <c r="L32" s="2470"/>
      <c r="M32" s="2471"/>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8" t="s">
        <v>3325</v>
      </c>
      <c r="E33" s="294" t="s">
        <v>710</v>
      </c>
      <c r="F33" s="314">
        <f>IF(D33="按票据","——",IF(D33="按租金收入计税",'数据-取费表'!B51,'数据-取费表'!B50))</f>
        <v>0.12</v>
      </c>
      <c r="G33" s="1292"/>
      <c r="H33" s="2472"/>
      <c r="I33" s="1305"/>
      <c r="J33" s="1306"/>
      <c r="K33" s="2473"/>
      <c r="L33" s="2472"/>
      <c r="M33" s="2472"/>
    </row>
    <row r="34" spans="1:18" ht="18" customHeight="1">
      <c r="A34" s="1006" t="s">
        <v>678</v>
      </c>
      <c r="B34" s="147" t="s">
        <v>728</v>
      </c>
      <c r="C34" s="22">
        <f ca="1">IF(项目基本情况!B11="自然人","——",ROUND(F34*F35,0))</f>
        <v>0</v>
      </c>
      <c r="D34" s="316" t="s">
        <v>729</v>
      </c>
      <c r="E34" s="294" t="s">
        <v>730</v>
      </c>
      <c r="F34" s="317">
        <f>'数据-取费表'!B52</f>
        <v>1.5</v>
      </c>
      <c r="G34" s="1292"/>
      <c r="H34" s="2469"/>
      <c r="I34" s="1305"/>
      <c r="J34" s="1306"/>
      <c r="K34" s="2474"/>
      <c r="L34" s="2475"/>
      <c r="M34" s="2475"/>
    </row>
    <row r="35" spans="1:18" ht="18" customHeight="1">
      <c r="A35" s="1040"/>
      <c r="B35" s="1038"/>
      <c r="C35" s="26"/>
      <c r="D35" s="319"/>
      <c r="E35" s="294" t="s">
        <v>734</v>
      </c>
      <c r="F35" s="295">
        <f ca="1">INDIRECT("'数据-取费表'!r"&amp;$G$1)</f>
        <v>0</v>
      </c>
      <c r="G35" s="1292"/>
      <c r="H35" s="2469"/>
      <c r="I35" s="1305"/>
      <c r="J35" s="1306"/>
      <c r="K35" s="2473"/>
      <c r="L35" s="2472"/>
      <c r="M35" s="2472"/>
    </row>
    <row r="36" spans="1:18" ht="18" customHeight="1">
      <c r="A36" s="1039" t="s">
        <v>402</v>
      </c>
      <c r="B36" s="294" t="s">
        <v>736</v>
      </c>
      <c r="C36" s="21">
        <f ca="1">ROUND(C29*F36,0)</f>
        <v>0</v>
      </c>
      <c r="D36" s="1256" t="s">
        <v>769</v>
      </c>
      <c r="E36" s="294" t="s">
        <v>710</v>
      </c>
      <c r="F36" s="320">
        <f ca="1">INDIRECT("'数据-取费表'!Ak"&amp;$G$1)</f>
        <v>0</v>
      </c>
      <c r="G36" s="1292"/>
      <c r="H36" s="2472"/>
      <c r="I36" s="1305"/>
      <c r="J36" s="1306"/>
      <c r="K36" s="2329"/>
      <c r="L36" s="2472"/>
      <c r="M36" s="2472"/>
    </row>
    <row r="37" spans="1:18" ht="18" customHeight="1">
      <c r="A37" s="928" t="s">
        <v>437</v>
      </c>
      <c r="B37" s="294" t="s">
        <v>740</v>
      </c>
      <c r="C37" s="21">
        <f ca="1">ROUND(C13*F37,0)</f>
        <v>0</v>
      </c>
      <c r="D37" s="1256" t="s">
        <v>741</v>
      </c>
      <c r="E37" s="294" t="s">
        <v>742</v>
      </c>
      <c r="F37" s="321">
        <f ca="1">INDIRECT("'数据-取费表'!Al"&amp;$G$1)</f>
        <v>0</v>
      </c>
      <c r="G37" s="1292"/>
      <c r="H37" s="2472"/>
      <c r="I37" s="1305"/>
      <c r="J37" s="1306"/>
      <c r="K37" s="2329"/>
      <c r="L37" s="2472"/>
      <c r="M37" s="2472"/>
    </row>
    <row r="38" spans="1:18" ht="18" customHeight="1" thickBot="1">
      <c r="A38" s="1026" t="s">
        <v>682</v>
      </c>
      <c r="B38" s="1027" t="s">
        <v>726</v>
      </c>
      <c r="C38" s="1028">
        <f ca="1">ROUND(C5*F38,0)</f>
        <v>0</v>
      </c>
      <c r="D38" s="1029" t="s">
        <v>746</v>
      </c>
      <c r="E38" s="1027" t="s">
        <v>742</v>
      </c>
      <c r="F38" s="1023">
        <f ca="1">INDIRECT("'数据-取费表'!Am"&amp;$G$1)</f>
        <v>0</v>
      </c>
      <c r="G38" s="1292"/>
      <c r="H38" s="2472"/>
      <c r="I38" s="1305"/>
      <c r="J38" s="1306"/>
      <c r="K38" s="2470"/>
      <c r="L38" s="2472"/>
      <c r="M38" s="2472"/>
    </row>
    <row r="39" spans="1:18" ht="24.6" customHeight="1" thickTop="1">
      <c r="A39" s="1016" t="s">
        <v>394</v>
      </c>
      <c r="B39" s="1031" t="s">
        <v>770</v>
      </c>
      <c r="C39" s="302">
        <f ca="1">C5-C30</f>
        <v>0</v>
      </c>
      <c r="D39" s="1032" t="s">
        <v>771</v>
      </c>
      <c r="E39" s="1033"/>
      <c r="F39" s="1034"/>
      <c r="G39" s="1292"/>
      <c r="H39" s="2472"/>
      <c r="I39" s="1305"/>
      <c r="J39" s="1306"/>
      <c r="K39" s="2470"/>
      <c r="L39" s="2472"/>
      <c r="M39" s="2472"/>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0"/>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764</v>
      </c>
      <c r="F42" s="304">
        <f ca="1">INDIRECT("'数据-取费表'!v"&amp;$G$1)</f>
        <v>0</v>
      </c>
      <c r="G42" s="1292"/>
      <c r="H42" s="121"/>
      <c r="I42" s="1305"/>
      <c r="J42" s="1306"/>
      <c r="K42" s="2329"/>
      <c r="L42" s="121"/>
      <c r="M42" s="121"/>
    </row>
    <row r="43" spans="1:18" ht="18" customHeight="1" thickBot="1">
      <c r="A43" s="325" t="s">
        <v>396</v>
      </c>
      <c r="B43" s="326" t="s">
        <v>774</v>
      </c>
      <c r="C43" s="327" t="e">
        <f ca="1">ROUND(C40/F43,0)</f>
        <v>#DIV/0!</v>
      </c>
      <c r="D43" s="328" t="s">
        <v>775</v>
      </c>
      <c r="E43" s="329" t="s">
        <v>776</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3341</v>
      </c>
      <c r="B45" s="1307"/>
      <c r="C45" s="1376" t="e">
        <f ca="1">ROUND((C68-C40)/10000,4)</f>
        <v>#DIV/0!</v>
      </c>
      <c r="D45" s="3129" t="s">
        <v>3342</v>
      </c>
      <c r="E45" s="1307"/>
      <c r="F45" s="1307"/>
      <c r="O45" s="1310" t="s">
        <v>806</v>
      </c>
      <c r="P45" s="1366"/>
      <c r="Q45" s="1366"/>
      <c r="R45" s="1366"/>
    </row>
    <row r="46" spans="1:18" s="1292" customFormat="1" ht="13.5" thickBot="1">
      <c r="A46" s="1311" t="s">
        <v>807</v>
      </c>
      <c r="C46" s="1312" t="e">
        <f ca="1">ROUND(C45,0)</f>
        <v>#DIV/0!</v>
      </c>
      <c r="D46" s="1313" t="str">
        <f>C2</f>
        <v>万元</v>
      </c>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28.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926"/>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30.75" customHeight="1" thickBot="1">
      <c r="A53" s="1048" t="s">
        <v>440</v>
      </c>
      <c r="B53" s="315" t="s">
        <v>698</v>
      </c>
      <c r="C53" s="308">
        <f ca="1">ROUND(IF(F53="押一",C49/12*F11,IF(F53="押二",C49/12*2*F11,IF(F53="押三",C49/12*3*F11,C54*F11))),0)</f>
        <v>0</v>
      </c>
      <c r="D53" s="150" t="s">
        <v>2117</v>
      </c>
      <c r="E53" s="305" t="s">
        <v>699</v>
      </c>
      <c r="F53" s="1053"/>
      <c r="I53" s="1344" t="s">
        <v>834</v>
      </c>
      <c r="J53" s="2004">
        <f ca="1">IF(M47="住宅",IF(D1="——",MAX(J51,L48),MAX(J51,L48-'数据-取费表'!B24)),IF(D1="——",MIN(J51,L48),MIN(J51,L48-'数据-取费表'!B24)))</f>
        <v>0</v>
      </c>
      <c r="K53" s="3348" t="s">
        <v>835</v>
      </c>
      <c r="L53" s="3349"/>
      <c r="O53" s="1325" t="s">
        <v>409</v>
      </c>
      <c r="P53" s="1326" t="s">
        <v>836</v>
      </c>
      <c r="Q53" s="1327" t="e">
        <f ca="1">Q47+Q48</f>
        <v>#DIV/0!</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0</v>
      </c>
      <c r="D56" s="1352"/>
      <c r="E56" s="1353"/>
      <c r="F56" s="1345"/>
      <c r="I56" s="1354" t="s">
        <v>840</v>
      </c>
      <c r="J56" s="1355"/>
      <c r="K56" s="1328" t="s">
        <v>841</v>
      </c>
      <c r="L56" s="1331">
        <f ca="1">IF(L48&lt;J51,"——",L48-J51)</f>
        <v>0</v>
      </c>
      <c r="O56" s="1325" t="s">
        <v>403</v>
      </c>
      <c r="P56" s="1326" t="s">
        <v>815</v>
      </c>
      <c r="Q56" s="1327" t="e">
        <f ca="1">C40+J29</f>
        <v>#DIV/0!</v>
      </c>
      <c r="R56" s="1327" t="s">
        <v>816</v>
      </c>
    </row>
    <row r="57" spans="1:18" s="1292" customFormat="1" ht="24.75" thickBot="1">
      <c r="A57" s="1356"/>
      <c r="B57" s="896" t="s">
        <v>765</v>
      </c>
      <c r="C57" s="230">
        <f ca="1">C29</f>
        <v>0</v>
      </c>
      <c r="D57" s="1357"/>
      <c r="E57" s="1358"/>
      <c r="F57" s="1359"/>
      <c r="I57" s="1360" t="s">
        <v>842</v>
      </c>
      <c r="J57" s="1361">
        <f ca="1">IF(OR(M47="住宅",J51&lt;L48,J56="是"),"——",J51-L48)</f>
        <v>0</v>
      </c>
      <c r="K57" s="1328" t="s">
        <v>890</v>
      </c>
      <c r="L57" s="1331">
        <f ca="1">IF(L48&lt;J51,"——",IF(L55="比较法",L49,IF(L55="基准地价",L50,L51)))</f>
        <v>0</v>
      </c>
      <c r="O57" s="1325" t="s">
        <v>404</v>
      </c>
      <c r="P57" s="1326" t="s">
        <v>891</v>
      </c>
      <c r="Q57" s="1327" t="e">
        <f ca="1">L60</f>
        <v>#DIV/0!</v>
      </c>
      <c r="R57" s="1327" t="s">
        <v>892</v>
      </c>
    </row>
    <row r="58" spans="1:18" s="1292" customFormat="1" ht="24.75" thickBot="1">
      <c r="A58" s="307" t="s">
        <v>393</v>
      </c>
      <c r="B58" s="904" t="s">
        <v>712</v>
      </c>
      <c r="C58" s="308">
        <f ca="1">ROUND(C59+C64+C65+C66,0)</f>
        <v>0</v>
      </c>
      <c r="D58" s="906" t="s">
        <v>713</v>
      </c>
      <c r="E58" s="907"/>
      <c r="F58" s="908"/>
      <c r="I58" s="1360" t="s">
        <v>846</v>
      </c>
      <c r="J58" s="1362" t="e">
        <f ca="1">IF(J55&lt;0.4,0.4,J55)</f>
        <v>#DIV/0!</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38">
        <f ca="1">ROUND(IF(AND(项目基本情况!B11="自然人",项目基本情况!B10="北京市"),C49*F59/(1+'数据-取费表'!C42),C60+C61+C62),0)</f>
        <v>0</v>
      </c>
      <c r="D59" s="909" t="s">
        <v>718</v>
      </c>
      <c r="E59" s="910" t="s">
        <v>719</v>
      </c>
      <c r="F59" s="2137" t="str">
        <f>IF(项目基本情况!B11="企业","——",IF('数据-取费表'!B10="住宅",IF(F49*F50*F51/12/(1+'数据-取费表'!F30)&gt;100000,4%,2.5%),IF(F49*F50*F51/12/(1+'数据-取费表'!F30)&gt;100000,12%,7%)))</f>
        <v>——</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IF(项目基本情况!B11="自然人","——",ROUND(C48*F60/(1+'数据-取费表'!C42),0))</f>
        <v>0</v>
      </c>
      <c r="D60" s="910" t="s">
        <v>722</v>
      </c>
      <c r="E60" s="896" t="s">
        <v>710</v>
      </c>
      <c r="F60" s="322">
        <f t="shared" ref="F60:F66" si="0">F32</f>
        <v>5.6000000000000001E-2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IF(项目基本情况!B11="自然人","——",IF(D61="按租金收入计税",ROUND(C49*F61/(1+'数据-取费表'!C42),0),IF(D61="按房产原值计税",ROUND(C57*F61*0.7,0),INDIRECT("'数据-取费表'!Aj"&amp;$G$1))))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IF(项目基本情况!B11="自然人","——",ROUND(F62*F63,0))</f>
        <v>0</v>
      </c>
      <c r="D62" s="911" t="s">
        <v>784</v>
      </c>
      <c r="E62" s="896" t="s">
        <v>785</v>
      </c>
      <c r="F62" s="317">
        <f t="shared" si="0"/>
        <v>1.5</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ROUND(C57*F64,0)</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ROUND(C56*F65,0)</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5" thickBot="1">
      <c r="A66" s="928" t="s">
        <v>791</v>
      </c>
      <c r="B66" s="896" t="s">
        <v>726</v>
      </c>
      <c r="C66" s="21">
        <f ca="1">ROUND(C48*F66,0)</f>
        <v>0</v>
      </c>
      <c r="D66" s="910" t="s">
        <v>792</v>
      </c>
      <c r="E66" s="896" t="s">
        <v>710</v>
      </c>
      <c r="F66" s="304">
        <f t="shared" ca="1" si="0"/>
        <v>0</v>
      </c>
      <c r="O66" s="1325" t="s">
        <v>404</v>
      </c>
      <c r="P66" s="1326" t="s">
        <v>844</v>
      </c>
      <c r="Q66" s="1327" t="e">
        <f ca="1">L60</f>
        <v>#DIV/0!</v>
      </c>
      <c r="R66" s="1327" t="s">
        <v>867</v>
      </c>
    </row>
    <row r="67" spans="1:18" s="1292" customFormat="1" ht="1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5"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2424</v>
      </c>
      <c r="B1" s="2582"/>
      <c r="C1" s="2594"/>
      <c r="D1" s="2594"/>
      <c r="E1" s="2583"/>
      <c r="F1" s="2584"/>
      <c r="G1" s="2585"/>
      <c r="J1" s="2588" t="s">
        <v>2303</v>
      </c>
      <c r="K1" s="2589"/>
      <c r="L1" s="2589"/>
      <c r="M1" s="2589"/>
      <c r="N1" s="2589"/>
      <c r="O1" s="2589"/>
      <c r="P1" s="2589"/>
      <c r="Q1" s="2589"/>
      <c r="R1" s="2590"/>
      <c r="S1" s="2591"/>
      <c r="T1" s="2591"/>
      <c r="U1" s="2591"/>
    </row>
    <row r="2" spans="1:22" s="2603" customFormat="1" ht="13.15" customHeight="1">
      <c r="A2" s="1293" t="s">
        <v>2304</v>
      </c>
      <c r="B2" s="2593" t="e">
        <f>IF(D2="——",C40,C40+E2)</f>
        <v>#DIV/0!</v>
      </c>
      <c r="C2" s="2594" t="s">
        <v>2305</v>
      </c>
      <c r="D2" s="3137" t="s">
        <v>3347</v>
      </c>
      <c r="E2" s="3138"/>
      <c r="F2" s="2596"/>
      <c r="G2" s="2597"/>
      <c r="H2" s="2598"/>
      <c r="I2" s="2599"/>
      <c r="J2" s="3353" t="s">
        <v>2306</v>
      </c>
      <c r="K2" s="3354"/>
      <c r="L2" s="2600" t="s">
        <v>2307</v>
      </c>
      <c r="M2" s="2600" t="s">
        <v>2308</v>
      </c>
      <c r="N2" s="2600" t="s">
        <v>2309</v>
      </c>
      <c r="O2" s="2600" t="s">
        <v>2310</v>
      </c>
      <c r="P2" s="2600" t="s">
        <v>2311</v>
      </c>
      <c r="Q2" s="2601" t="s">
        <v>2312</v>
      </c>
      <c r="R2" s="2602" t="s">
        <v>2313</v>
      </c>
      <c r="S2" s="2591"/>
      <c r="T2" s="2591"/>
      <c r="U2" s="2591"/>
      <c r="V2" s="2599"/>
    </row>
    <row r="3" spans="1:22" s="2603" customFormat="1" ht="13.15" customHeight="1">
      <c r="A3" s="2604" t="s">
        <v>2314</v>
      </c>
      <c r="B3" s="2605" t="e">
        <f>ROUND(B2*10000/B4,0)</f>
        <v>#DIV/0!</v>
      </c>
      <c r="C3" s="2594" t="s">
        <v>2315</v>
      </c>
      <c r="D3" s="2594"/>
      <c r="E3" s="2595"/>
      <c r="F3" s="2596"/>
      <c r="G3" s="2597"/>
      <c r="H3" s="2598"/>
      <c r="I3" s="2599"/>
      <c r="J3" s="3355" t="s">
        <v>2316</v>
      </c>
      <c r="K3" s="3356"/>
      <c r="L3" s="2606"/>
      <c r="M3" s="2606"/>
      <c r="N3" s="2606"/>
      <c r="O3" s="2606"/>
      <c r="P3" s="2606"/>
      <c r="Q3" s="2607"/>
      <c r="R3" s="2608">
        <f>SUM(L3:Q3)</f>
        <v>0</v>
      </c>
      <c r="S3" s="2591"/>
      <c r="T3" s="2591"/>
      <c r="U3" s="2591"/>
      <c r="V3" s="2599"/>
    </row>
    <row r="4" spans="1:22" s="2603" customFormat="1" ht="13.15" customHeight="1">
      <c r="A4" s="2609" t="s">
        <v>2317</v>
      </c>
      <c r="B4" s="2610"/>
      <c r="C4" s="2594"/>
      <c r="D4" s="2594"/>
      <c r="E4" s="2595"/>
      <c r="F4" s="2596"/>
      <c r="G4" s="2597"/>
      <c r="H4" s="2598"/>
      <c r="I4" s="2599"/>
      <c r="J4" s="3355" t="s">
        <v>2318</v>
      </c>
      <c r="K4" s="3356"/>
      <c r="L4" s="2611"/>
      <c r="M4" s="2611"/>
      <c r="N4" s="2611"/>
      <c r="O4" s="2611"/>
      <c r="P4" s="2611"/>
      <c r="Q4" s="2612"/>
      <c r="R4" s="2613">
        <f>SUM(L4:Q4)</f>
        <v>0</v>
      </c>
      <c r="S4" s="2591"/>
      <c r="T4" s="2591"/>
      <c r="U4" s="2591"/>
      <c r="V4" s="2599"/>
    </row>
    <row r="5" spans="1:22" s="2603" customFormat="1" ht="13.15" customHeight="1" thickBot="1">
      <c r="A5" s="2614" t="s">
        <v>2319</v>
      </c>
      <c r="B5" s="2615"/>
      <c r="C5" s="2594"/>
      <c r="D5" s="2616"/>
      <c r="E5" s="2596"/>
      <c r="F5" s="2596"/>
      <c r="G5" s="2597"/>
      <c r="H5" s="2598"/>
      <c r="I5" s="2599"/>
      <c r="J5" s="2617" t="s">
        <v>2320</v>
      </c>
      <c r="K5" s="2618"/>
      <c r="L5" s="2618"/>
      <c r="M5" s="2619"/>
      <c r="N5" s="2619"/>
      <c r="O5" s="2619"/>
      <c r="P5" s="2619"/>
      <c r="Q5" s="2619"/>
      <c r="R5" s="2602">
        <f>SUM(R14,R19,R24,R25,R27,R28)</f>
        <v>0</v>
      </c>
      <c r="S5" s="2591"/>
      <c r="T5" s="2591" t="s">
        <v>2321</v>
      </c>
      <c r="U5" s="2591" t="e">
        <f>ROUND(R5*10000/365/R3,1)</f>
        <v>#DIV/0!</v>
      </c>
      <c r="V5" s="2599"/>
    </row>
    <row r="6" spans="1:22" s="2603" customFormat="1" ht="13.15" customHeight="1" thickBot="1">
      <c r="A6" s="3357" t="s">
        <v>2322</v>
      </c>
      <c r="B6" s="3358"/>
      <c r="C6" s="3359"/>
      <c r="D6" s="2620"/>
      <c r="E6" s="2621"/>
      <c r="F6" s="2622"/>
      <c r="G6" s="2623"/>
      <c r="H6" s="2598"/>
      <c r="I6" s="2599"/>
      <c r="J6" s="3360">
        <v>1</v>
      </c>
      <c r="K6" s="3361" t="s">
        <v>2323</v>
      </c>
      <c r="L6" s="2624" t="s">
        <v>2324</v>
      </c>
      <c r="M6" s="2625" t="s">
        <v>2325</v>
      </c>
      <c r="N6" s="2625" t="s">
        <v>2326</v>
      </c>
      <c r="O6" s="2625" t="s">
        <v>2327</v>
      </c>
      <c r="P6" s="2625" t="s">
        <v>2328</v>
      </c>
      <c r="Q6" s="2625" t="s">
        <v>2329</v>
      </c>
      <c r="R6" s="2608" t="s">
        <v>2330</v>
      </c>
      <c r="S6" s="2591"/>
      <c r="T6" s="2591" t="s">
        <v>2331</v>
      </c>
      <c r="U6" s="2591"/>
      <c r="V6" s="2599"/>
    </row>
    <row r="7" spans="1:22" s="2603" customFormat="1" ht="13.15" customHeight="1">
      <c r="A7" s="2626" t="s">
        <v>2332</v>
      </c>
      <c r="B7" s="2627"/>
      <c r="C7" s="2628"/>
      <c r="D7" s="2629">
        <f>SUM(D9,D10,D11,D17,0)</f>
        <v>0</v>
      </c>
      <c r="E7" s="2630" t="e">
        <f>E9+E10+E11+E17</f>
        <v>#DIV/0!</v>
      </c>
      <c r="F7" s="2631"/>
      <c r="G7" s="2632"/>
      <c r="H7" s="2598"/>
      <c r="I7" s="2599"/>
      <c r="J7" s="3360"/>
      <c r="K7" s="3362"/>
      <c r="L7" s="2633" t="s">
        <v>2333</v>
      </c>
      <c r="M7" s="2634"/>
      <c r="N7" s="2610"/>
      <c r="O7" s="2635"/>
      <c r="P7" s="2635"/>
      <c r="Q7" s="2636">
        <v>365</v>
      </c>
      <c r="R7" s="2637">
        <f>ROUND(M7*N7*O7*P7*Q7/10000,0)</f>
        <v>0</v>
      </c>
      <c r="S7" s="2591"/>
      <c r="T7" s="2591" t="s">
        <v>2334</v>
      </c>
      <c r="U7" s="2591"/>
      <c r="V7" s="2599"/>
    </row>
    <row r="8" spans="1:22" s="2603" customFormat="1" ht="13.15" customHeight="1">
      <c r="A8" s="2638" t="s">
        <v>2335</v>
      </c>
      <c r="B8" s="3364" t="s">
        <v>2336</v>
      </c>
      <c r="C8" s="3365"/>
      <c r="D8" s="2639" t="s">
        <v>2337</v>
      </c>
      <c r="E8" s="2640" t="s">
        <v>2338</v>
      </c>
      <c r="F8" s="2641" t="s">
        <v>2339</v>
      </c>
      <c r="G8" s="2642"/>
      <c r="H8" s="2598"/>
      <c r="I8" s="2599"/>
      <c r="J8" s="3360"/>
      <c r="K8" s="3362"/>
      <c r="L8" s="2633" t="s">
        <v>2340</v>
      </c>
      <c r="M8" s="2634"/>
      <c r="N8" s="2610"/>
      <c r="O8" s="2635"/>
      <c r="P8" s="2635"/>
      <c r="Q8" s="2636">
        <v>365</v>
      </c>
      <c r="R8" s="2637">
        <f t="shared" ref="R8:R13" si="0">ROUND(M8*N8*O8*P8*Q8/10000,0)</f>
        <v>0</v>
      </c>
      <c r="S8" s="2591"/>
      <c r="T8" s="2591" t="s">
        <v>2341</v>
      </c>
      <c r="U8" s="2591"/>
      <c r="V8" s="2599"/>
    </row>
    <row r="9" spans="1:22" s="2603" customFormat="1" ht="13.15" customHeight="1">
      <c r="A9" s="2638">
        <v>1</v>
      </c>
      <c r="B9" s="3364" t="s">
        <v>2342</v>
      </c>
      <c r="C9" s="3365"/>
      <c r="D9" s="2639">
        <f>ROUND(D6*E9,0)</f>
        <v>0</v>
      </c>
      <c r="E9" s="2643"/>
      <c r="F9" s="2644" t="s">
        <v>2343</v>
      </c>
      <c r="G9" s="2623"/>
      <c r="H9" s="2598"/>
      <c r="I9" s="2599"/>
      <c r="J9" s="3360"/>
      <c r="K9" s="3362"/>
      <c r="L9" s="2633" t="s">
        <v>2344</v>
      </c>
      <c r="M9" s="2634"/>
      <c r="N9" s="2610"/>
      <c r="O9" s="2635"/>
      <c r="P9" s="2635"/>
      <c r="Q9" s="2636">
        <v>365</v>
      </c>
      <c r="R9" s="2637">
        <f t="shared" si="0"/>
        <v>0</v>
      </c>
      <c r="S9" s="2591"/>
      <c r="T9" s="2591"/>
      <c r="U9" s="2591"/>
      <c r="V9" s="2599"/>
    </row>
    <row r="10" spans="1:22" s="2603" customFormat="1" ht="13.15" customHeight="1">
      <c r="A10" s="2638">
        <v>2</v>
      </c>
      <c r="B10" s="3364" t="s">
        <v>2345</v>
      </c>
      <c r="C10" s="3365"/>
      <c r="D10" s="2639">
        <f>ROUND(D6*E10,0)</f>
        <v>0</v>
      </c>
      <c r="E10" s="2643"/>
      <c r="F10" s="2644" t="s">
        <v>2346</v>
      </c>
      <c r="G10" s="2623"/>
      <c r="H10" s="2598"/>
      <c r="I10" s="2599"/>
      <c r="J10" s="3360"/>
      <c r="K10" s="3362"/>
      <c r="L10" s="2633" t="s">
        <v>2347</v>
      </c>
      <c r="M10" s="2634"/>
      <c r="N10" s="2610"/>
      <c r="O10" s="2635"/>
      <c r="P10" s="2635"/>
      <c r="Q10" s="2636">
        <v>365</v>
      </c>
      <c r="R10" s="2637">
        <f t="shared" si="0"/>
        <v>0</v>
      </c>
      <c r="S10" s="2591"/>
      <c r="T10" s="2591"/>
      <c r="U10" s="2591"/>
      <c r="V10" s="2599"/>
    </row>
    <row r="11" spans="1:22" s="2603" customFormat="1" ht="13.15" customHeight="1">
      <c r="A11" s="2638">
        <v>3</v>
      </c>
      <c r="B11" s="3364" t="s">
        <v>2348</v>
      </c>
      <c r="C11" s="3365"/>
      <c r="D11" s="2639">
        <f>D12+D14+D15+D16</f>
        <v>0</v>
      </c>
      <c r="E11" s="2645" t="e">
        <f>D11/D6</f>
        <v>#DIV/0!</v>
      </c>
      <c r="F11" s="2641"/>
      <c r="G11" s="2642"/>
      <c r="H11" s="2598"/>
      <c r="I11" s="2599"/>
      <c r="J11" s="3360"/>
      <c r="K11" s="3362"/>
      <c r="L11" s="2633" t="s">
        <v>2349</v>
      </c>
      <c r="M11" s="2634"/>
      <c r="N11" s="2610"/>
      <c r="O11" s="2635"/>
      <c r="P11" s="2635"/>
      <c r="Q11" s="2636">
        <v>365</v>
      </c>
      <c r="R11" s="2637">
        <f t="shared" si="0"/>
        <v>0</v>
      </c>
      <c r="S11" s="2591"/>
      <c r="T11" s="2591"/>
      <c r="U11" s="2591"/>
      <c r="V11" s="2599"/>
    </row>
    <row r="12" spans="1:22" s="2603" customFormat="1" ht="13.15" customHeight="1">
      <c r="A12" s="2646" t="s">
        <v>2350</v>
      </c>
      <c r="B12" s="3366" t="s">
        <v>2351</v>
      </c>
      <c r="C12" s="3367"/>
      <c r="D12" s="2647">
        <f>ROUND(D13*1.2%*(1-30%),0)</f>
        <v>0</v>
      </c>
      <c r="E12" s="2648">
        <v>1.2E-2</v>
      </c>
      <c r="F12" s="2641" t="s">
        <v>2352</v>
      </c>
      <c r="G12" s="2642"/>
      <c r="H12" s="2598"/>
      <c r="I12" s="2599"/>
      <c r="J12" s="3360"/>
      <c r="K12" s="3362"/>
      <c r="L12" s="2633" t="s">
        <v>2353</v>
      </c>
      <c r="M12" s="2634"/>
      <c r="N12" s="2610"/>
      <c r="O12" s="2635"/>
      <c r="P12" s="2635"/>
      <c r="Q12" s="2636">
        <v>365</v>
      </c>
      <c r="R12" s="2637">
        <f t="shared" si="0"/>
        <v>0</v>
      </c>
      <c r="S12" s="2591"/>
      <c r="T12" s="2591"/>
      <c r="U12" s="2591"/>
      <c r="V12" s="2599"/>
    </row>
    <row r="13" spans="1:22" s="2603" customFormat="1" ht="13.15" customHeight="1">
      <c r="A13" s="2646"/>
      <c r="B13" s="2649"/>
      <c r="C13" s="2650" t="s">
        <v>2354</v>
      </c>
      <c r="D13" s="2651"/>
      <c r="E13" s="2652"/>
      <c r="F13" s="2641"/>
      <c r="G13" s="2642"/>
      <c r="H13" s="2598"/>
      <c r="I13" s="2599"/>
      <c r="J13" s="3360"/>
      <c r="K13" s="3362"/>
      <c r="L13" s="2633" t="s">
        <v>2355</v>
      </c>
      <c r="M13" s="2634"/>
      <c r="N13" s="2610"/>
      <c r="O13" s="2635"/>
      <c r="P13" s="2635"/>
      <c r="Q13" s="2636">
        <v>365</v>
      </c>
      <c r="R13" s="2637">
        <f t="shared" si="0"/>
        <v>0</v>
      </c>
      <c r="S13" s="2591"/>
      <c r="T13" s="2591"/>
      <c r="U13" s="2591"/>
      <c r="V13" s="2599"/>
    </row>
    <row r="14" spans="1:22" s="2603" customFormat="1" ht="13.15" customHeight="1">
      <c r="A14" s="2646" t="s">
        <v>2356</v>
      </c>
      <c r="B14" s="3366" t="s">
        <v>2357</v>
      </c>
      <c r="C14" s="3367"/>
      <c r="D14" s="2647">
        <f>ROUND(E14*B5/10000,0)</f>
        <v>0</v>
      </c>
      <c r="E14" s="2636"/>
      <c r="F14" s="2641" t="s">
        <v>2358</v>
      </c>
      <c r="G14" s="2642"/>
      <c r="H14" s="2598"/>
      <c r="I14" s="2599"/>
      <c r="J14" s="3360"/>
      <c r="K14" s="3363"/>
      <c r="L14" s="2653" t="s">
        <v>2359</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2360</v>
      </c>
      <c r="B15" s="3366" t="s">
        <v>2361</v>
      </c>
      <c r="C15" s="3367"/>
      <c r="D15" s="2647">
        <f>ROUND(D6*E15,0)</f>
        <v>0</v>
      </c>
      <c r="E15" s="2648">
        <v>5.5E-2</v>
      </c>
      <c r="F15" s="2641" t="s">
        <v>2362</v>
      </c>
      <c r="G15" s="2623"/>
      <c r="H15" s="2598"/>
      <c r="I15" s="2599"/>
      <c r="J15" s="3360">
        <v>2</v>
      </c>
      <c r="K15" s="3361" t="s">
        <v>2363</v>
      </c>
      <c r="L15" s="2633" t="s">
        <v>2364</v>
      </c>
      <c r="M15" s="2634" t="s">
        <v>2365</v>
      </c>
      <c r="N15" s="2634" t="s">
        <v>2366</v>
      </c>
      <c r="O15" s="2635" t="s">
        <v>2367</v>
      </c>
      <c r="P15" s="2635" t="s">
        <v>2329</v>
      </c>
      <c r="Q15" s="2610" t="s">
        <v>2368</v>
      </c>
      <c r="R15" s="2657" t="s">
        <v>2330</v>
      </c>
      <c r="S15" s="2591"/>
      <c r="T15" s="2591"/>
      <c r="U15" s="2591"/>
      <c r="V15" s="2599"/>
    </row>
    <row r="16" spans="1:22" s="2603" customFormat="1" ht="13.15" customHeight="1">
      <c r="A16" s="2646" t="s">
        <v>2369</v>
      </c>
      <c r="B16" s="3366" t="s">
        <v>2370</v>
      </c>
      <c r="C16" s="3367"/>
      <c r="D16" s="2658">
        <f>D6*E16</f>
        <v>0</v>
      </c>
      <c r="E16" s="2659"/>
      <c r="F16" s="2644" t="s">
        <v>2371</v>
      </c>
      <c r="G16" s="2623"/>
      <c r="H16" s="2598"/>
      <c r="I16" s="2599"/>
      <c r="J16" s="3360"/>
      <c r="K16" s="3362"/>
      <c r="L16" s="2633" t="s">
        <v>2372</v>
      </c>
      <c r="M16" s="2634"/>
      <c r="N16" s="2634"/>
      <c r="O16" s="2635"/>
      <c r="P16" s="2636">
        <v>365</v>
      </c>
      <c r="Q16" s="2610"/>
      <c r="R16" s="2657">
        <f>ROUND(M16*N16*O16*P16/10000,0)</f>
        <v>0</v>
      </c>
      <c r="S16" s="2591"/>
      <c r="T16" s="2591"/>
      <c r="U16" s="2591"/>
      <c r="V16" s="2599"/>
    </row>
    <row r="17" spans="1:22" s="2603" customFormat="1" ht="13.15" customHeight="1" thickBot="1">
      <c r="A17" s="2660">
        <v>4</v>
      </c>
      <c r="B17" s="3368" t="s">
        <v>2373</v>
      </c>
      <c r="C17" s="3369"/>
      <c r="D17" s="2661">
        <f>ROUND(D6*E17,0)</f>
        <v>0</v>
      </c>
      <c r="E17" s="2662"/>
      <c r="F17" s="2663" t="s">
        <v>2374</v>
      </c>
      <c r="G17" s="2623"/>
      <c r="H17" s="2598"/>
      <c r="I17" s="2599"/>
      <c r="J17" s="3360"/>
      <c r="K17" s="3362"/>
      <c r="L17" s="2633" t="s">
        <v>2375</v>
      </c>
      <c r="M17" s="2634"/>
      <c r="N17" s="2634"/>
      <c r="O17" s="2635"/>
      <c r="P17" s="2636">
        <v>365</v>
      </c>
      <c r="Q17" s="2610"/>
      <c r="R17" s="2657">
        <f>ROUND(M17*N17*O17*P17/10000,0)</f>
        <v>0</v>
      </c>
      <c r="S17" s="2591"/>
      <c r="T17" s="2591"/>
      <c r="U17" s="2591"/>
      <c r="V17" s="2599"/>
    </row>
    <row r="18" spans="1:22" s="2603" customFormat="1" ht="13.15" customHeight="1" thickBot="1">
      <c r="A18" s="2626" t="s">
        <v>2376</v>
      </c>
      <c r="B18" s="2627"/>
      <c r="C18" s="2627"/>
      <c r="D18" s="2664">
        <f>ROUND(D6*E18,0)</f>
        <v>0</v>
      </c>
      <c r="E18" s="2665"/>
      <c r="F18" s="2666" t="s">
        <v>2377</v>
      </c>
      <c r="G18" s="2623"/>
      <c r="H18" s="2598"/>
      <c r="I18" s="2599"/>
      <c r="J18" s="3360"/>
      <c r="K18" s="3362"/>
      <c r="L18" s="2633" t="s">
        <v>2378</v>
      </c>
      <c r="M18" s="2634"/>
      <c r="N18" s="2634"/>
      <c r="O18" s="2635"/>
      <c r="P18" s="2636">
        <v>365</v>
      </c>
      <c r="Q18" s="2610"/>
      <c r="R18" s="2657">
        <f>ROUND(M18*N18*O18*P18/10000,0)</f>
        <v>0</v>
      </c>
      <c r="S18" s="2591"/>
      <c r="T18" s="2591"/>
      <c r="U18" s="2591"/>
      <c r="V18" s="2599"/>
    </row>
    <row r="19" spans="1:22" s="2603" customFormat="1" ht="13.15" customHeight="1" thickBot="1">
      <c r="A19" s="2667" t="s">
        <v>2379</v>
      </c>
      <c r="B19" s="2621"/>
      <c r="C19" s="2621"/>
      <c r="D19" s="2621"/>
      <c r="E19" s="2621"/>
      <c r="F19" s="2622"/>
      <c r="G19" s="2642"/>
      <c r="H19" s="2598"/>
      <c r="I19" s="2599"/>
      <c r="J19" s="3360"/>
      <c r="K19" s="3363"/>
      <c r="L19" s="2653" t="s">
        <v>2359</v>
      </c>
      <c r="M19" s="2654"/>
      <c r="N19" s="2654">
        <f>SUM(N16:N18)</f>
        <v>0</v>
      </c>
      <c r="O19" s="2655"/>
      <c r="P19" s="2668" t="s">
        <v>2423</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0">
        <v>3</v>
      </c>
      <c r="K20" s="3361" t="s">
        <v>2380</v>
      </c>
      <c r="L20" s="2633" t="s">
        <v>2381</v>
      </c>
      <c r="M20" s="2634" t="s">
        <v>2382</v>
      </c>
      <c r="N20" s="2671" t="s">
        <v>2383</v>
      </c>
      <c r="O20" s="2635" t="s">
        <v>2384</v>
      </c>
      <c r="P20" s="2636" t="s">
        <v>2385</v>
      </c>
      <c r="Q20" s="2610" t="s">
        <v>2386</v>
      </c>
      <c r="R20" s="2657" t="s">
        <v>2387</v>
      </c>
      <c r="S20" s="2591"/>
      <c r="T20" s="2591"/>
      <c r="U20" s="2591"/>
      <c r="V20" s="2599"/>
    </row>
    <row r="21" spans="1:22" s="2603" customFormat="1" ht="13.15" customHeight="1">
      <c r="A21" s="2626"/>
      <c r="B21" s="2627"/>
      <c r="C21" s="2672" t="s">
        <v>2388</v>
      </c>
      <c r="D21" s="2673" t="s">
        <v>2389</v>
      </c>
      <c r="E21" s="2674" t="s">
        <v>2390</v>
      </c>
      <c r="F21" s="2670"/>
      <c r="G21" s="2642"/>
      <c r="H21" s="2598"/>
      <c r="I21" s="2599"/>
      <c r="J21" s="3360"/>
      <c r="K21" s="3362"/>
      <c r="L21" s="2633" t="s">
        <v>2391</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2392</v>
      </c>
      <c r="D22" s="2677" t="s">
        <v>2393</v>
      </c>
      <c r="E22" s="2678" t="s">
        <v>2394</v>
      </c>
      <c r="F22" s="2670"/>
      <c r="G22" s="2591"/>
      <c r="H22" s="2598"/>
      <c r="I22" s="2599"/>
      <c r="J22" s="3360"/>
      <c r="K22" s="3362"/>
      <c r="L22" s="2633" t="s">
        <v>2395</v>
      </c>
      <c r="M22" s="2634"/>
      <c r="N22" s="2634"/>
      <c r="O22" s="2635"/>
      <c r="P22" s="2636">
        <v>365</v>
      </c>
      <c r="Q22" s="2610"/>
      <c r="R22" s="2675">
        <f>ROUND(M22*N22*O22*P22/10000,0)</f>
        <v>0</v>
      </c>
      <c r="S22" s="2591"/>
      <c r="T22" s="2591"/>
      <c r="U22" s="2591"/>
      <c r="V22" s="2599"/>
    </row>
    <row r="23" spans="1:22" s="2603" customFormat="1" ht="13.15" customHeight="1">
      <c r="A23" s="2679">
        <v>1</v>
      </c>
      <c r="B23" s="2680" t="s">
        <v>2396</v>
      </c>
      <c r="C23" s="2681">
        <f>D6</f>
        <v>0</v>
      </c>
      <c r="D23" s="2682">
        <f>C23*(1+D24)</f>
        <v>0</v>
      </c>
      <c r="E23" s="2683">
        <f>D23*(1+E24)</f>
        <v>0</v>
      </c>
      <c r="F23" s="2684"/>
      <c r="G23" s="2685"/>
      <c r="H23" s="2598"/>
      <c r="I23" s="2599"/>
      <c r="J23" s="3360"/>
      <c r="K23" s="3362"/>
      <c r="L23" s="2633" t="s">
        <v>2397</v>
      </c>
      <c r="M23" s="2634"/>
      <c r="N23" s="2634"/>
      <c r="O23" s="2635"/>
      <c r="P23" s="2636">
        <v>365</v>
      </c>
      <c r="Q23" s="2610"/>
      <c r="R23" s="2675">
        <f>ROUND(M23*N23*O23*P23/10000,0)</f>
        <v>0</v>
      </c>
      <c r="S23" s="2591"/>
      <c r="T23" s="2591"/>
      <c r="U23" s="2591"/>
      <c r="V23" s="2599"/>
    </row>
    <row r="24" spans="1:22" s="2603" customFormat="1" ht="13.15" customHeight="1">
      <c r="A24" s="2686"/>
      <c r="B24" s="2687" t="s">
        <v>2398</v>
      </c>
      <c r="C24" s="2688"/>
      <c r="D24" s="2689"/>
      <c r="E24" s="2690"/>
      <c r="F24" s="2691"/>
      <c r="G24" s="2685"/>
      <c r="H24" s="2598"/>
      <c r="I24" s="2599"/>
      <c r="J24" s="3360"/>
      <c r="K24" s="3363"/>
      <c r="L24" s="2653" t="s">
        <v>2359</v>
      </c>
      <c r="M24" s="2654">
        <f>SUM(M21:M23)</f>
        <v>0</v>
      </c>
      <c r="N24" s="2654"/>
      <c r="O24" s="2655"/>
      <c r="P24" s="2668" t="s">
        <v>2423</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2399</v>
      </c>
      <c r="L25" s="2694"/>
      <c r="M25" s="2694"/>
      <c r="N25" s="2694"/>
      <c r="O25" s="2694"/>
      <c r="P25" s="2695"/>
      <c r="Q25" s="2696">
        <v>0</v>
      </c>
      <c r="R25" s="2669">
        <f>ROUND(R14*Q25,0)</f>
        <v>0</v>
      </c>
      <c r="S25" s="2591"/>
      <c r="T25" s="2591"/>
      <c r="U25" s="2591"/>
      <c r="V25" s="2697"/>
    </row>
    <row r="26" spans="1:22" s="2698" customFormat="1" ht="13.15" customHeight="1">
      <c r="A26" s="2679">
        <v>2</v>
      </c>
      <c r="B26" s="2680" t="s">
        <v>2400</v>
      </c>
      <c r="C26" s="2681">
        <f>D7</f>
        <v>0</v>
      </c>
      <c r="D26" s="2682">
        <f>D23*D27</f>
        <v>0</v>
      </c>
      <c r="E26" s="2683">
        <f>E23*E27</f>
        <v>0</v>
      </c>
      <c r="F26" s="2684"/>
      <c r="G26" s="2685"/>
      <c r="H26" s="2598"/>
      <c r="I26" s="2599"/>
      <c r="J26" s="3370">
        <v>5</v>
      </c>
      <c r="K26" s="2699" t="s">
        <v>2401</v>
      </c>
      <c r="L26" s="2700"/>
      <c r="M26" s="2701"/>
      <c r="N26" s="2702" t="s">
        <v>2402</v>
      </c>
      <c r="O26" s="2702" t="s">
        <v>2403</v>
      </c>
      <c r="P26" s="2703" t="s">
        <v>2404</v>
      </c>
      <c r="Q26" s="2703" t="s">
        <v>2405</v>
      </c>
      <c r="R26" s="2608" t="s">
        <v>2330</v>
      </c>
      <c r="S26" s="2642"/>
      <c r="T26" s="2642"/>
      <c r="U26" s="2642"/>
      <c r="V26" s="2697"/>
    </row>
    <row r="27" spans="1:22" s="2603" customFormat="1" ht="13.15" customHeight="1">
      <c r="A27" s="2686"/>
      <c r="B27" s="2687" t="s">
        <v>2406</v>
      </c>
      <c r="C27" s="2704" t="e">
        <f>E7</f>
        <v>#DIV/0!</v>
      </c>
      <c r="D27" s="2689"/>
      <c r="E27" s="2690"/>
      <c r="F27" s="2691"/>
      <c r="G27" s="2685"/>
      <c r="H27" s="2705"/>
      <c r="I27" s="2697"/>
      <c r="J27" s="3371"/>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2407</v>
      </c>
      <c r="F28" s="2691"/>
      <c r="G28" s="2591"/>
      <c r="H28" s="2705"/>
      <c r="I28" s="2697"/>
      <c r="J28" s="2711">
        <v>6</v>
      </c>
      <c r="K28" s="2712" t="s">
        <v>2408</v>
      </c>
      <c r="L28" s="2713" t="s">
        <v>2409</v>
      </c>
      <c r="M28" s="2714"/>
      <c r="N28" s="2713" t="s">
        <v>2410</v>
      </c>
      <c r="O28" s="2715"/>
      <c r="P28" s="2713" t="s">
        <v>2411</v>
      </c>
      <c r="Q28" s="2716">
        <v>1.4999999999999999E-2</v>
      </c>
      <c r="R28" s="2717"/>
      <c r="S28" s="2591"/>
      <c r="T28" s="2591"/>
      <c r="U28" s="2591"/>
      <c r="V28" s="2697"/>
    </row>
    <row r="29" spans="1:22" s="2698" customFormat="1" ht="13.15" customHeight="1">
      <c r="A29" s="2679">
        <v>3</v>
      </c>
      <c r="B29" s="2680" t="s">
        <v>2412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2413</v>
      </c>
      <c r="K31" s="2589"/>
      <c r="L31" s="2589"/>
      <c r="M31" s="2589"/>
      <c r="N31" s="2589"/>
      <c r="O31" s="2589"/>
      <c r="P31" s="2589"/>
      <c r="Q31" s="2589"/>
      <c r="R31" s="2590"/>
      <c r="S31" s="2591"/>
      <c r="T31" s="2591"/>
      <c r="U31" s="2591"/>
      <c r="V31" s="2697"/>
    </row>
    <row r="32" spans="1:22" s="2698" customFormat="1" ht="13.15" customHeight="1">
      <c r="A32" s="2679">
        <v>4</v>
      </c>
      <c r="B32" s="2680" t="s">
        <v>2414</v>
      </c>
      <c r="C32" s="2681">
        <f>C23-C26-C29</f>
        <v>0</v>
      </c>
      <c r="D32" s="2682">
        <f>D23-D26-D29</f>
        <v>0</v>
      </c>
      <c r="E32" s="2683">
        <f>E23-E26-E29</f>
        <v>0</v>
      </c>
      <c r="F32" s="2684"/>
      <c r="G32" s="2591"/>
      <c r="H32" s="2598"/>
      <c r="I32" s="2599"/>
      <c r="J32" s="3353" t="s">
        <v>2306</v>
      </c>
      <c r="K32" s="3354"/>
      <c r="L32" s="2600" t="s">
        <v>2307</v>
      </c>
      <c r="M32" s="2600" t="s">
        <v>2308</v>
      </c>
      <c r="N32" s="2600" t="s">
        <v>2309</v>
      </c>
      <c r="O32" s="2600" t="s">
        <v>2310</v>
      </c>
      <c r="P32" s="2600" t="s">
        <v>2311</v>
      </c>
      <c r="Q32" s="2601" t="s">
        <v>2312</v>
      </c>
      <c r="R32" s="2720" t="s">
        <v>2313</v>
      </c>
      <c r="S32" s="2591"/>
      <c r="T32" s="2591"/>
      <c r="U32" s="2591"/>
      <c r="V32" s="2697"/>
    </row>
    <row r="33" spans="1:23" s="2603" customFormat="1" ht="13.15" customHeight="1">
      <c r="A33" s="2679"/>
      <c r="B33" s="2680"/>
      <c r="C33" s="2681"/>
      <c r="D33" s="2721"/>
      <c r="E33" s="2722"/>
      <c r="F33" s="2684"/>
      <c r="G33" s="2591"/>
      <c r="H33" s="2705"/>
      <c r="I33" s="2697"/>
      <c r="J33" s="3355" t="s">
        <v>2316</v>
      </c>
      <c r="K33" s="3356"/>
      <c r="L33" s="2606"/>
      <c r="M33" s="2606"/>
      <c r="N33" s="2606"/>
      <c r="O33" s="2606"/>
      <c r="P33" s="2606"/>
      <c r="Q33" s="2607"/>
      <c r="R33" s="2723">
        <f>SUM(L33:Q33)</f>
        <v>0</v>
      </c>
      <c r="S33" s="2591"/>
      <c r="T33" s="2591"/>
      <c r="U33" s="2591"/>
      <c r="V33" s="2599"/>
    </row>
    <row r="34" spans="1:23" s="2603" customFormat="1" ht="13.15" customHeight="1">
      <c r="A34" s="2679">
        <v>5</v>
      </c>
      <c r="B34" s="2680" t="s">
        <v>2415</v>
      </c>
      <c r="C34" s="2724"/>
      <c r="D34" s="2725"/>
      <c r="E34" s="2726"/>
      <c r="F34" s="2684"/>
      <c r="G34" s="2591"/>
      <c r="H34" s="2705"/>
      <c r="I34" s="2697"/>
      <c r="J34" s="3355" t="s">
        <v>2318</v>
      </c>
      <c r="K34" s="335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2416</v>
      </c>
      <c r="C35" s="2728"/>
      <c r="D35" s="2729"/>
      <c r="E35" s="2730"/>
      <c r="F35" s="2684"/>
      <c r="G35" s="2731"/>
      <c r="H35" s="2598"/>
      <c r="I35" s="2697"/>
      <c r="J35" s="2617" t="s">
        <v>2320</v>
      </c>
      <c r="K35" s="2618"/>
      <c r="L35" s="2618"/>
      <c r="M35" s="2619"/>
      <c r="N35" s="2619"/>
      <c r="O35" s="2619"/>
      <c r="P35" s="2619"/>
      <c r="Q35" s="2619"/>
      <c r="R35" s="2732">
        <f>R40+R41+R43</f>
        <v>0</v>
      </c>
      <c r="S35" s="2591"/>
      <c r="T35" s="2591" t="s">
        <v>2321</v>
      </c>
      <c r="U35" s="2591"/>
      <c r="V35" s="2599"/>
    </row>
    <row r="36" spans="1:23" s="2603" customFormat="1" ht="13.15" customHeight="1" thickBot="1">
      <c r="A36" s="2679">
        <v>7</v>
      </c>
      <c r="B36" s="2733" t="s">
        <v>2417</v>
      </c>
      <c r="C36" s="2734"/>
      <c r="D36" s="2735"/>
      <c r="E36" s="2736"/>
      <c r="F36" s="2737">
        <f>C36+D36+E36</f>
        <v>0</v>
      </c>
      <c r="G36" s="2591"/>
      <c r="H36" s="2598"/>
      <c r="I36" s="2599"/>
      <c r="J36" s="3360">
        <v>1</v>
      </c>
      <c r="K36" s="3361" t="s">
        <v>2418</v>
      </c>
      <c r="L36" s="2624"/>
      <c r="M36" s="2625"/>
      <c r="N36" s="2625"/>
      <c r="O36" s="2625"/>
      <c r="P36" s="2625"/>
      <c r="Q36" s="2625"/>
      <c r="R36" s="2608" t="s">
        <v>2330</v>
      </c>
      <c r="S36" s="2591"/>
      <c r="T36" s="2591" t="s">
        <v>2331</v>
      </c>
      <c r="U36" s="2591"/>
      <c r="V36" s="2599"/>
    </row>
    <row r="37" spans="1:23" s="2603" customFormat="1" ht="13.15" customHeight="1">
      <c r="A37" s="2679"/>
      <c r="B37" s="2680"/>
      <c r="C37" s="2680"/>
      <c r="D37" s="2680"/>
      <c r="E37" s="2680"/>
      <c r="F37" s="2684"/>
      <c r="G37" s="2591"/>
      <c r="H37" s="2598"/>
      <c r="I37" s="2599"/>
      <c r="J37" s="3360"/>
      <c r="K37" s="3362"/>
      <c r="L37" s="2633"/>
      <c r="M37" s="2634"/>
      <c r="N37" s="2610"/>
      <c r="O37" s="2635"/>
      <c r="P37" s="2635"/>
      <c r="Q37" s="2636"/>
      <c r="R37" s="2637"/>
      <c r="S37" s="2591"/>
      <c r="T37" s="2591" t="s">
        <v>2334</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0"/>
      <c r="K38" s="3362"/>
      <c r="L38" s="2633"/>
      <c r="M38" s="2634"/>
      <c r="N38" s="2610"/>
      <c r="O38" s="2635"/>
      <c r="P38" s="2635"/>
      <c r="Q38" s="2636"/>
      <c r="R38" s="2637"/>
      <c r="S38" s="2591"/>
      <c r="T38" s="2591" t="s">
        <v>2341</v>
      </c>
      <c r="U38" s="2591"/>
      <c r="V38" s="2599"/>
    </row>
    <row r="39" spans="1:23" s="2603" customFormat="1" ht="13.15" customHeight="1">
      <c r="A39" s="2679">
        <v>9</v>
      </c>
      <c r="B39" s="2680" t="s">
        <v>2419</v>
      </c>
      <c r="C39" s="2647" t="e">
        <f>C38</f>
        <v>#DIV/0!</v>
      </c>
      <c r="D39" s="2680">
        <f>D38/(1+D34)^C36</f>
        <v>0</v>
      </c>
      <c r="E39" s="2680">
        <f>E38/(1+E34)^(C36+D36)</f>
        <v>0</v>
      </c>
      <c r="F39" s="2684"/>
      <c r="G39" s="2599"/>
      <c r="H39" s="2598"/>
      <c r="I39" s="2599"/>
      <c r="J39" s="3360"/>
      <c r="K39" s="3362"/>
      <c r="L39" s="2633"/>
      <c r="M39" s="2634"/>
      <c r="N39" s="2610"/>
      <c r="O39" s="2635"/>
      <c r="P39" s="2635"/>
      <c r="Q39" s="2636"/>
      <c r="R39" s="2637"/>
      <c r="S39" s="2591"/>
      <c r="T39" s="2591"/>
      <c r="U39" s="2591"/>
      <c r="V39" s="2599"/>
    </row>
    <row r="40" spans="1:23" s="2603" customFormat="1" ht="13.15" customHeight="1">
      <c r="A40" s="2738">
        <v>10</v>
      </c>
      <c r="B40" s="2680" t="s">
        <v>2420</v>
      </c>
      <c r="C40" s="2739" t="e">
        <f>C39+D39+E39</f>
        <v>#DIV/0!</v>
      </c>
      <c r="D40" s="2740"/>
      <c r="E40" s="2740"/>
      <c r="F40" s="2741"/>
      <c r="G40" s="2591"/>
      <c r="H40" s="2598"/>
      <c r="I40" s="2599"/>
      <c r="J40" s="3360"/>
      <c r="K40" s="3363"/>
      <c r="L40" s="2653" t="s">
        <v>2359</v>
      </c>
      <c r="M40" s="2654"/>
      <c r="N40" s="2654"/>
      <c r="O40" s="2655"/>
      <c r="P40" s="2655"/>
      <c r="Q40" s="2656"/>
      <c r="R40" s="2602">
        <f>SUM(R37:R39)</f>
        <v>0</v>
      </c>
      <c r="S40" s="2591"/>
      <c r="T40" s="2591"/>
      <c r="U40" s="2591"/>
      <c r="V40" s="2599"/>
    </row>
    <row r="41" spans="1:23" s="2603" customFormat="1" ht="13.15" customHeight="1" thickBot="1">
      <c r="A41" s="2742">
        <v>11</v>
      </c>
      <c r="B41" s="2743" t="s">
        <v>2421</v>
      </c>
      <c r="C41" s="2743" t="e">
        <f>ROUND(C40*10000/B4,0)</f>
        <v>#DIV/0!</v>
      </c>
      <c r="D41" s="2744"/>
      <c r="E41" s="2744"/>
      <c r="F41" s="2745"/>
      <c r="G41" s="2598"/>
      <c r="H41" s="2598"/>
      <c r="I41" s="2599"/>
      <c r="J41" s="2692">
        <v>2</v>
      </c>
      <c r="K41" s="2693" t="s">
        <v>2399</v>
      </c>
      <c r="L41" s="2694"/>
      <c r="M41" s="2694"/>
      <c r="N41" s="2694"/>
      <c r="O41" s="2694"/>
      <c r="P41" s="2695"/>
      <c r="Q41" s="2696"/>
      <c r="R41" s="2669">
        <f>ROUND(R40*Q41,0)</f>
        <v>0</v>
      </c>
      <c r="S41" s="2591"/>
      <c r="T41" s="2591"/>
      <c r="U41" s="2642"/>
      <c r="V41" s="2599"/>
    </row>
    <row r="42" spans="1:23" s="2603" customFormat="1" ht="13.15" customHeight="1">
      <c r="G42" s="2598"/>
      <c r="H42" s="2598"/>
      <c r="I42" s="2599"/>
      <c r="J42" s="3370">
        <v>3</v>
      </c>
      <c r="K42" s="2699" t="s">
        <v>2401</v>
      </c>
      <c r="L42" s="2700"/>
      <c r="M42" s="2701"/>
      <c r="N42" s="2702" t="s">
        <v>2402</v>
      </c>
      <c r="O42" s="2702" t="s">
        <v>2403</v>
      </c>
      <c r="P42" s="2703" t="s">
        <v>2404</v>
      </c>
      <c r="Q42" s="2703" t="s">
        <v>2405</v>
      </c>
      <c r="R42" s="2608" t="s">
        <v>2330</v>
      </c>
      <c r="S42" s="2642"/>
      <c r="T42" s="2642"/>
      <c r="U42" s="2591"/>
      <c r="V42" s="2599"/>
    </row>
    <row r="43" spans="1:23" ht="13.15" customHeight="1">
      <c r="A43" s="2603"/>
      <c r="B43" s="2603"/>
      <c r="C43" s="2603"/>
      <c r="D43" s="2603"/>
      <c r="E43" s="2603"/>
      <c r="F43" s="2603"/>
      <c r="I43" s="2586"/>
      <c r="J43" s="3371"/>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2408</v>
      </c>
      <c r="L44" s="2748" t="s">
        <v>2409</v>
      </c>
      <c r="M44" s="2714"/>
      <c r="N44" s="2748" t="s">
        <v>2410</v>
      </c>
      <c r="O44" s="2714"/>
      <c r="P44" s="2748" t="s">
        <v>2411</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78"/>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1">
        <f>SUM(E6:E13)</f>
        <v>0</v>
      </c>
      <c r="F2" s="2478"/>
      <c r="G2" s="459"/>
      <c r="H2" s="459"/>
      <c r="I2" s="459"/>
      <c r="J2" s="459"/>
      <c r="K2" s="459"/>
      <c r="L2" s="459"/>
      <c r="M2" s="459"/>
      <c r="N2" s="459"/>
      <c r="O2" s="459"/>
      <c r="P2" s="459"/>
      <c r="Q2" s="459"/>
      <c r="R2" s="459"/>
      <c r="S2" s="459"/>
    </row>
    <row r="3" spans="1:22" ht="15.75">
      <c r="A3" s="1728" t="s">
        <v>684</v>
      </c>
      <c r="B3" s="2385" t="e">
        <f ca="1">ROUND(B2*10000/E2,0)</f>
        <v>#DIV/0!</v>
      </c>
      <c r="C3" s="1729" t="s">
        <v>1657</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1651</v>
      </c>
      <c r="B5" s="3372" t="s">
        <v>1652</v>
      </c>
      <c r="C5" s="3373"/>
      <c r="D5" s="2479"/>
      <c r="E5" s="1731" t="s">
        <v>1653</v>
      </c>
      <c r="F5" s="129" t="s">
        <v>1654</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1649</v>
      </c>
      <c r="D6" s="2478"/>
      <c r="E6" s="2390">
        <f>IF(OR(A6=0,F6="否"),0,'数据-取费表'!K6+'数据-取费表'!S6)</f>
        <v>0</v>
      </c>
      <c r="F6" s="1732" t="s">
        <v>1655</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1649</v>
      </c>
      <c r="D7" s="2478"/>
      <c r="E7" s="2390">
        <f>IF(OR(A7=0,F7="否"),0,'数据-取费表'!K7+'数据-取费表'!S7)</f>
        <v>0</v>
      </c>
      <c r="F7" s="1732" t="s">
        <v>1655</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1649</v>
      </c>
      <c r="D8" s="2478"/>
      <c r="E8" s="2390">
        <f>IF(OR(A8=0,F8="否"),0,'数据-取费表'!K8+'数据-取费表'!S8)</f>
        <v>0</v>
      </c>
      <c r="F8" s="1732" t="s">
        <v>1655</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1649</v>
      </c>
      <c r="D9" s="2478"/>
      <c r="E9" s="2390">
        <f>IF(OR(A9=0,F9="否"),0,'数据-取费表'!K9+'数据-取费表'!S9)</f>
        <v>0</v>
      </c>
      <c r="F9" s="1732" t="s">
        <v>1655</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1649</v>
      </c>
      <c r="D10" s="2478"/>
      <c r="E10" s="2390">
        <f>IF(OR(A10=0,F10="否"),0,'数据-取费表'!K10+'数据-取费表'!S10)</f>
        <v>0</v>
      </c>
      <c r="F10" s="1732" t="s">
        <v>1655</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1649</v>
      </c>
      <c r="D11" s="2478"/>
      <c r="E11" s="2390">
        <f>IF(OR(A11=0,F11="否"),0,'数据-取费表'!K11+'数据-取费表'!S11)</f>
        <v>0</v>
      </c>
      <c r="F11" s="1732" t="s">
        <v>1655</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1649</v>
      </c>
      <c r="D12" s="2478"/>
      <c r="E12" s="2390">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1649</v>
      </c>
      <c r="D13" s="2480"/>
      <c r="E13" s="2390">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4" zoomScale="90" zoomScaleNormal="60" zoomScaleSheetLayoutView="90" workbookViewId="0">
      <selection activeCell="G104" sqref="G10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t="s">
        <v>3428</v>
      </c>
      <c r="E1" s="3123" t="s">
        <v>3435</v>
      </c>
      <c r="F1" s="1735" t="s">
        <v>3436</v>
      </c>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16.5" thickTop="1">
      <c r="A2" s="1138" t="s">
        <v>683</v>
      </c>
      <c r="B2" s="3124">
        <f>IF(E1="项目模式",IF(C2="——",ROUND(C49*D3/10000,0),ROUND(C49*D3/10000,0)-D2),IF(E1="单套模式",IF(C2="——",ROUND(C49*D3/10000,4),ROUND(C49*D3/10000,4)-D2)))</f>
        <v>346733</v>
      </c>
      <c r="C2" s="1737" t="s">
        <v>43</v>
      </c>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16.5" thickBot="1">
      <c r="A3" s="195" t="s">
        <v>684</v>
      </c>
      <c r="B3" s="343">
        <f>IF(C2="——",C49,ROUND(B2*10000/D3,0))</f>
        <v>26668</v>
      </c>
      <c r="C3" s="344" t="s">
        <v>1663</v>
      </c>
      <c r="D3" s="343">
        <f>IF(D1="",'数据-汇总表'!E3,SUMIF('数据-汇总表'!$C19:$C33,D1,'数据-汇总表'!$E19:$E33))</f>
        <v>130018.37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1664</v>
      </c>
      <c r="B4" s="346"/>
      <c r="C4" s="3390" t="s">
        <v>1665</v>
      </c>
      <c r="D4" s="3391"/>
      <c r="E4" s="3392" t="s">
        <v>1666</v>
      </c>
      <c r="F4" s="3393"/>
      <c r="G4" s="3390" t="s">
        <v>1667</v>
      </c>
      <c r="H4" s="3391"/>
      <c r="I4" s="3390" t="s">
        <v>1668</v>
      </c>
      <c r="J4" s="3391"/>
      <c r="K4" s="1744" t="s">
        <v>1669</v>
      </c>
      <c r="L4" s="2485"/>
      <c r="M4" s="2486"/>
      <c r="N4" s="2486"/>
      <c r="O4" s="2486"/>
      <c r="P4" s="3394" t="s">
        <v>1670</v>
      </c>
      <c r="Q4" s="3395"/>
      <c r="R4" s="3379" t="s">
        <v>1666</v>
      </c>
      <c r="S4" s="3380"/>
      <c r="T4" s="3379" t="s">
        <v>1667</v>
      </c>
      <c r="U4" s="3380"/>
      <c r="V4" s="3402" t="s">
        <v>1668</v>
      </c>
      <c r="W4" s="3402"/>
      <c r="X4" s="1265"/>
      <c r="Y4" s="3379" t="s">
        <v>1670</v>
      </c>
      <c r="Z4" s="3380"/>
      <c r="AA4" s="3374" t="s">
        <v>1666</v>
      </c>
      <c r="AB4" s="3374" t="s">
        <v>1667</v>
      </c>
      <c r="AC4" s="3374" t="s">
        <v>1668</v>
      </c>
    </row>
    <row r="5" spans="1:29" ht="15.75" thickBot="1">
      <c r="A5" s="348"/>
      <c r="B5" s="349"/>
      <c r="C5" s="3383" t="s">
        <v>1671</v>
      </c>
      <c r="D5" s="3384"/>
      <c r="E5" s="3383" t="s">
        <v>3440</v>
      </c>
      <c r="F5" s="3384"/>
      <c r="G5" s="3383" t="s">
        <v>3441</v>
      </c>
      <c r="H5" s="3384"/>
      <c r="I5" s="3383" t="s">
        <v>3442</v>
      </c>
      <c r="J5" s="3384"/>
      <c r="K5" s="1745"/>
      <c r="L5" s="2485"/>
      <c r="M5" s="2486"/>
      <c r="N5" s="2486"/>
      <c r="O5" s="2486"/>
      <c r="P5" s="3396"/>
      <c r="Q5" s="3397"/>
      <c r="R5" s="3381"/>
      <c r="S5" s="3382"/>
      <c r="T5" s="3381"/>
      <c r="U5" s="3382"/>
      <c r="V5" s="3402"/>
      <c r="W5" s="3402"/>
      <c r="X5" s="1265"/>
      <c r="Y5" s="3381"/>
      <c r="Z5" s="3382"/>
      <c r="AA5" s="3375"/>
      <c r="AB5" s="3375"/>
      <c r="AC5" s="3375"/>
    </row>
    <row r="6" spans="1:29" ht="15.75" hidden="1" thickBot="1">
      <c r="A6" s="350"/>
      <c r="B6" s="351"/>
      <c r="C6" s="3385" t="s">
        <v>1675</v>
      </c>
      <c r="D6" s="3386"/>
      <c r="E6" s="3387" t="s">
        <v>1675</v>
      </c>
      <c r="F6" s="3388"/>
      <c r="G6" s="3385" t="s">
        <v>1675</v>
      </c>
      <c r="H6" s="3386"/>
      <c r="I6" s="3385" t="s">
        <v>1675</v>
      </c>
      <c r="J6" s="3386"/>
      <c r="K6" s="1745" t="s">
        <v>1676</v>
      </c>
      <c r="L6" s="2485"/>
      <c r="M6" s="2486"/>
      <c r="N6" s="2486"/>
      <c r="O6" s="2486"/>
      <c r="P6" s="3398"/>
      <c r="Q6" s="3399"/>
      <c r="R6" s="3381"/>
      <c r="S6" s="3382"/>
      <c r="T6" s="3400"/>
      <c r="U6" s="3401"/>
      <c r="V6" s="3402"/>
      <c r="W6" s="3402"/>
      <c r="X6" s="1265"/>
      <c r="Y6" s="3400"/>
      <c r="Z6" s="3401"/>
      <c r="AA6" s="3376"/>
      <c r="AB6" s="3376"/>
      <c r="AC6" s="3376"/>
    </row>
    <row r="7" spans="1:29" s="102" customFormat="1" ht="15.75" thickBot="1">
      <c r="A7" s="352" t="s">
        <v>1677</v>
      </c>
      <c r="B7" s="353"/>
      <c r="C7" s="354">
        <f>'数据-取费表'!B2</f>
        <v>45741</v>
      </c>
      <c r="D7" s="355">
        <v>100</v>
      </c>
      <c r="E7" s="356">
        <f>C7</f>
        <v>45741</v>
      </c>
      <c r="F7" s="357">
        <f>SUMIF(58:58,YEAR(E7)&amp;"-"&amp;MONTH(E7),59:59)</f>
        <v>100</v>
      </c>
      <c r="G7" s="356">
        <f>E7</f>
        <v>45741</v>
      </c>
      <c r="H7" s="355">
        <f>SUMIF(58:58,YEAR(G7)&amp;"-"&amp;MONTH(G7),59:59)</f>
        <v>100</v>
      </c>
      <c r="I7" s="356">
        <f>G7</f>
        <v>45741</v>
      </c>
      <c r="J7" s="355">
        <f>SUMIF(58:58,YEAR(I7)&amp;"-"&amp;MONTH(I7),59:59)</f>
        <v>100</v>
      </c>
      <c r="K7" s="1746"/>
      <c r="L7" s="2487"/>
      <c r="M7" s="2438"/>
      <c r="N7" s="2438"/>
      <c r="O7" s="2438"/>
      <c r="P7" s="3377" t="s">
        <v>1678</v>
      </c>
      <c r="Q7" s="3403"/>
      <c r="R7" s="664" t="s">
        <v>20</v>
      </c>
      <c r="S7" s="665">
        <f t="shared" ref="S7:S15" si="0">F7</f>
        <v>100</v>
      </c>
      <c r="T7" s="664" t="s">
        <v>20</v>
      </c>
      <c r="U7" s="665">
        <f t="shared" ref="U7:U15" si="1">H7</f>
        <v>100</v>
      </c>
      <c r="V7" s="664" t="s">
        <v>20</v>
      </c>
      <c r="W7" s="665">
        <f t="shared" ref="W7:W15" si="2">J7</f>
        <v>100</v>
      </c>
      <c r="X7" s="666"/>
      <c r="Y7" s="3377" t="s">
        <v>1678</v>
      </c>
      <c r="Z7" s="3378"/>
      <c r="AA7" s="50">
        <f>D7/F7</f>
        <v>1</v>
      </c>
      <c r="AB7" s="50">
        <f>D7/H7</f>
        <v>1</v>
      </c>
      <c r="AC7" s="50">
        <f>D7/J7</f>
        <v>1</v>
      </c>
    </row>
    <row r="8" spans="1:29" s="102" customFormat="1" ht="15.75" thickBot="1">
      <c r="A8" s="352" t="s">
        <v>1679</v>
      </c>
      <c r="B8" s="353"/>
      <c r="C8" s="358" t="s">
        <v>3443</v>
      </c>
      <c r="D8" s="355">
        <v>100</v>
      </c>
      <c r="E8" s="1747" t="s">
        <v>3443</v>
      </c>
      <c r="F8" s="357">
        <f>SUMIF(61:61,E8,62:62)-SUMIF(61:61,C8,62:62)+100</f>
        <v>100</v>
      </c>
      <c r="G8" s="1747" t="s">
        <v>3443</v>
      </c>
      <c r="H8" s="355">
        <f>SUMIF(61:61,G8,62:62)-SUMIF(61:61,C8,62:62)+100</f>
        <v>100</v>
      </c>
      <c r="I8" s="1747" t="s">
        <v>3443</v>
      </c>
      <c r="J8" s="355">
        <f>SUMIF(61:61,I8,62:62)-SUMIF(61:61,C8,62:62)+100</f>
        <v>100</v>
      </c>
      <c r="K8" s="1746"/>
      <c r="L8" s="2487"/>
      <c r="M8" s="2438"/>
      <c r="N8" s="2438"/>
      <c r="O8" s="2438"/>
      <c r="P8" s="3377" t="s">
        <v>1681</v>
      </c>
      <c r="Q8" s="3378"/>
      <c r="R8" s="664" t="s">
        <v>20</v>
      </c>
      <c r="S8" s="665">
        <f t="shared" si="0"/>
        <v>100</v>
      </c>
      <c r="T8" s="664" t="s">
        <v>20</v>
      </c>
      <c r="U8" s="665">
        <f t="shared" si="1"/>
        <v>100</v>
      </c>
      <c r="V8" s="664" t="s">
        <v>20</v>
      </c>
      <c r="W8" s="665">
        <f t="shared" si="2"/>
        <v>100</v>
      </c>
      <c r="X8" s="666"/>
      <c r="Y8" s="3377" t="s">
        <v>1681</v>
      </c>
      <c r="Z8" s="3378"/>
      <c r="AA8" s="50">
        <f t="shared" ref="AA8:AA19" si="3">D8/F8</f>
        <v>1</v>
      </c>
      <c r="AB8" s="50">
        <f t="shared" ref="AB8:AB19" si="4">D8/H8</f>
        <v>1</v>
      </c>
      <c r="AC8" s="50">
        <f t="shared" ref="AC8:AC19" si="5">D8/J8</f>
        <v>1</v>
      </c>
    </row>
    <row r="9" spans="1:29" s="102" customFormat="1">
      <c r="A9" s="359" t="s">
        <v>1682</v>
      </c>
      <c r="B9" s="60" t="s">
        <v>1683</v>
      </c>
      <c r="C9" s="3156" t="s">
        <v>3444</v>
      </c>
      <c r="D9" s="59">
        <v>100</v>
      </c>
      <c r="E9" s="361" t="s">
        <v>3428</v>
      </c>
      <c r="F9" s="60">
        <f>SUMIF(63:63,E9,64:64)-SUMIF(63:63,C9,64:64)+100</f>
        <v>100</v>
      </c>
      <c r="G9" s="361" t="s">
        <v>3428</v>
      </c>
      <c r="H9" s="59">
        <f>SUMIF(63:63,G9,64:64)-SUMIF(63:63,C9,64:64)+100</f>
        <v>100</v>
      </c>
      <c r="I9" s="361" t="s">
        <v>3428</v>
      </c>
      <c r="J9" s="59">
        <f>SUMIF(63:63,I9,64:64)-SUMIF(63:63,C9,64:64)+100</f>
        <v>100</v>
      </c>
      <c r="K9" s="1746"/>
      <c r="L9" s="2487"/>
      <c r="M9" s="2438"/>
      <c r="N9" s="2438"/>
      <c r="O9" s="2438"/>
      <c r="P9" s="3389" t="s">
        <v>1684</v>
      </c>
      <c r="Q9" s="530" t="str">
        <f t="shared" ref="Q9:Q15" si="6">B9</f>
        <v>用途</v>
      </c>
      <c r="R9" s="664" t="s">
        <v>14</v>
      </c>
      <c r="S9" s="665">
        <f t="shared" si="0"/>
        <v>100</v>
      </c>
      <c r="T9" s="664" t="s">
        <v>14</v>
      </c>
      <c r="U9" s="665">
        <f t="shared" si="1"/>
        <v>100</v>
      </c>
      <c r="V9" s="664" t="s">
        <v>14</v>
      </c>
      <c r="W9" s="665">
        <f t="shared" si="2"/>
        <v>100</v>
      </c>
      <c r="X9" s="666"/>
      <c r="Y9" s="3321" t="s">
        <v>1685</v>
      </c>
      <c r="Z9" s="50" t="str">
        <f t="shared" ref="Z9:Z15" si="7">Q9</f>
        <v>用途</v>
      </c>
      <c r="AA9" s="50">
        <f t="shared" si="3"/>
        <v>1</v>
      </c>
      <c r="AB9" s="50">
        <f t="shared" si="4"/>
        <v>1</v>
      </c>
      <c r="AC9" s="50">
        <f t="shared" si="5"/>
        <v>1</v>
      </c>
    </row>
    <row r="10" spans="1:29" s="366" customFormat="1" ht="27">
      <c r="A10" s="363"/>
      <c r="B10" s="364" t="s">
        <v>1686</v>
      </c>
      <c r="C10" s="3131" t="s">
        <v>3447</v>
      </c>
      <c r="D10" s="119">
        <v>100</v>
      </c>
      <c r="E10" s="3131" t="s">
        <v>3447</v>
      </c>
      <c r="F10" s="364">
        <f>SUMIF(65:65,E10,66:66)-SUMIF(65:65,C10,66:66)+100</f>
        <v>100</v>
      </c>
      <c r="G10" s="3131" t="s">
        <v>3447</v>
      </c>
      <c r="H10" s="119">
        <f>SUMIF(65:65,G10,66:66)-SUMIF(65:65,C10,66:66)+100</f>
        <v>100</v>
      </c>
      <c r="I10" s="3131" t="s">
        <v>3447</v>
      </c>
      <c r="J10" s="119">
        <f>SUMIF(65:65,I10,66:66)-SUMIF(65:65,C10,66:66)+100</f>
        <v>100</v>
      </c>
      <c r="K10" s="1746"/>
      <c r="L10" s="2488"/>
      <c r="M10" s="2489"/>
      <c r="N10" s="2489"/>
      <c r="O10" s="2489"/>
      <c r="P10" s="338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75" thickBot="1">
      <c r="A11" s="367"/>
      <c r="B11" s="364" t="s">
        <v>1687</v>
      </c>
      <c r="C11" s="368">
        <v>2</v>
      </c>
      <c r="D11" s="119">
        <v>100</v>
      </c>
      <c r="E11" s="369">
        <v>2</v>
      </c>
      <c r="F11" s="364">
        <f>LOOKUP(E11,68:68,69:69)-LOOKUP(C11,68:68,69:69)+100</f>
        <v>100</v>
      </c>
      <c r="G11" s="368">
        <v>1.8</v>
      </c>
      <c r="H11" s="119">
        <f>LOOKUP(G11,68:68,69:69)-LOOKUP(C11,68:68,69:69)+100</f>
        <v>100</v>
      </c>
      <c r="I11" s="368">
        <v>2</v>
      </c>
      <c r="J11" s="119">
        <f>LOOKUP(I11,68:68,69:69)-LOOKUP(C11,68:68,69:69)+100</f>
        <v>100</v>
      </c>
      <c r="K11" s="365">
        <v>2</v>
      </c>
      <c r="L11" s="2490"/>
      <c r="M11" s="2486"/>
      <c r="N11" s="2486"/>
      <c r="O11" s="2486"/>
      <c r="P11" s="3389"/>
      <c r="Q11" s="530" t="str">
        <f t="shared" si="6"/>
        <v>容积率</v>
      </c>
      <c r="R11" s="664" t="s">
        <v>18</v>
      </c>
      <c r="S11" s="665">
        <f t="shared" si="0"/>
        <v>100</v>
      </c>
      <c r="T11" s="664" t="s">
        <v>18</v>
      </c>
      <c r="U11" s="665">
        <f t="shared" si="1"/>
        <v>100</v>
      </c>
      <c r="V11" s="664" t="s">
        <v>18</v>
      </c>
      <c r="W11" s="665">
        <f t="shared" si="2"/>
        <v>100</v>
      </c>
      <c r="X11" s="666"/>
      <c r="Y11" s="3321"/>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89"/>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9"/>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9"/>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15">
      <c r="A15" s="379" t="s">
        <v>1688</v>
      </c>
      <c r="B15" s="58" t="s">
        <v>1255</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91"/>
      <c r="M15" s="2486"/>
      <c r="N15" s="2486"/>
      <c r="O15" s="2486"/>
      <c r="P15" s="3415" t="s">
        <v>1689</v>
      </c>
      <c r="Q15" s="1263" t="str">
        <f t="shared" si="6"/>
        <v>居住社区成熟度</v>
      </c>
      <c r="R15" s="667" t="s">
        <v>18</v>
      </c>
      <c r="S15" s="668">
        <f t="shared" si="0"/>
        <v>100</v>
      </c>
      <c r="T15" s="667" t="s">
        <v>18</v>
      </c>
      <c r="U15" s="668">
        <f t="shared" si="1"/>
        <v>100</v>
      </c>
      <c r="V15" s="667" t="s">
        <v>18</v>
      </c>
      <c r="W15" s="668">
        <f t="shared" si="2"/>
        <v>100</v>
      </c>
      <c r="X15" s="1265"/>
      <c r="Y15" s="3408" t="s">
        <v>1689</v>
      </c>
      <c r="Z15" s="1264" t="str">
        <f t="shared" si="7"/>
        <v>居住社区成熟度</v>
      </c>
      <c r="AA15" s="1264">
        <f t="shared" si="3"/>
        <v>1</v>
      </c>
      <c r="AB15" s="1264">
        <f t="shared" si="4"/>
        <v>1</v>
      </c>
      <c r="AC15" s="1264">
        <f t="shared" si="5"/>
        <v>1</v>
      </c>
    </row>
    <row r="16" spans="1:29" ht="15">
      <c r="A16" s="367"/>
      <c r="B16" s="385"/>
      <c r="C16" s="386" t="s">
        <v>3445</v>
      </c>
      <c r="D16" s="387"/>
      <c r="E16" s="1751" t="s">
        <v>3445</v>
      </c>
      <c r="F16" s="387"/>
      <c r="G16" s="1752" t="s">
        <v>3445</v>
      </c>
      <c r="H16" s="389"/>
      <c r="I16" s="1752" t="s">
        <v>3445</v>
      </c>
      <c r="J16" s="387"/>
      <c r="K16" s="1753"/>
      <c r="L16" s="2491"/>
      <c r="M16" s="2486"/>
      <c r="N16" s="2486"/>
      <c r="O16" s="2486"/>
      <c r="P16" s="3416"/>
      <c r="Q16" s="1263"/>
      <c r="R16" s="667"/>
      <c r="S16" s="668"/>
      <c r="T16" s="667"/>
      <c r="U16" s="668"/>
      <c r="V16" s="667"/>
      <c r="W16" s="668"/>
      <c r="X16" s="1265"/>
      <c r="Y16" s="3409"/>
      <c r="Z16" s="1264"/>
      <c r="AA16" s="1264">
        <v>1</v>
      </c>
      <c r="AB16" s="1264">
        <v>1</v>
      </c>
      <c r="AC16" s="1264">
        <v>1</v>
      </c>
    </row>
    <row r="17" spans="1:29" ht="15">
      <c r="A17" s="367"/>
      <c r="B17" s="390" t="s">
        <v>1257</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v>3</v>
      </c>
      <c r="L17" s="2491"/>
      <c r="M17" s="2486"/>
      <c r="N17" s="2486"/>
      <c r="O17" s="2486"/>
      <c r="P17" s="3416"/>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5" t="s">
        <v>3445</v>
      </c>
      <c r="D18" s="389"/>
      <c r="E18" s="1756" t="s">
        <v>3445</v>
      </c>
      <c r="F18" s="389"/>
      <c r="G18" s="1757" t="s">
        <v>3445</v>
      </c>
      <c r="H18" s="387"/>
      <c r="I18" s="1757" t="s">
        <v>3445</v>
      </c>
      <c r="J18" s="387"/>
      <c r="K18" s="1753"/>
      <c r="L18" s="2491"/>
      <c r="M18" s="2486"/>
      <c r="N18" s="2486"/>
      <c r="O18" s="2486"/>
      <c r="P18" s="3416"/>
      <c r="Q18" s="1263"/>
      <c r="R18" s="667"/>
      <c r="S18" s="668"/>
      <c r="T18" s="667"/>
      <c r="U18" s="668"/>
      <c r="V18" s="667"/>
      <c r="W18" s="668"/>
      <c r="X18" s="1265"/>
      <c r="Y18" s="3409"/>
      <c r="Z18" s="1264"/>
      <c r="AA18" s="1264">
        <v>1</v>
      </c>
      <c r="AB18" s="1264">
        <v>1</v>
      </c>
      <c r="AC18" s="1264">
        <v>1</v>
      </c>
    </row>
    <row r="19" spans="1:29" ht="15">
      <c r="A19" s="367"/>
      <c r="B19" s="390" t="s">
        <v>1256</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3</v>
      </c>
      <c r="L19" s="2491"/>
      <c r="M19" s="2486"/>
      <c r="N19" s="2486"/>
      <c r="O19" s="2486"/>
      <c r="P19" s="3416"/>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t="s">
        <v>3445</v>
      </c>
      <c r="D20" s="387"/>
      <c r="E20" s="1751" t="s">
        <v>3445</v>
      </c>
      <c r="F20" s="387"/>
      <c r="G20" s="1752" t="s">
        <v>3445</v>
      </c>
      <c r="H20" s="387"/>
      <c r="I20" s="1752" t="s">
        <v>3445</v>
      </c>
      <c r="J20" s="387"/>
      <c r="K20" s="1753"/>
      <c r="L20" s="2491"/>
      <c r="M20" s="2486"/>
      <c r="N20" s="2486"/>
      <c r="O20" s="2486"/>
      <c r="P20" s="3416"/>
      <c r="Q20" s="1263"/>
      <c r="R20" s="667"/>
      <c r="S20" s="668"/>
      <c r="T20" s="667"/>
      <c r="U20" s="668"/>
      <c r="V20" s="667"/>
      <c r="W20" s="668"/>
      <c r="X20" s="1265"/>
      <c r="Y20" s="3409"/>
      <c r="Z20" s="1264"/>
      <c r="AA20" s="1264">
        <v>1</v>
      </c>
      <c r="AB20" s="1264">
        <v>1</v>
      </c>
      <c r="AC20" s="1264">
        <v>1</v>
      </c>
    </row>
    <row r="21" spans="1:29" ht="15">
      <c r="A21" s="367"/>
      <c r="B21" s="586" t="s">
        <v>1258</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91"/>
      <c r="M21" s="2486"/>
      <c r="N21" s="2486"/>
      <c r="O21" s="2486"/>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t="s">
        <v>3452</v>
      </c>
      <c r="D22" s="387"/>
      <c r="E22" s="386" t="s">
        <v>3452</v>
      </c>
      <c r="F22" s="387"/>
      <c r="G22" s="1758" t="s">
        <v>3452</v>
      </c>
      <c r="H22" s="387"/>
      <c r="I22" s="386" t="s">
        <v>3452</v>
      </c>
      <c r="J22" s="387"/>
      <c r="K22" s="1759"/>
      <c r="L22" s="2491"/>
      <c r="M22" s="2486"/>
      <c r="N22" s="2486"/>
      <c r="O22" s="2486"/>
      <c r="P22" s="3416"/>
      <c r="Q22" s="1263"/>
      <c r="R22" s="667"/>
      <c r="S22" s="668"/>
      <c r="T22" s="667"/>
      <c r="U22" s="668"/>
      <c r="V22" s="667"/>
      <c r="W22" s="668"/>
      <c r="X22" s="1265"/>
      <c r="Y22" s="3409"/>
      <c r="Z22" s="1264"/>
      <c r="AA22" s="1264">
        <v>1</v>
      </c>
      <c r="AB22" s="1264">
        <v>1</v>
      </c>
      <c r="AC22" s="1264">
        <v>1</v>
      </c>
    </row>
    <row r="23" spans="1:29" ht="15">
      <c r="A23" s="367"/>
      <c r="B23" s="390" t="s">
        <v>1259</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3</v>
      </c>
      <c r="L23" s="2491"/>
      <c r="M23" s="2486"/>
      <c r="N23" s="2486"/>
      <c r="O23" s="2486"/>
      <c r="P23" s="3416"/>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75" thickBot="1">
      <c r="A24" s="367"/>
      <c r="B24" s="395"/>
      <c r="C24" s="386" t="s">
        <v>3446</v>
      </c>
      <c r="D24" s="387"/>
      <c r="E24" s="1751" t="s">
        <v>3446</v>
      </c>
      <c r="F24" s="387"/>
      <c r="G24" s="1752" t="s">
        <v>3446</v>
      </c>
      <c r="H24" s="387"/>
      <c r="I24" s="1752" t="s">
        <v>3446</v>
      </c>
      <c r="J24" s="387"/>
      <c r="K24" s="1753"/>
      <c r="L24" s="2491"/>
      <c r="M24" s="2486"/>
      <c r="N24" s="2486"/>
      <c r="O24" s="2486"/>
      <c r="P24" s="3416"/>
      <c r="Q24" s="1263"/>
      <c r="R24" s="667"/>
      <c r="S24" s="668"/>
      <c r="T24" s="667"/>
      <c r="U24" s="668"/>
      <c r="V24" s="667"/>
      <c r="W24" s="668"/>
      <c r="X24" s="1265"/>
      <c r="Y24" s="3409"/>
      <c r="Z24" s="1264"/>
      <c r="AA24" s="1264">
        <v>1</v>
      </c>
      <c r="AB24" s="1264">
        <v>1</v>
      </c>
      <c r="AC24" s="1264">
        <v>1</v>
      </c>
    </row>
    <row r="25" spans="1:29" ht="15" hidden="1">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hidden="1">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6"/>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hidden="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16"/>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6"/>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6"/>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6"/>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6"/>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1692</v>
      </c>
      <c r="B32" s="60" t="s">
        <v>1693</v>
      </c>
      <c r="C32" s="3157" t="s">
        <v>3448</v>
      </c>
      <c r="D32" s="405">
        <v>100</v>
      </c>
      <c r="E32" s="3157" t="s">
        <v>3448</v>
      </c>
      <c r="F32" s="400">
        <f>SUMIF(100:100,E32,101:101)-SUMIF(100:100,C32,101:101)+100</f>
        <v>100</v>
      </c>
      <c r="G32" s="3157" t="s">
        <v>3448</v>
      </c>
      <c r="H32" s="405">
        <f>SUMIF(100:100,G32,101:101)-SUMIF(100:100,C32,101:101)+100</f>
        <v>100</v>
      </c>
      <c r="I32" s="3157" t="s">
        <v>3448</v>
      </c>
      <c r="J32" s="374">
        <f>SUMIF(100:100,I32,101:101)-SUMIF(100:100,C32,101:101)+100</f>
        <v>100</v>
      </c>
      <c r="K32" s="365">
        <v>5</v>
      </c>
      <c r="L32" s="2491"/>
      <c r="M32" s="2486"/>
      <c r="N32" s="2486"/>
      <c r="O32" s="2486"/>
      <c r="P32" s="3410" t="s">
        <v>1694</v>
      </c>
      <c r="Q32" s="1263" t="str">
        <f t="shared" si="11"/>
        <v>建筑类型</v>
      </c>
      <c r="R32" s="667" t="s">
        <v>18</v>
      </c>
      <c r="S32" s="668">
        <f t="shared" si="12"/>
        <v>100</v>
      </c>
      <c r="T32" s="667" t="s">
        <v>18</v>
      </c>
      <c r="U32" s="668">
        <f t="shared" si="13"/>
        <v>100</v>
      </c>
      <c r="V32" s="667" t="s">
        <v>18</v>
      </c>
      <c r="W32" s="668">
        <f t="shared" si="14"/>
        <v>100</v>
      </c>
      <c r="X32" s="1265"/>
      <c r="Y32" s="3413" t="s">
        <v>1694</v>
      </c>
      <c r="Z32" s="1264" t="str">
        <f t="shared" si="18"/>
        <v>建筑类型</v>
      </c>
      <c r="AA32" s="1264">
        <f t="shared" si="15"/>
        <v>1</v>
      </c>
      <c r="AB32" s="1264">
        <f t="shared" si="16"/>
        <v>1</v>
      </c>
      <c r="AC32" s="1264">
        <f t="shared" si="17"/>
        <v>1</v>
      </c>
    </row>
    <row r="33" spans="1:29" s="408" customFormat="1" ht="15">
      <c r="A33" s="406"/>
      <c r="B33" s="364" t="s">
        <v>1695</v>
      </c>
      <c r="C33" s="407">
        <v>198126.81</v>
      </c>
      <c r="D33" s="119">
        <v>100</v>
      </c>
      <c r="E33" s="369">
        <v>285000</v>
      </c>
      <c r="F33" s="364">
        <f>LOOKUP(E33,103:103,104:104)-LOOKUP(C33,103:103,104:104)+100</f>
        <v>100</v>
      </c>
      <c r="G33" s="368">
        <v>55584</v>
      </c>
      <c r="H33" s="119">
        <f>LOOKUP(G33,103:103,104:104)-LOOKUP(C33,103:103,104:104)+100</f>
        <v>99</v>
      </c>
      <c r="I33" s="369">
        <v>116703</v>
      </c>
      <c r="J33" s="119">
        <f>LOOKUP(I33,103:103,104:104)-LOOKUP(C33,103:103,104:104)+100</f>
        <v>100</v>
      </c>
      <c r="K33" s="1748"/>
      <c r="L33" s="2490"/>
      <c r="M33" s="2492"/>
      <c r="N33" s="2492"/>
      <c r="O33" s="2492"/>
      <c r="P33" s="3411"/>
      <c r="Q33" s="531" t="str">
        <f t="shared" si="11"/>
        <v>项目建筑规模</v>
      </c>
      <c r="R33" s="669" t="s">
        <v>18</v>
      </c>
      <c r="S33" s="670">
        <f t="shared" si="12"/>
        <v>100</v>
      </c>
      <c r="T33" s="669" t="s">
        <v>18</v>
      </c>
      <c r="U33" s="670">
        <f t="shared" si="13"/>
        <v>99</v>
      </c>
      <c r="V33" s="669" t="s">
        <v>18</v>
      </c>
      <c r="W33" s="670">
        <f t="shared" si="14"/>
        <v>100</v>
      </c>
      <c r="X33" s="671"/>
      <c r="Y33" s="3413"/>
      <c r="Z33" s="672" t="str">
        <f t="shared" si="18"/>
        <v>项目建筑规模</v>
      </c>
      <c r="AA33" s="1264">
        <f t="shared" si="15"/>
        <v>1</v>
      </c>
      <c r="AB33" s="1264">
        <f t="shared" si="16"/>
        <v>1.0101010101010102</v>
      </c>
      <c r="AC33" s="1264">
        <f t="shared" si="17"/>
        <v>1</v>
      </c>
    </row>
    <row r="34" spans="1:29" ht="15">
      <c r="A34" s="409"/>
      <c r="B34" s="364" t="s">
        <v>1696</v>
      </c>
      <c r="C34" s="3158" t="s">
        <v>3449</v>
      </c>
      <c r="D34" s="374">
        <v>100</v>
      </c>
      <c r="E34" s="3158" t="s">
        <v>3449</v>
      </c>
      <c r="F34" s="400">
        <f>SUMIF(105:105,E34,106:106)-SUMIF(105:105,C34,106:106)+100</f>
        <v>100</v>
      </c>
      <c r="G34" s="3158" t="s">
        <v>3449</v>
      </c>
      <c r="H34" s="374">
        <f>SUMIF(105:105,G34,106:106)-SUMIF(105:105,C34,106:106)+100</f>
        <v>100</v>
      </c>
      <c r="I34" s="3158" t="s">
        <v>3449</v>
      </c>
      <c r="J34" s="374">
        <f>SUMIF(105:105,I34,106:106)-SUMIF(105:105,C34,106:106)+100</f>
        <v>100</v>
      </c>
      <c r="K34" s="365">
        <v>2</v>
      </c>
      <c r="L34" s="2491"/>
      <c r="M34" s="2486"/>
      <c r="N34" s="2486"/>
      <c r="O34" s="2486"/>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hidden="1">
      <c r="A35" s="409"/>
      <c r="B35" s="364" t="s">
        <v>1697</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1"/>
      <c r="M35" s="2486"/>
      <c r="N35" s="2486"/>
      <c r="O35" s="2486"/>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1698</v>
      </c>
      <c r="C36" s="3159" t="s">
        <v>3450</v>
      </c>
      <c r="D36" s="374">
        <v>100</v>
      </c>
      <c r="E36" s="3159" t="s">
        <v>3450</v>
      </c>
      <c r="F36" s="400">
        <f>SUMIF(109:109,E36,110:110)-SUMIF(109:109,C36,110:110)+100</f>
        <v>100</v>
      </c>
      <c r="G36" s="3159" t="s">
        <v>3450</v>
      </c>
      <c r="H36" s="374">
        <f>SUMIF(109:109,G36,110:110)-SUMIF(109:109,C36,110:110)+100</f>
        <v>100</v>
      </c>
      <c r="I36" s="3159" t="s">
        <v>3450</v>
      </c>
      <c r="J36" s="374">
        <f>SUMIF(109:109,I36,110:110)-SUMIF(109:109,C36,110:110)+100</f>
        <v>100</v>
      </c>
      <c r="K36" s="365">
        <v>2</v>
      </c>
      <c r="L36" s="2491"/>
      <c r="M36" s="2486"/>
      <c r="N36" s="2486"/>
      <c r="O36" s="2486"/>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1699</v>
      </c>
      <c r="C37" s="411">
        <v>1</v>
      </c>
      <c r="D37" s="119">
        <v>100</v>
      </c>
      <c r="E37" s="411">
        <v>1</v>
      </c>
      <c r="F37" s="364">
        <f>LOOKUP(E37,112:112,113:113)-LOOKUP(C37,112:112,113:113)+100</f>
        <v>100</v>
      </c>
      <c r="G37" s="411">
        <v>1</v>
      </c>
      <c r="H37" s="119">
        <f>LOOKUP(G37,112:112,113:113)-LOOKUP(C37,112:112,113:113)+100</f>
        <v>100</v>
      </c>
      <c r="I37" s="411">
        <f>ROUND(1-(2025-2024)/60,2)</f>
        <v>0.98</v>
      </c>
      <c r="J37" s="119">
        <f>LOOKUP(I37,112:112,113:113)-LOOKUP(C37,112:112,113:113)+100</f>
        <v>100</v>
      </c>
      <c r="K37" s="365">
        <v>2</v>
      </c>
      <c r="L37" s="2487"/>
      <c r="M37" s="2438"/>
      <c r="N37" s="2438"/>
      <c r="O37" s="2438"/>
      <c r="P37" s="3411"/>
      <c r="Q37" s="530" t="str">
        <f t="shared" si="11"/>
        <v>成新度</v>
      </c>
      <c r="R37" s="664" t="s">
        <v>18</v>
      </c>
      <c r="S37" s="665">
        <f t="shared" si="12"/>
        <v>100</v>
      </c>
      <c r="T37" s="664" t="s">
        <v>18</v>
      </c>
      <c r="U37" s="665">
        <f t="shared" si="13"/>
        <v>100</v>
      </c>
      <c r="V37" s="664" t="s">
        <v>18</v>
      </c>
      <c r="W37" s="665">
        <f t="shared" si="14"/>
        <v>100</v>
      </c>
      <c r="X37" s="666"/>
      <c r="Y37" s="3413"/>
      <c r="Z37" s="50" t="str">
        <f t="shared" si="18"/>
        <v>成新度</v>
      </c>
      <c r="AA37" s="50">
        <f t="shared" si="15"/>
        <v>1</v>
      </c>
      <c r="AB37" s="50">
        <f t="shared" si="16"/>
        <v>1</v>
      </c>
      <c r="AC37" s="50">
        <f t="shared" si="17"/>
        <v>1</v>
      </c>
    </row>
    <row r="38" spans="1:29" ht="15">
      <c r="A38" s="409"/>
      <c r="B38" s="364" t="s">
        <v>1700</v>
      </c>
      <c r="C38" s="3159" t="s">
        <v>3451</v>
      </c>
      <c r="D38" s="374">
        <v>100</v>
      </c>
      <c r="E38" s="3159" t="s">
        <v>3451</v>
      </c>
      <c r="F38" s="400">
        <f>SUMIF(114:114,E38,115:115)-SUMIF(114:114,C38,115:115)+100</f>
        <v>100</v>
      </c>
      <c r="G38" s="3159" t="s">
        <v>3451</v>
      </c>
      <c r="H38" s="374">
        <f>SUMIF(114:114,G38,115:115)-SUMIF(114:114,C38,115:115)+100</f>
        <v>100</v>
      </c>
      <c r="I38" s="3159" t="s">
        <v>3451</v>
      </c>
      <c r="J38" s="374">
        <f>SUMIF(114:114,I38,115:115)-SUMIF(114:114,C38,115:115)+100</f>
        <v>100</v>
      </c>
      <c r="K38" s="365">
        <v>2</v>
      </c>
      <c r="L38" s="2491"/>
      <c r="M38" s="2486"/>
      <c r="N38" s="2486"/>
      <c r="O38" s="2486"/>
      <c r="P38" s="3411" t="s">
        <v>1694</v>
      </c>
      <c r="Q38" s="1263" t="str">
        <f t="shared" si="11"/>
        <v>物业管理</v>
      </c>
      <c r="R38" s="667" t="s">
        <v>18</v>
      </c>
      <c r="S38" s="668">
        <f t="shared" si="12"/>
        <v>100</v>
      </c>
      <c r="T38" s="667" t="s">
        <v>18</v>
      </c>
      <c r="U38" s="668">
        <f t="shared" si="13"/>
        <v>100</v>
      </c>
      <c r="V38" s="667" t="s">
        <v>18</v>
      </c>
      <c r="W38" s="668">
        <f t="shared" si="14"/>
        <v>100</v>
      </c>
      <c r="X38" s="1265"/>
      <c r="Y38" s="3413" t="s">
        <v>1694</v>
      </c>
      <c r="Z38" s="1264" t="str">
        <f t="shared" si="18"/>
        <v>物业管理</v>
      </c>
      <c r="AA38" s="1264">
        <f t="shared" si="15"/>
        <v>1</v>
      </c>
      <c r="AB38" s="1264">
        <f t="shared" si="16"/>
        <v>1</v>
      </c>
      <c r="AC38" s="1264">
        <f t="shared" si="17"/>
        <v>1</v>
      </c>
    </row>
    <row r="39" spans="1:29" ht="15">
      <c r="A39" s="409"/>
      <c r="B39" s="364" t="s">
        <v>1701</v>
      </c>
      <c r="C39" s="3159" t="s">
        <v>3453</v>
      </c>
      <c r="D39" s="374">
        <v>100</v>
      </c>
      <c r="E39" s="3159" t="s">
        <v>3453</v>
      </c>
      <c r="F39" s="400">
        <f>SUMIF(116:116,E39,117:117)-SUMIF(116:116,C39,117:117)+100</f>
        <v>100</v>
      </c>
      <c r="G39" s="3159" t="s">
        <v>3453</v>
      </c>
      <c r="H39" s="374">
        <f>SUMIF(116:116,G39,117:117)-SUMIF(116:116,C39,117:117)+100</f>
        <v>100</v>
      </c>
      <c r="I39" s="3159" t="s">
        <v>3453</v>
      </c>
      <c r="J39" s="374">
        <f>SUMIF(116:116,I39,117:117)-SUMIF(116:116,C39,117:117)+100</f>
        <v>100</v>
      </c>
      <c r="K39" s="365">
        <v>2</v>
      </c>
      <c r="L39" s="2491"/>
      <c r="M39" s="2486"/>
      <c r="N39" s="2486"/>
      <c r="O39" s="2486"/>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1702</v>
      </c>
      <c r="C40" s="3159" t="s">
        <v>3454</v>
      </c>
      <c r="D40" s="374">
        <v>100</v>
      </c>
      <c r="E40" s="3159" t="s">
        <v>3454</v>
      </c>
      <c r="F40" s="400">
        <f>SUMIF(118:118,E40,119:119)-SUMIF(118:118,C40,119:119)+100</f>
        <v>100</v>
      </c>
      <c r="G40" s="3159" t="s">
        <v>3454</v>
      </c>
      <c r="H40" s="374">
        <f>SUMIF(118:118,G40,119:119)-SUMIF(118:118,C40,119:119)+100</f>
        <v>100</v>
      </c>
      <c r="I40" s="3159" t="s">
        <v>3454</v>
      </c>
      <c r="J40" s="374">
        <f>SUMIF(118:118,I40,119:119)-SUMIF(118:118,C40,119:119)+100</f>
        <v>100</v>
      </c>
      <c r="K40" s="365">
        <v>5</v>
      </c>
      <c r="L40" s="2491"/>
      <c r="M40" s="2486"/>
      <c r="N40" s="2486"/>
      <c r="O40" s="2486"/>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5" hidden="1">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75" thickBot="1">
      <c r="A42" s="409"/>
      <c r="B42" s="364" t="s">
        <v>1704</v>
      </c>
      <c r="C42" s="3159" t="s">
        <v>3450</v>
      </c>
      <c r="D42" s="374">
        <v>100</v>
      </c>
      <c r="E42" s="3159" t="s">
        <v>3450</v>
      </c>
      <c r="F42" s="400">
        <f>SUMIF(122:122,E42,123:123)-SUMIF(122:122,C42,123:123)+100</f>
        <v>100</v>
      </c>
      <c r="G42" s="3159" t="s">
        <v>3450</v>
      </c>
      <c r="H42" s="374">
        <f>SUMIF(122:122,G42,123:123)-SUMIF(122:122,C42,123:123)+100</f>
        <v>100</v>
      </c>
      <c r="I42" s="3159" t="s">
        <v>3450</v>
      </c>
      <c r="J42" s="374">
        <f>SUMIF(122:122,I42,123:123)-SUMIF(122:122,C42,123:123)+100</f>
        <v>100</v>
      </c>
      <c r="K42" s="365">
        <v>3</v>
      </c>
      <c r="L42" s="2491"/>
      <c r="M42" s="2486"/>
      <c r="N42" s="2486"/>
      <c r="O42" s="2486"/>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15.75" hidden="1" thickBot="1">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hidden="1">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75" hidden="1"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5">
      <c r="A47" s="416" t="s">
        <v>1706</v>
      </c>
      <c r="B47" s="417"/>
      <c r="C47" s="1081" t="s">
        <v>16</v>
      </c>
      <c r="D47" s="418"/>
      <c r="E47" s="419">
        <v>27647</v>
      </c>
      <c r="F47" s="420"/>
      <c r="G47" s="421">
        <v>26260</v>
      </c>
      <c r="H47" s="422"/>
      <c r="I47" s="419">
        <v>25833</v>
      </c>
      <c r="J47" s="422"/>
      <c r="K47" s="1765"/>
      <c r="L47" s="2493"/>
      <c r="M47" s="2486"/>
      <c r="N47" s="2486"/>
      <c r="O47" s="2486"/>
      <c r="P47" s="3407" t="str">
        <f>A47</f>
        <v>成交单价（元/平方米）</v>
      </c>
      <c r="Q47" s="3407"/>
      <c r="R47" s="3402">
        <f>E47</f>
        <v>27647</v>
      </c>
      <c r="S47" s="3402"/>
      <c r="T47" s="3402">
        <f>G47</f>
        <v>26260</v>
      </c>
      <c r="U47" s="3402"/>
      <c r="V47" s="3402">
        <f>I47</f>
        <v>25833</v>
      </c>
      <c r="W47" s="3402"/>
      <c r="X47" s="385"/>
      <c r="Y47" s="673"/>
      <c r="Z47" s="385"/>
      <c r="AA47" s="385"/>
      <c r="AB47" s="385"/>
      <c r="AC47" s="385"/>
    </row>
    <row r="48" spans="1:29" ht="15.75" thickBot="1">
      <c r="A48" s="423" t="s">
        <v>1707</v>
      </c>
      <c r="B48" s="424"/>
      <c r="C48" s="1082">
        <f>R49</f>
        <v>26668</v>
      </c>
      <c r="D48" s="2139" t="s">
        <v>2136</v>
      </c>
      <c r="E48" s="1083">
        <f>R48</f>
        <v>27647</v>
      </c>
      <c r="F48" s="2140"/>
      <c r="G48" s="1082">
        <f>T48</f>
        <v>26525</v>
      </c>
      <c r="H48" s="2140"/>
      <c r="I48" s="1083">
        <f>V48</f>
        <v>25833</v>
      </c>
      <c r="J48" s="2140"/>
      <c r="K48" s="2141">
        <f>F48+H48+J48</f>
        <v>0</v>
      </c>
      <c r="L48" s="2493"/>
      <c r="M48" s="2486"/>
      <c r="N48" s="2486"/>
      <c r="O48" s="2486"/>
      <c r="P48" s="3407" t="str">
        <f>A48</f>
        <v>比较价值（元/平方米）</v>
      </c>
      <c r="Q48" s="3407"/>
      <c r="R48" s="3402">
        <f>IF(F1="售价",ROUND(PRODUCT(R47,AA7:AA46),0),ROUND(PRODUCT(R47,AA7:AA46),1))</f>
        <v>27647</v>
      </c>
      <c r="S48" s="3402"/>
      <c r="T48" s="3402">
        <f>IF(F1="售价",ROUND(PRODUCT(T47,AB7:AB46),0),ROUND(PRODUCT(T47,AB7:AB46),1))</f>
        <v>26525</v>
      </c>
      <c r="U48" s="3402"/>
      <c r="V48" s="3402">
        <f>IF(F1="售价",ROUND(PRODUCT(V47,AC7:AC46),0),ROUND(PRODUCT(V47,AC7:AC46),1))</f>
        <v>25833</v>
      </c>
      <c r="W48" s="3402"/>
      <c r="X48" s="385"/>
      <c r="Y48" s="385"/>
      <c r="Z48" s="385"/>
      <c r="AA48" s="385"/>
      <c r="AB48" s="385"/>
      <c r="AC48" s="385"/>
    </row>
    <row r="49" spans="1:29" ht="15.75" thickBot="1">
      <c r="A49" s="427" t="s">
        <v>1708</v>
      </c>
      <c r="B49" s="428"/>
      <c r="C49" s="1084">
        <f>R49</f>
        <v>26668</v>
      </c>
      <c r="D49" s="351"/>
      <c r="E49" s="351"/>
      <c r="F49" s="351"/>
      <c r="G49" s="351"/>
      <c r="H49" s="351"/>
      <c r="I49" s="351"/>
      <c r="J49" s="351"/>
      <c r="K49" s="1766"/>
      <c r="L49" s="2493"/>
      <c r="M49" s="2486"/>
      <c r="N49" s="2486"/>
      <c r="O49" s="2486"/>
      <c r="P49" s="3404" t="str">
        <f>A49</f>
        <v>估价对象XX用房的比较价值（楼面单价，元/平方米）</v>
      </c>
      <c r="Q49" s="3405"/>
      <c r="R49" s="3406">
        <f>IF(F1="售价",ROUND(IF(D48="简单平均",AVERAGE(R48:V48),R48*F48+T48*H48+V48*J48),0),ROUND(IF(D48="简单平均",AVERAGE(R48:V48),R48*F48+T48*H48+V48*J48),1))</f>
        <v>26668</v>
      </c>
      <c r="S49" s="3406"/>
      <c r="T49" s="3406"/>
      <c r="U49" s="3406"/>
      <c r="V49" s="3406"/>
      <c r="W49" s="340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5">
      <c r="A52" s="2486"/>
      <c r="B52" s="2486"/>
      <c r="C52" s="432" t="s">
        <v>1709</v>
      </c>
      <c r="D52" s="433"/>
      <c r="E52" s="434">
        <f>IF(E47&lt;E48,E48/E47-1,E47/E48-1)</f>
        <v>0</v>
      </c>
      <c r="F52" s="435" t="str">
        <f>IF(OR(E52&gt;=0.3,E52&lt;=-0.3),"超过30%","")</f>
        <v/>
      </c>
      <c r="G52" s="434">
        <f>IF(G47&lt;G48,G48/G47-1,G47/G48-1)</f>
        <v>1.0091393754759981E-2</v>
      </c>
      <c r="H52" s="435" t="str">
        <f>IF(OR(G52&gt;=0.3,G52&lt;=-0.3),"超过30%","")</f>
        <v/>
      </c>
      <c r="I52" s="434">
        <f>IF(I47&lt;I48,I48/I47-1,I47/I48-1)</f>
        <v>0</v>
      </c>
      <c r="J52" s="435" t="str">
        <f>IF(OR(I52&gt;=0.3,I52&lt;=-0.3),"超过30%","")</f>
        <v/>
      </c>
      <c r="K52" s="2498"/>
      <c r="L52" s="2494"/>
      <c r="M52" s="2486"/>
      <c r="N52" s="2486"/>
      <c r="O52" s="2486"/>
    </row>
    <row r="53" spans="1:29" ht="15">
      <c r="A53" s="2486"/>
      <c r="B53" s="2486"/>
      <c r="C53" s="432" t="s">
        <v>1710</v>
      </c>
      <c r="D53" s="436"/>
      <c r="E53" s="434">
        <f>IF(E48&lt;G48,G48/E48-1,E48/G48-1)</f>
        <v>4.2299717247879398E-2</v>
      </c>
      <c r="F53" s="435" t="str">
        <f>IF(OR(E53&gt;=0.2,E53&lt;=-0.2),"超过20%","")</f>
        <v/>
      </c>
      <c r="G53" s="434">
        <f>IF(G48&lt;I48,I48/G48-1,G48/I48-1)</f>
        <v>2.6787442418611862E-2</v>
      </c>
      <c r="H53" s="435" t="str">
        <f>IF(OR(G53&gt;=0.2,G53&lt;=-0.2),"超过20%","")</f>
        <v/>
      </c>
      <c r="I53" s="434">
        <f>IF(I48&lt;E48,E48/I48-1,I48/E48-1)</f>
        <v>7.022026090659228E-2</v>
      </c>
      <c r="J53" s="435" t="str">
        <f>IF(OR(I53&gt;=0.2,I53&lt;=-0.2),"超过20%","")</f>
        <v/>
      </c>
      <c r="K53" s="2498"/>
      <c r="L53" s="2494"/>
      <c r="M53" s="2486"/>
      <c r="N53" s="2486"/>
      <c r="O53" s="2486"/>
    </row>
    <row r="54" spans="1:29" s="437" customFormat="1" ht="15">
      <c r="A54" s="2496"/>
      <c r="B54" s="2496"/>
      <c r="C54" s="432" t="s">
        <v>1711</v>
      </c>
      <c r="D54" s="436"/>
      <c r="E54" s="434">
        <f>IF(E47&lt;G47,G47/E47-1,E47/G47-1)</f>
        <v>5.2817974105102916E-2</v>
      </c>
      <c r="F54" s="435" t="str">
        <f>IF(OR(E54&gt;=0.3,E54&lt;=-0.3),"超过30%","")</f>
        <v/>
      </c>
      <c r="G54" s="434">
        <f>IF(G47&lt;I47,I47/G47-1,G47/I47-1)</f>
        <v>1.6529245538652093E-2</v>
      </c>
      <c r="H54" s="435" t="str">
        <f>IF(OR(G54&gt;=0.3,G54&lt;=-0.3),"超过30%","")</f>
        <v/>
      </c>
      <c r="I54" s="434">
        <f>IF(I47&lt;E47,E47/I47-1,I47/E47-1)</f>
        <v>7.022026090659228E-2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1712</v>
      </c>
      <c r="B57" s="385"/>
      <c r="C57" s="659"/>
      <c r="D57" s="659"/>
      <c r="E57" s="659"/>
      <c r="F57" s="660"/>
      <c r="G57" s="660"/>
      <c r="H57" s="659"/>
      <c r="I57" s="659"/>
      <c r="J57" s="659"/>
      <c r="K57" s="887"/>
      <c r="L57" s="888"/>
      <c r="M57" s="886"/>
      <c r="N57" s="886"/>
      <c r="O57" s="886"/>
      <c r="P57" s="1769"/>
      <c r="Q57" s="439"/>
    </row>
    <row r="58" spans="1:29" s="442" customFormat="1" ht="15">
      <c r="A58" s="440" t="s">
        <v>1713</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1714</v>
      </c>
      <c r="B60" s="450"/>
      <c r="C60" s="451"/>
      <c r="D60" s="452"/>
      <c r="E60" s="452"/>
      <c r="F60" s="452"/>
      <c r="G60" s="452"/>
      <c r="H60" s="452"/>
      <c r="I60" s="452"/>
      <c r="J60" s="452"/>
      <c r="K60" s="452"/>
      <c r="L60" s="452"/>
      <c r="M60" s="453"/>
      <c r="N60" s="452"/>
      <c r="O60" s="453"/>
      <c r="P60" s="1771"/>
      <c r="Q60" s="439"/>
    </row>
    <row r="61" spans="1:29" s="102" customFormat="1" ht="15">
      <c r="A61" s="455" t="s">
        <v>1715</v>
      </c>
      <c r="B61" s="444"/>
      <c r="C61" s="456" t="s">
        <v>1716</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1717</v>
      </c>
      <c r="B63" s="460" t="s">
        <v>1683</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1686</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1687</v>
      </c>
      <c r="C67" s="478" t="str">
        <f>C68&amp;"（含）"&amp;"-"&amp;D68</f>
        <v>0（含）-1.5</v>
      </c>
      <c r="D67" s="478" t="str">
        <f t="shared" ref="D67:L67" si="20">D68&amp;"（含）"&amp;"-"&amp;E68</f>
        <v>1.5（含）-2.5</v>
      </c>
      <c r="E67" s="478" t="str">
        <f t="shared" si="20"/>
        <v>2.5（含）-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1.5</v>
      </c>
      <c r="E68" s="480">
        <v>2.5</v>
      </c>
      <c r="F68" s="480"/>
      <c r="G68" s="480"/>
      <c r="H68" s="480"/>
      <c r="I68" s="480"/>
      <c r="J68" s="480"/>
      <c r="K68" s="481"/>
      <c r="L68" s="482"/>
      <c r="M68" s="483"/>
      <c r="N68" s="879"/>
      <c r="O68" s="879"/>
      <c r="P68" s="1773"/>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7"/>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3"/>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3"/>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3"/>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3"/>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3"/>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3"/>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3"/>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3"/>
      <c r="Q85" s="439"/>
    </row>
    <row r="86" spans="1:17" s="102" customFormat="1" ht="15.75" thickTop="1">
      <c r="A86" s="370"/>
      <c r="B86" s="469" t="s">
        <v>1732</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1733</v>
      </c>
      <c r="C88" s="485"/>
      <c r="D88" s="485"/>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5.75" thickTop="1">
      <c r="A90" s="484"/>
      <c r="B90" s="469">
        <f>B27</f>
        <v>111</v>
      </c>
      <c r="C90" s="485"/>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1692</v>
      </c>
      <c r="B100" s="460" t="s">
        <v>1734</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29.25" thickTop="1">
      <c r="A102" s="367"/>
      <c r="B102" s="469" t="s">
        <v>1735</v>
      </c>
      <c r="C102" s="509" t="str">
        <f>C103&amp;"(含)"&amp;"-"&amp;D103</f>
        <v>0(含)-50000</v>
      </c>
      <c r="D102" s="509" t="str">
        <f t="shared" ref="D102:L102" si="26">D103&amp;"(含)"&amp;"-"&amp;E103</f>
        <v>50000(含)-100000</v>
      </c>
      <c r="E102" s="509" t="str">
        <f t="shared" si="26"/>
        <v>100000(含)-500000</v>
      </c>
      <c r="F102" s="509" t="str">
        <f t="shared" si="26"/>
        <v>500000(含)-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50000</v>
      </c>
      <c r="E103" s="6">
        <v>100000</v>
      </c>
      <c r="F103" s="6">
        <v>500000</v>
      </c>
      <c r="G103" s="6"/>
      <c r="H103" s="6"/>
      <c r="I103" s="6"/>
      <c r="J103" s="524"/>
      <c r="K103" s="524"/>
      <c r="L103" s="525"/>
      <c r="M103" s="526"/>
      <c r="N103" s="881"/>
      <c r="O103" s="881"/>
      <c r="P103" s="1774"/>
      <c r="Q103" s="490"/>
    </row>
    <row r="104" spans="1:17" s="408" customFormat="1" ht="15.75" thickBot="1">
      <c r="A104" s="484"/>
      <c r="B104" s="474"/>
      <c r="C104" s="491">
        <v>100</v>
      </c>
      <c r="D104" s="467">
        <v>101</v>
      </c>
      <c r="E104" s="467">
        <v>102</v>
      </c>
      <c r="F104" s="467">
        <v>103</v>
      </c>
      <c r="G104" s="467"/>
      <c r="H104" s="467"/>
      <c r="I104" s="467"/>
      <c r="J104" s="467"/>
      <c r="K104" s="467"/>
      <c r="L104" s="467"/>
      <c r="M104" s="467"/>
      <c r="N104" s="880"/>
      <c r="O104" s="880"/>
      <c r="P104" s="1774"/>
      <c r="Q104" s="490"/>
    </row>
    <row r="105" spans="1:17" ht="15" thickTop="1">
      <c r="A105" s="409"/>
      <c r="B105" s="469" t="s">
        <v>1736</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1737</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1738</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1739</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3"/>
      <c r="Q115" s="439"/>
    </row>
    <row r="116" spans="1:17" ht="15" thickTop="1">
      <c r="A116" s="409"/>
      <c r="B116" s="469" t="s">
        <v>1740</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98</v>
      </c>
      <c r="E117" s="475">
        <f>D117-$K39</f>
        <v>96</v>
      </c>
      <c r="F117" s="475">
        <f>E117-$K39</f>
        <v>94</v>
      </c>
      <c r="G117" s="475">
        <f>F117-$K39</f>
        <v>92</v>
      </c>
      <c r="H117" s="475"/>
      <c r="I117" s="475"/>
      <c r="J117" s="475"/>
      <c r="K117" s="475"/>
      <c r="L117" s="475"/>
      <c r="M117" s="476"/>
      <c r="N117" s="880"/>
      <c r="O117" s="880"/>
      <c r="P117" s="1773"/>
      <c r="Q117" s="439"/>
    </row>
    <row r="118" spans="1:17" ht="15" thickTop="1">
      <c r="A118" s="409"/>
      <c r="B118" s="469" t="s">
        <v>1741</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95</v>
      </c>
      <c r="E119" s="475">
        <f t="shared" si="31"/>
        <v>90</v>
      </c>
      <c r="F119" s="475">
        <f t="shared" si="31"/>
        <v>85</v>
      </c>
      <c r="G119" s="475">
        <f t="shared" si="31"/>
        <v>80</v>
      </c>
      <c r="H119" s="475">
        <f t="shared" si="31"/>
        <v>75</v>
      </c>
      <c r="I119" s="475">
        <f t="shared" si="31"/>
        <v>70</v>
      </c>
      <c r="J119" s="475">
        <f t="shared" si="31"/>
        <v>65</v>
      </c>
      <c r="K119" s="475">
        <f t="shared" si="31"/>
        <v>60</v>
      </c>
      <c r="L119" s="475">
        <f t="shared" si="31"/>
        <v>55</v>
      </c>
      <c r="M119" s="475">
        <f t="shared" si="31"/>
        <v>50</v>
      </c>
      <c r="N119" s="880"/>
      <c r="O119" s="880"/>
      <c r="P119" s="1773"/>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1742</v>
      </c>
      <c r="C122" s="485"/>
      <c r="D122" s="485"/>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3"/>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4">
        <v>6</v>
      </c>
      <c r="C139" s="815">
        <v>96</v>
      </c>
      <c r="D139" s="1790" t="s">
        <v>1753</v>
      </c>
      <c r="E139" s="816">
        <v>100</v>
      </c>
      <c r="F139" s="817">
        <v>102.5</v>
      </c>
      <c r="G139" s="1790" t="s">
        <v>1753</v>
      </c>
      <c r="H139" s="818">
        <v>105</v>
      </c>
      <c r="I139" s="1791" t="s">
        <v>1754</v>
      </c>
      <c r="J139" s="815">
        <v>20</v>
      </c>
      <c r="K139" s="819">
        <f>C145/(J139-2)</f>
        <v>4.0555555555555553E-3</v>
      </c>
    </row>
    <row r="140" spans="1:17" ht="15">
      <c r="B140" s="820">
        <v>5</v>
      </c>
      <c r="C140" s="821">
        <v>100</v>
      </c>
      <c r="D140" s="821"/>
      <c r="E140" s="822"/>
      <c r="F140" s="823">
        <v>102</v>
      </c>
      <c r="G140" s="821"/>
      <c r="H140" s="824"/>
      <c r="I140" s="1792" t="s">
        <v>1755</v>
      </c>
      <c r="J140" s="263">
        <f>ROUNDUP((J139-1)/2,0)</f>
        <v>10</v>
      </c>
      <c r="K140" s="825">
        <v>100</v>
      </c>
    </row>
    <row r="141" spans="1:17" ht="15">
      <c r="B141" s="820">
        <v>4</v>
      </c>
      <c r="C141" s="821">
        <v>102</v>
      </c>
      <c r="D141" s="821"/>
      <c r="E141" s="822"/>
      <c r="F141" s="823">
        <v>101.5</v>
      </c>
      <c r="G141" s="821"/>
      <c r="H141" s="824"/>
      <c r="I141" s="1792" t="s">
        <v>1756</v>
      </c>
      <c r="J141" s="263">
        <v>1</v>
      </c>
      <c r="K141" s="826">
        <f>ROUND(100+(J141-J140)*K139*100,1)</f>
        <v>96.4</v>
      </c>
    </row>
    <row r="142" spans="1:17" ht="15">
      <c r="B142" s="820">
        <v>3</v>
      </c>
      <c r="C142" s="821">
        <v>103</v>
      </c>
      <c r="D142" s="821"/>
      <c r="E142" s="822"/>
      <c r="F142" s="823">
        <v>101</v>
      </c>
      <c r="G142" s="821"/>
      <c r="H142" s="824"/>
      <c r="I142" s="1792" t="s">
        <v>1757</v>
      </c>
      <c r="J142" s="263">
        <f>J139</f>
        <v>20</v>
      </c>
      <c r="K142" s="827">
        <v>95</v>
      </c>
    </row>
    <row r="143" spans="1:17" ht="15">
      <c r="B143" s="820">
        <v>2</v>
      </c>
      <c r="C143" s="821">
        <v>100</v>
      </c>
      <c r="D143" s="821"/>
      <c r="E143" s="822"/>
      <c r="F143" s="823">
        <v>100.5</v>
      </c>
      <c r="G143" s="821"/>
      <c r="H143" s="824"/>
      <c r="I143" s="1792" t="s">
        <v>1758</v>
      </c>
      <c r="J143" s="821">
        <v>15</v>
      </c>
      <c r="K143" s="826">
        <f>ROUND(100+(J143-J140)*K139*100,1)</f>
        <v>102</v>
      </c>
    </row>
    <row r="144" spans="1:17" ht="15">
      <c r="B144" s="820">
        <v>1</v>
      </c>
      <c r="C144" s="821">
        <v>98</v>
      </c>
      <c r="D144" s="1793" t="s">
        <v>1759</v>
      </c>
      <c r="E144" s="822">
        <v>102</v>
      </c>
      <c r="F144" s="828">
        <v>100</v>
      </c>
      <c r="G144" s="1793" t="s">
        <v>1759</v>
      </c>
      <c r="H144" s="824">
        <v>105</v>
      </c>
      <c r="I144" s="1792" t="s">
        <v>1758</v>
      </c>
      <c r="J144" s="821">
        <v>18</v>
      </c>
      <c r="K144" s="826">
        <f>ROUND(100+(J144-J140)*K139*100,1)</f>
        <v>103.2</v>
      </c>
    </row>
    <row r="145" spans="2:11" ht="15.75" thickBot="1">
      <c r="B145" s="1794" t="s">
        <v>1760</v>
      </c>
      <c r="C145" s="829">
        <f>ROUND(MAX(C139:C144)/MIN(C139:C144)-1,3)</f>
        <v>7.2999999999999995E-2</v>
      </c>
      <c r="D145" s="830"/>
      <c r="E145" s="830"/>
      <c r="F145" s="1795" t="s">
        <v>1761</v>
      </c>
      <c r="G145" s="1796"/>
      <c r="H145" s="1797"/>
      <c r="I145" s="1798" t="s">
        <v>1758</v>
      </c>
      <c r="J145" s="831">
        <v>8</v>
      </c>
      <c r="K145" s="832">
        <f>ROUND(100+(J145-J140)*K139*100,1)</f>
        <v>99.2</v>
      </c>
    </row>
    <row r="147" spans="2:11">
      <c r="B147" s="1779" t="s">
        <v>1762</v>
      </c>
    </row>
    <row r="148" spans="2:11">
      <c r="B148" s="177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4C3F5-AAFE-4C09-9847-92DA8D09E3E4}">
  <dimension ref="A1"/>
  <sheetViews>
    <sheetView zoomScale="55" zoomScaleNormal="55" workbookViewId="0">
      <selection activeCell="S142" sqref="S142"/>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896</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897</v>
      </c>
    </row>
    <row r="6" spans="1:1" ht="18.75">
      <c r="A6" s="1384" t="s">
        <v>898</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估价对象为北京市房地产，为所有。根据《国有土地使用证》[]，估价对象（分摊）出让国有建设用地使用权面积为0平方米，建筑面积为155425.83平方米。</v>
      </c>
    </row>
    <row r="8" spans="1:1" ht="57.75">
      <c r="A8" s="1385" t="s">
        <v>899</v>
      </c>
    </row>
    <row r="9" spans="1:1" ht="18.75">
      <c r="A9" s="1384" t="s">
        <v>900</v>
      </c>
    </row>
    <row r="10" spans="1:1" ht="54">
      <c r="A10" s="138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估价对象为北京市房地产,属开发建设的，该项目尚在开发建设中。根据《国有土地使用证》[]，估价对象（分摊）出让国有建设用地使用权面积为0平方米，规划建筑面积为155425.83平方米。</v>
      </c>
    </row>
    <row r="11" spans="1:1" ht="76.5">
      <c r="A11" s="1385" t="s">
        <v>901</v>
      </c>
    </row>
    <row r="12" spans="1:1" ht="18.75">
      <c r="A12" s="1383" t="s">
        <v>902</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903</v>
      </c>
    </row>
    <row r="15" spans="1:1" ht="18">
      <c r="A15" s="1386" t="str">
        <f>TEXT(项目基本情况!D3,"yyyy年m月d日;;")&amp;IF(项目基本情况!D3=项目基本情况!B3,"（评估专业人员实地查勘之日）","")</f>
        <v>2025年3月25日（评估专业人员实地查勘之日）</v>
      </c>
    </row>
    <row r="16" spans="1:1" ht="18.75">
      <c r="A16" s="1381" t="s">
        <v>904</v>
      </c>
    </row>
    <row r="17" spans="1:1" ht="75">
      <c r="A17" s="1382" t="s">
        <v>905</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894</v>
      </c>
    </row>
    <row r="24" spans="1:1" ht="18">
      <c r="A24" s="1387" t="str">
        <f>"本次评估采用的主估价方法为"&amp;'结果表-住宅'!K4&amp;"和"&amp;'结果表-住宅'!L4&amp;"。"</f>
        <v>本次评估采用的主估价方法为比较法和比较法。</v>
      </c>
    </row>
    <row r="25" spans="1:1" ht="18">
      <c r="A25" s="1387"/>
    </row>
    <row r="26" spans="1:1" ht="18.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3"/>
      <c r="F1" s="1735"/>
      <c r="G1" s="1152" t="s">
        <v>1765</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1462</v>
      </c>
      <c r="B3" s="536">
        <f>IF(C2="——",C49,ROUND(B2*10000/D3,0))</f>
        <v>0</v>
      </c>
      <c r="C3" s="344" t="s">
        <v>1766</v>
      </c>
      <c r="D3" s="343">
        <f>IF(D1="",'数据-汇总表'!E3,SUMIF('数据-汇总表'!$C19:$C33,D1,'数据-汇总表'!$E19:$E33))</f>
        <v>155425.82999999999</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1767</v>
      </c>
      <c r="B4" s="346"/>
      <c r="C4" s="3390" t="s">
        <v>1768</v>
      </c>
      <c r="D4" s="3391"/>
      <c r="E4" s="3392" t="s">
        <v>1769</v>
      </c>
      <c r="F4" s="3393"/>
      <c r="G4" s="3390" t="s">
        <v>1770</v>
      </c>
      <c r="H4" s="3391"/>
      <c r="I4" s="3390" t="s">
        <v>1771</v>
      </c>
      <c r="J4" s="3391"/>
      <c r="K4" s="537" t="s">
        <v>1772</v>
      </c>
      <c r="L4" s="2485"/>
      <c r="M4" s="2486"/>
      <c r="N4" s="2486"/>
      <c r="O4" s="2486"/>
      <c r="P4" s="3394" t="s">
        <v>1773</v>
      </c>
      <c r="Q4" s="3395"/>
      <c r="R4" s="3379" t="s">
        <v>1769</v>
      </c>
      <c r="S4" s="3380"/>
      <c r="T4" s="3379" t="s">
        <v>1770</v>
      </c>
      <c r="U4" s="3380"/>
      <c r="V4" s="3402" t="s">
        <v>1771</v>
      </c>
      <c r="W4" s="3402"/>
      <c r="X4" s="1265"/>
      <c r="Y4" s="3379" t="s">
        <v>1773</v>
      </c>
      <c r="Z4" s="3380"/>
      <c r="AA4" s="3374" t="s">
        <v>1769</v>
      </c>
      <c r="AB4" s="3402" t="s">
        <v>1770</v>
      </c>
      <c r="AC4" s="3374" t="s">
        <v>1771</v>
      </c>
    </row>
    <row r="5" spans="1:29" ht="15">
      <c r="A5" s="348"/>
      <c r="B5" s="349"/>
      <c r="C5" s="3383" t="s">
        <v>1671</v>
      </c>
      <c r="D5" s="3384"/>
      <c r="E5" s="3417" t="s">
        <v>1672</v>
      </c>
      <c r="F5" s="3418"/>
      <c r="G5" s="3383" t="s">
        <v>1673</v>
      </c>
      <c r="H5" s="3384"/>
      <c r="I5" s="3383" t="s">
        <v>1674</v>
      </c>
      <c r="J5" s="3384"/>
      <c r="K5" s="537"/>
      <c r="L5" s="2485"/>
      <c r="M5" s="2486"/>
      <c r="N5" s="2486"/>
      <c r="O5" s="2486"/>
      <c r="P5" s="3396"/>
      <c r="Q5" s="3397"/>
      <c r="R5" s="3381"/>
      <c r="S5" s="3382"/>
      <c r="T5" s="3381"/>
      <c r="U5" s="3382"/>
      <c r="V5" s="3402"/>
      <c r="W5" s="3402"/>
      <c r="X5" s="1265"/>
      <c r="Y5" s="3381"/>
      <c r="Z5" s="3382"/>
      <c r="AA5" s="3375"/>
      <c r="AB5" s="3402"/>
      <c r="AC5" s="3375"/>
    </row>
    <row r="6" spans="1:29" ht="15.75" thickBot="1">
      <c r="A6" s="350"/>
      <c r="B6" s="351"/>
      <c r="C6" s="3385" t="s">
        <v>1675</v>
      </c>
      <c r="D6" s="3386"/>
      <c r="E6" s="3387" t="s">
        <v>1675</v>
      </c>
      <c r="F6" s="3388"/>
      <c r="G6" s="3385" t="s">
        <v>1675</v>
      </c>
      <c r="H6" s="3386"/>
      <c r="I6" s="3385" t="s">
        <v>1675</v>
      </c>
      <c r="J6" s="3386"/>
      <c r="K6" s="537" t="s">
        <v>1676</v>
      </c>
      <c r="L6" s="2485"/>
      <c r="M6" s="2486"/>
      <c r="N6" s="2486"/>
      <c r="O6" s="2486"/>
      <c r="P6" s="3398"/>
      <c r="Q6" s="3399"/>
      <c r="R6" s="3381"/>
      <c r="S6" s="3382"/>
      <c r="T6" s="3400"/>
      <c r="U6" s="3401"/>
      <c r="V6" s="3402"/>
      <c r="W6" s="3402"/>
      <c r="X6" s="1265"/>
      <c r="Y6" s="3400"/>
      <c r="Z6" s="3401"/>
      <c r="AA6" s="3376"/>
      <c r="AB6" s="3402"/>
      <c r="AC6" s="3376"/>
    </row>
    <row r="7" spans="1:29" s="102" customFormat="1" ht="15.75" thickBot="1">
      <c r="A7" s="352" t="s">
        <v>1677</v>
      </c>
      <c r="B7" s="353"/>
      <c r="C7" s="354">
        <f>'数据-取费表'!B2</f>
        <v>45741</v>
      </c>
      <c r="D7" s="355">
        <v>100</v>
      </c>
      <c r="E7" s="356"/>
      <c r="F7" s="357">
        <f>SUMIF(58:58,YEAR(E7)&amp;"-"&amp;MONTH(E7),59:59)</f>
        <v>0</v>
      </c>
      <c r="G7" s="356"/>
      <c r="H7" s="355">
        <f>SUMIF(58:58,YEAR(G7)&amp;"-"&amp;MONTH(G7),59:59)</f>
        <v>0</v>
      </c>
      <c r="I7" s="356"/>
      <c r="J7" s="355">
        <f>SUMIF(58:58,YEAR(I7)&amp;"-"&amp;MONTH(I7),59:59)</f>
        <v>0</v>
      </c>
      <c r="K7" s="38"/>
      <c r="L7" s="2487"/>
      <c r="M7" s="2438"/>
      <c r="N7" s="2438"/>
      <c r="O7" s="2438"/>
      <c r="P7" s="3377" t="s">
        <v>1678</v>
      </c>
      <c r="Q7" s="3403"/>
      <c r="R7" s="664" t="s">
        <v>14</v>
      </c>
      <c r="S7" s="665">
        <f t="shared" ref="S7:S15" si="0">F7</f>
        <v>0</v>
      </c>
      <c r="T7" s="664" t="s">
        <v>14</v>
      </c>
      <c r="U7" s="665">
        <f t="shared" ref="U7:U15" si="1">H7</f>
        <v>0</v>
      </c>
      <c r="V7" s="664" t="s">
        <v>14</v>
      </c>
      <c r="W7" s="665">
        <f t="shared" ref="W7:W15" si="2">J7</f>
        <v>0</v>
      </c>
      <c r="X7" s="666"/>
      <c r="Y7" s="3377" t="s">
        <v>1678</v>
      </c>
      <c r="Z7" s="3378"/>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77" t="s">
        <v>1681</v>
      </c>
      <c r="Q8" s="3378"/>
      <c r="R8" s="664" t="s">
        <v>14</v>
      </c>
      <c r="S8" s="665">
        <f t="shared" si="0"/>
        <v>100</v>
      </c>
      <c r="T8" s="664" t="s">
        <v>14</v>
      </c>
      <c r="U8" s="665">
        <f t="shared" si="1"/>
        <v>100</v>
      </c>
      <c r="V8" s="664" t="s">
        <v>14</v>
      </c>
      <c r="W8" s="665">
        <f t="shared" si="2"/>
        <v>100</v>
      </c>
      <c r="X8" s="666"/>
      <c r="Y8" s="3377" t="s">
        <v>1681</v>
      </c>
      <c r="Z8" s="3378"/>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89" t="s">
        <v>1684</v>
      </c>
      <c r="Q9" s="530" t="str">
        <f t="shared" ref="Q9:Q15" si="6">B9</f>
        <v>用途</v>
      </c>
      <c r="R9" s="664" t="s">
        <v>14</v>
      </c>
      <c r="S9" s="665">
        <f t="shared" si="0"/>
        <v>100</v>
      </c>
      <c r="T9" s="664" t="s">
        <v>14</v>
      </c>
      <c r="U9" s="665">
        <f t="shared" si="1"/>
        <v>100</v>
      </c>
      <c r="V9" s="664" t="s">
        <v>14</v>
      </c>
      <c r="W9" s="665">
        <f t="shared" si="2"/>
        <v>100</v>
      </c>
      <c r="X9" s="666"/>
      <c r="Y9" s="3321" t="s">
        <v>1685</v>
      </c>
      <c r="Z9" s="50" t="str">
        <f t="shared" ref="Z9:Z15" si="7">Q9</f>
        <v>用途</v>
      </c>
      <c r="AA9" s="50">
        <f t="shared" si="3"/>
        <v>1</v>
      </c>
      <c r="AB9" s="50">
        <f t="shared" si="4"/>
        <v>1</v>
      </c>
      <c r="AC9" s="50">
        <f t="shared" si="5"/>
        <v>1</v>
      </c>
    </row>
    <row r="10" spans="1:29" s="366" customFormat="1" ht="27">
      <c r="A10" s="363"/>
      <c r="B10" s="364" t="s">
        <v>1686</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5" t="s">
        <v>1689</v>
      </c>
      <c r="Q15" s="1263" t="str">
        <f t="shared" si="6"/>
        <v>商业繁华度</v>
      </c>
      <c r="R15" s="667" t="s">
        <v>14</v>
      </c>
      <c r="S15" s="668">
        <f t="shared" si="0"/>
        <v>100</v>
      </c>
      <c r="T15" s="667" t="s">
        <v>14</v>
      </c>
      <c r="U15" s="668">
        <f t="shared" si="1"/>
        <v>100</v>
      </c>
      <c r="V15" s="667" t="s">
        <v>14</v>
      </c>
      <c r="W15" s="668">
        <f t="shared" si="2"/>
        <v>100</v>
      </c>
      <c r="X15" s="1265"/>
      <c r="Y15" s="340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6"/>
      <c r="Q16" s="1263"/>
      <c r="R16" s="667"/>
      <c r="S16" s="668"/>
      <c r="T16" s="667"/>
      <c r="U16" s="668"/>
      <c r="V16" s="667"/>
      <c r="W16" s="668"/>
      <c r="X16" s="1265"/>
      <c r="Y16" s="3409"/>
      <c r="Z16" s="1264"/>
      <c r="AA16" s="1264">
        <v>1</v>
      </c>
      <c r="AB16" s="1264">
        <v>1</v>
      </c>
      <c r="AC16" s="1264">
        <v>1</v>
      </c>
    </row>
    <row r="17" spans="1:29" ht="15">
      <c r="A17" s="367"/>
      <c r="B17" s="390" t="s">
        <v>1257</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6"/>
      <c r="Q18" s="1263"/>
      <c r="R18" s="667"/>
      <c r="S18" s="668"/>
      <c r="T18" s="667"/>
      <c r="U18" s="668"/>
      <c r="V18" s="667"/>
      <c r="W18" s="668"/>
      <c r="X18" s="1265"/>
      <c r="Y18" s="3409"/>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6"/>
      <c r="Q20" s="1263"/>
      <c r="R20" s="667"/>
      <c r="S20" s="668"/>
      <c r="T20" s="667"/>
      <c r="U20" s="668"/>
      <c r="V20" s="667"/>
      <c r="W20" s="668"/>
      <c r="X20" s="1265"/>
      <c r="Y20" s="3409"/>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6"/>
      <c r="Q22" s="1263"/>
      <c r="R22" s="667"/>
      <c r="S22" s="668"/>
      <c r="T22" s="667"/>
      <c r="U22" s="668"/>
      <c r="V22" s="667"/>
      <c r="W22" s="668"/>
      <c r="X22" s="1265"/>
      <c r="Y22" s="3409"/>
      <c r="Z22" s="1264"/>
      <c r="AA22" s="1264">
        <v>1</v>
      </c>
      <c r="AB22" s="1264">
        <v>1</v>
      </c>
      <c r="AC22" s="1264">
        <v>1</v>
      </c>
    </row>
    <row r="23" spans="1:29" ht="15">
      <c r="A23" s="367"/>
      <c r="B23" s="390" t="s">
        <v>1259</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6"/>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6"/>
      <c r="Q24" s="1263"/>
      <c r="R24" s="667"/>
      <c r="S24" s="668"/>
      <c r="T24" s="667"/>
      <c r="U24" s="668"/>
      <c r="V24" s="667"/>
      <c r="W24" s="668"/>
      <c r="X24" s="1265"/>
      <c r="Y24" s="340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6"/>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6"/>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
      <c r="A27" s="370"/>
      <c r="B27" s="390" t="s">
        <v>1780</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16"/>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6"/>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0" t="s">
        <v>1694</v>
      </c>
      <c r="Q32" s="1263" t="str">
        <f t="shared" si="11"/>
        <v>商业类型</v>
      </c>
      <c r="R32" s="667" t="s">
        <v>14</v>
      </c>
      <c r="S32" s="668">
        <f t="shared" si="12"/>
        <v>100</v>
      </c>
      <c r="T32" s="667" t="s">
        <v>14</v>
      </c>
      <c r="U32" s="668">
        <f t="shared" si="13"/>
        <v>100</v>
      </c>
      <c r="V32" s="667" t="s">
        <v>14</v>
      </c>
      <c r="W32" s="668">
        <f t="shared" si="14"/>
        <v>100</v>
      </c>
      <c r="X32" s="1265"/>
      <c r="Y32" s="341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1" t="s">
        <v>1694</v>
      </c>
      <c r="Q38" s="1263" t="str">
        <f t="shared" si="11"/>
        <v>业态</v>
      </c>
      <c r="R38" s="667" t="s">
        <v>14</v>
      </c>
      <c r="S38" s="668">
        <f t="shared" si="12"/>
        <v>100</v>
      </c>
      <c r="T38" s="667" t="s">
        <v>14</v>
      </c>
      <c r="U38" s="668">
        <f t="shared" si="13"/>
        <v>100</v>
      </c>
      <c r="V38" s="667" t="s">
        <v>14</v>
      </c>
      <c r="W38" s="668">
        <f t="shared" si="14"/>
        <v>100</v>
      </c>
      <c r="X38" s="1265"/>
      <c r="Y38" s="341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3"/>
      <c r="M47" s="2486"/>
      <c r="N47" s="2486"/>
      <c r="O47" s="2486"/>
      <c r="P47" s="3407" t="str">
        <f>A47</f>
        <v>成交单价（元/平方米）</v>
      </c>
      <c r="Q47" s="3407"/>
      <c r="R47" s="3402">
        <f>E47</f>
        <v>0</v>
      </c>
      <c r="S47" s="3402"/>
      <c r="T47" s="3402">
        <f>G47</f>
        <v>0</v>
      </c>
      <c r="U47" s="3402"/>
      <c r="V47" s="3402">
        <f>I47</f>
        <v>0</v>
      </c>
      <c r="W47" s="3402"/>
      <c r="X47" s="385"/>
      <c r="Y47" s="673"/>
      <c r="Z47" s="385"/>
      <c r="AA47" s="385"/>
      <c r="AB47" s="385"/>
      <c r="AC47" s="385"/>
    </row>
    <row r="48" spans="1:29" ht="15.75" thickBot="1">
      <c r="A48" s="423" t="s">
        <v>1791</v>
      </c>
      <c r="B48" s="424"/>
      <c r="C48" s="1082" t="e">
        <f>R49</f>
        <v>#DIV/0!</v>
      </c>
      <c r="D48" s="2139" t="s">
        <v>2136</v>
      </c>
      <c r="E48" s="1083" t="e">
        <f>R48</f>
        <v>#DIV/0!</v>
      </c>
      <c r="F48" s="2140"/>
      <c r="G48" s="1082" t="e">
        <f>T48</f>
        <v>#DIV/0!</v>
      </c>
      <c r="H48" s="2140"/>
      <c r="I48" s="1083" t="e">
        <f>V48</f>
        <v>#DIV/0!</v>
      </c>
      <c r="J48" s="2140"/>
      <c r="K48" s="2142">
        <f>F48+H48+J48</f>
        <v>0</v>
      </c>
      <c r="L48" s="2493"/>
      <c r="M48" s="2486"/>
      <c r="N48" s="2486"/>
      <c r="O48" s="2486"/>
      <c r="P48" s="3407" t="str">
        <f>A48</f>
        <v>比较价值（元/平方米）</v>
      </c>
      <c r="Q48" s="34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3"/>
      <c r="M49" s="2486"/>
      <c r="N49" s="2486"/>
      <c r="O49" s="2486"/>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1796</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1677</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1714</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1679</v>
      </c>
      <c r="B61" s="444"/>
      <c r="C61" s="456" t="s">
        <v>1774</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1717</v>
      </c>
      <c r="B63" s="460" t="s">
        <v>1683</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1686</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1688</v>
      </c>
      <c r="B76" s="460" t="s">
        <v>1718</v>
      </c>
      <c r="C76" s="504" t="s">
        <v>1719</v>
      </c>
      <c r="D76" s="504" t="s">
        <v>1720</v>
      </c>
      <c r="E76" s="504" t="s">
        <v>1721</v>
      </c>
      <c r="F76" s="504" t="s">
        <v>1722</v>
      </c>
      <c r="G76" s="504" t="s">
        <v>1723</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1724</v>
      </c>
      <c r="C78" s="509" t="s">
        <v>1719</v>
      </c>
      <c r="D78" s="509" t="s">
        <v>1720</v>
      </c>
      <c r="E78" s="509" t="s">
        <v>1721</v>
      </c>
      <c r="F78" s="509" t="s">
        <v>1722</v>
      </c>
      <c r="G78" s="509" t="s">
        <v>1723</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1725</v>
      </c>
      <c r="C80" s="509" t="s">
        <v>1719</v>
      </c>
      <c r="D80" s="509" t="s">
        <v>1720</v>
      </c>
      <c r="E80" s="509" t="s">
        <v>1721</v>
      </c>
      <c r="F80" s="509" t="s">
        <v>1722</v>
      </c>
      <c r="G80" s="509" t="s">
        <v>1723</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1777</v>
      </c>
      <c r="C82" s="581" t="s">
        <v>1797</v>
      </c>
      <c r="D82" s="581" t="s">
        <v>1798</v>
      </c>
      <c r="E82" s="581" t="s">
        <v>1799</v>
      </c>
      <c r="F82" s="581" t="s">
        <v>1800</v>
      </c>
      <c r="G82" s="581" t="s">
        <v>1801</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1731</v>
      </c>
      <c r="C84" s="509" t="s">
        <v>1719</v>
      </c>
      <c r="D84" s="509" t="s">
        <v>1720</v>
      </c>
      <c r="E84" s="509" t="s">
        <v>1721</v>
      </c>
      <c r="F84" s="509" t="s">
        <v>1722</v>
      </c>
      <c r="G84" s="509" t="s">
        <v>1723</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1802</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1692</v>
      </c>
      <c r="B100" s="460" t="s">
        <v>1803</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1736</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1738</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1740</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1804</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1805</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1806</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1807</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1742</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6" t="s">
        <v>1808</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155425.82999999999</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1767</v>
      </c>
      <c r="B4" s="346"/>
      <c r="C4" s="3390" t="s">
        <v>1768</v>
      </c>
      <c r="D4" s="3391"/>
      <c r="E4" s="3392" t="s">
        <v>1769</v>
      </c>
      <c r="F4" s="3393"/>
      <c r="G4" s="3390" t="s">
        <v>1770</v>
      </c>
      <c r="H4" s="3391"/>
      <c r="I4" s="3390" t="s">
        <v>1771</v>
      </c>
      <c r="J4" s="3391"/>
      <c r="K4" s="537" t="s">
        <v>1772</v>
      </c>
      <c r="L4" s="2485"/>
      <c r="M4" s="2486"/>
      <c r="N4" s="2486"/>
      <c r="O4" s="2486"/>
      <c r="P4" s="3425" t="s">
        <v>1773</v>
      </c>
      <c r="Q4" s="3426"/>
      <c r="R4" s="3420" t="s">
        <v>1769</v>
      </c>
      <c r="S4" s="3421"/>
      <c r="T4" s="3420" t="s">
        <v>1770</v>
      </c>
      <c r="U4" s="3421"/>
      <c r="V4" s="3429" t="s">
        <v>1771</v>
      </c>
      <c r="W4" s="3429"/>
      <c r="X4" s="1807"/>
      <c r="Y4" s="3420" t="s">
        <v>1773</v>
      </c>
      <c r="Z4" s="3421"/>
      <c r="AA4" s="3419" t="s">
        <v>1769</v>
      </c>
      <c r="AB4" s="3419" t="s">
        <v>1770</v>
      </c>
      <c r="AC4" s="3422" t="s">
        <v>1771</v>
      </c>
    </row>
    <row r="5" spans="1:29" ht="15">
      <c r="A5" s="348"/>
      <c r="B5" s="349"/>
      <c r="C5" s="3383" t="s">
        <v>1671</v>
      </c>
      <c r="D5" s="3384"/>
      <c r="E5" s="3417" t="s">
        <v>1672</v>
      </c>
      <c r="F5" s="3418"/>
      <c r="G5" s="3383" t="s">
        <v>1673</v>
      </c>
      <c r="H5" s="3384"/>
      <c r="I5" s="3383" t="s">
        <v>1674</v>
      </c>
      <c r="J5" s="3384"/>
      <c r="K5" s="537"/>
      <c r="L5" s="2485"/>
      <c r="M5" s="2486"/>
      <c r="N5" s="2486"/>
      <c r="O5" s="2486"/>
      <c r="P5" s="3427"/>
      <c r="Q5" s="3397"/>
      <c r="R5" s="3381"/>
      <c r="S5" s="3382"/>
      <c r="T5" s="3381"/>
      <c r="U5" s="3382"/>
      <c r="V5" s="3402"/>
      <c r="W5" s="3402"/>
      <c r="X5" s="1265"/>
      <c r="Y5" s="3381"/>
      <c r="Z5" s="3382"/>
      <c r="AA5" s="3375"/>
      <c r="AB5" s="3375"/>
      <c r="AC5" s="3423"/>
    </row>
    <row r="6" spans="1:29" ht="15.75" thickBot="1">
      <c r="A6" s="350"/>
      <c r="B6" s="351"/>
      <c r="C6" s="3385" t="s">
        <v>1675</v>
      </c>
      <c r="D6" s="3386"/>
      <c r="E6" s="3387" t="s">
        <v>1675</v>
      </c>
      <c r="F6" s="3388"/>
      <c r="G6" s="3385" t="s">
        <v>1675</v>
      </c>
      <c r="H6" s="3386"/>
      <c r="I6" s="3385" t="s">
        <v>1675</v>
      </c>
      <c r="J6" s="3386"/>
      <c r="K6" s="537" t="s">
        <v>1676</v>
      </c>
      <c r="L6" s="2485"/>
      <c r="M6" s="2486"/>
      <c r="N6" s="2486"/>
      <c r="O6" s="2486"/>
      <c r="P6" s="3428"/>
      <c r="Q6" s="3399"/>
      <c r="R6" s="3381"/>
      <c r="S6" s="3382"/>
      <c r="T6" s="3400"/>
      <c r="U6" s="3401"/>
      <c r="V6" s="3402"/>
      <c r="W6" s="3402"/>
      <c r="X6" s="1265"/>
      <c r="Y6" s="3400"/>
      <c r="Z6" s="3401"/>
      <c r="AA6" s="3376"/>
      <c r="AB6" s="3376"/>
      <c r="AC6" s="3424"/>
    </row>
    <row r="7" spans="1:29" s="102" customFormat="1" ht="15.75" thickBot="1">
      <c r="A7" s="352" t="s">
        <v>1677</v>
      </c>
      <c r="B7" s="353"/>
      <c r="C7" s="354">
        <f>'数据-取费表'!B2</f>
        <v>45741</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0" t="s">
        <v>1678</v>
      </c>
      <c r="Q7" s="3403"/>
      <c r="R7" s="664" t="s">
        <v>14</v>
      </c>
      <c r="S7" s="665">
        <f t="shared" ref="S7:S15" si="0">F7</f>
        <v>0</v>
      </c>
      <c r="T7" s="664" t="s">
        <v>14</v>
      </c>
      <c r="U7" s="665">
        <f t="shared" ref="U7:U15" si="1">H7</f>
        <v>0</v>
      </c>
      <c r="V7" s="664" t="s">
        <v>14</v>
      </c>
      <c r="W7" s="665">
        <f t="shared" ref="W7:W15" si="2">J7</f>
        <v>0</v>
      </c>
      <c r="X7" s="666"/>
      <c r="Y7" s="3377" t="s">
        <v>1678</v>
      </c>
      <c r="Z7" s="3378"/>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0" t="s">
        <v>1681</v>
      </c>
      <c r="Q8" s="3378"/>
      <c r="R8" s="664" t="s">
        <v>14</v>
      </c>
      <c r="S8" s="665">
        <f t="shared" si="0"/>
        <v>100</v>
      </c>
      <c r="T8" s="664" t="s">
        <v>14</v>
      </c>
      <c r="U8" s="665">
        <f t="shared" si="1"/>
        <v>100</v>
      </c>
      <c r="V8" s="664" t="s">
        <v>14</v>
      </c>
      <c r="W8" s="665">
        <f t="shared" si="2"/>
        <v>100</v>
      </c>
      <c r="X8" s="666"/>
      <c r="Y8" s="3377" t="s">
        <v>1681</v>
      </c>
      <c r="Z8" s="3378"/>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89" t="s">
        <v>1684</v>
      </c>
      <c r="Q9" s="530" t="str">
        <f t="shared" ref="Q9:Q15" si="6">B9</f>
        <v>用途</v>
      </c>
      <c r="R9" s="664" t="s">
        <v>14</v>
      </c>
      <c r="S9" s="665">
        <f t="shared" si="0"/>
        <v>100</v>
      </c>
      <c r="T9" s="664" t="s">
        <v>14</v>
      </c>
      <c r="U9" s="665">
        <f t="shared" si="1"/>
        <v>100</v>
      </c>
      <c r="V9" s="664" t="s">
        <v>14</v>
      </c>
      <c r="W9" s="665">
        <f t="shared" si="2"/>
        <v>100</v>
      </c>
      <c r="X9" s="666"/>
      <c r="Y9" s="3321" t="s">
        <v>1685</v>
      </c>
      <c r="Z9" s="50" t="str">
        <f t="shared" ref="Z9:Z15" si="7">Q9</f>
        <v>用途</v>
      </c>
      <c r="AA9" s="50">
        <f t="shared" si="3"/>
        <v>1</v>
      </c>
      <c r="AB9" s="50">
        <f t="shared" si="4"/>
        <v>1</v>
      </c>
      <c r="AC9" s="802">
        <f t="shared" si="5"/>
        <v>1</v>
      </c>
    </row>
    <row r="10" spans="1:29" s="366" customFormat="1" ht="27">
      <c r="A10" s="363"/>
      <c r="B10" s="364" t="s">
        <v>1686</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8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8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8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15">
      <c r="A15" s="379" t="s">
        <v>1688</v>
      </c>
      <c r="B15" s="554" t="s">
        <v>1809</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5" t="s">
        <v>1689</v>
      </c>
      <c r="Q15" s="1263" t="str">
        <f t="shared" si="6"/>
        <v>办公集聚程度</v>
      </c>
      <c r="R15" s="667" t="s">
        <v>14</v>
      </c>
      <c r="S15" s="668">
        <f t="shared" si="0"/>
        <v>100</v>
      </c>
      <c r="T15" s="667" t="s">
        <v>14</v>
      </c>
      <c r="U15" s="668">
        <f t="shared" si="1"/>
        <v>100</v>
      </c>
      <c r="V15" s="667" t="s">
        <v>14</v>
      </c>
      <c r="W15" s="668">
        <f t="shared" si="2"/>
        <v>100</v>
      </c>
      <c r="X15" s="1265"/>
      <c r="Y15" s="3408" t="s">
        <v>1689</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416"/>
      <c r="Q16" s="1263"/>
      <c r="R16" s="667"/>
      <c r="S16" s="668"/>
      <c r="T16" s="667"/>
      <c r="U16" s="668"/>
      <c r="V16" s="667"/>
      <c r="W16" s="668"/>
      <c r="X16" s="1265"/>
      <c r="Y16" s="3409"/>
      <c r="Z16" s="1264"/>
      <c r="AA16" s="1264">
        <v>1</v>
      </c>
      <c r="AB16" s="1264">
        <v>1</v>
      </c>
      <c r="AC16" s="1810">
        <v>1</v>
      </c>
    </row>
    <row r="17" spans="1:29" ht="15">
      <c r="A17" s="367"/>
      <c r="B17" s="556" t="s">
        <v>1257</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416"/>
      <c r="Q18" s="1263"/>
      <c r="R18" s="667"/>
      <c r="S18" s="668"/>
      <c r="T18" s="667"/>
      <c r="U18" s="668"/>
      <c r="V18" s="667"/>
      <c r="W18" s="668"/>
      <c r="X18" s="1265"/>
      <c r="Y18" s="3409"/>
      <c r="Z18" s="1264"/>
      <c r="AA18" s="1264">
        <v>1</v>
      </c>
      <c r="AB18" s="1264">
        <v>1</v>
      </c>
      <c r="AC18" s="1810">
        <v>1</v>
      </c>
    </row>
    <row r="19" spans="1:29" ht="15">
      <c r="A19" s="367"/>
      <c r="B19" s="556" t="s">
        <v>1810</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416"/>
      <c r="Q20" s="1263"/>
      <c r="R20" s="667"/>
      <c r="S20" s="668"/>
      <c r="T20" s="667"/>
      <c r="U20" s="668"/>
      <c r="V20" s="667"/>
      <c r="W20" s="668"/>
      <c r="X20" s="1265"/>
      <c r="Y20" s="3409"/>
      <c r="Z20" s="1264"/>
      <c r="AA20" s="1264">
        <v>1</v>
      </c>
      <c r="AB20" s="1264">
        <v>1</v>
      </c>
      <c r="AC20" s="1810">
        <v>1</v>
      </c>
    </row>
    <row r="21" spans="1:29" ht="15">
      <c r="A21" s="367"/>
      <c r="B21" s="557" t="s">
        <v>1811</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416"/>
      <c r="Q22" s="1263"/>
      <c r="R22" s="667"/>
      <c r="S22" s="668"/>
      <c r="T22" s="667"/>
      <c r="U22" s="668"/>
      <c r="V22" s="667"/>
      <c r="W22" s="668"/>
      <c r="X22" s="1265"/>
      <c r="Y22" s="3409"/>
      <c r="Z22" s="1264"/>
      <c r="AA22" s="1264">
        <v>1</v>
      </c>
      <c r="AB22" s="1264">
        <v>1</v>
      </c>
      <c r="AC22" s="1810">
        <v>1</v>
      </c>
    </row>
    <row r="23" spans="1:29" ht="15">
      <c r="A23" s="367"/>
      <c r="B23" s="556" t="s">
        <v>1812</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6"/>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416"/>
      <c r="Q24" s="1263"/>
      <c r="R24" s="667"/>
      <c r="S24" s="668"/>
      <c r="T24" s="667"/>
      <c r="U24" s="668"/>
      <c r="V24" s="667"/>
      <c r="W24" s="668"/>
      <c r="X24" s="1265"/>
      <c r="Y24" s="3409"/>
      <c r="Z24" s="1264"/>
      <c r="AA24" s="1264">
        <v>1</v>
      </c>
      <c r="AB24" s="1264">
        <v>1</v>
      </c>
      <c r="AC24" s="1810">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6"/>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416"/>
      <c r="Q26" s="1263"/>
      <c r="R26" s="667"/>
      <c r="S26" s="668"/>
      <c r="T26" s="667"/>
      <c r="U26" s="668"/>
      <c r="V26" s="667"/>
      <c r="W26" s="668"/>
      <c r="X26" s="1265"/>
      <c r="Y26" s="3409"/>
      <c r="Z26" s="1264"/>
      <c r="AA26" s="1264">
        <v>1</v>
      </c>
      <c r="AB26" s="1264">
        <v>1</v>
      </c>
      <c r="AC26" s="1810">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6"/>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0">
        <f t="shared" si="5"/>
        <v>1</v>
      </c>
    </row>
    <row r="28" spans="1:29" s="102" customFormat="1" ht="15">
      <c r="A28" s="370"/>
      <c r="B28" s="556" t="s">
        <v>1814</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16"/>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16"/>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16"/>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0">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0" t="s">
        <v>1694</v>
      </c>
      <c r="Q33" s="1263" t="str">
        <f t="shared" si="11"/>
        <v>建筑类型</v>
      </c>
      <c r="R33" s="667" t="s">
        <v>14</v>
      </c>
      <c r="S33" s="668">
        <f t="shared" si="12"/>
        <v>100</v>
      </c>
      <c r="T33" s="667" t="s">
        <v>14</v>
      </c>
      <c r="U33" s="668">
        <f t="shared" si="13"/>
        <v>100</v>
      </c>
      <c r="V33" s="667" t="s">
        <v>14</v>
      </c>
      <c r="W33" s="668">
        <f t="shared" si="14"/>
        <v>100</v>
      </c>
      <c r="X33" s="1265"/>
      <c r="Y33" s="3413" t="s">
        <v>1694</v>
      </c>
      <c r="Z33" s="1264" t="str">
        <f t="shared" si="15"/>
        <v>建筑类型</v>
      </c>
      <c r="AA33" s="1264">
        <f t="shared" si="3"/>
        <v>1</v>
      </c>
      <c r="AB33" s="1264">
        <f t="shared" si="4"/>
        <v>1</v>
      </c>
      <c r="AC33" s="1810">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1"/>
      <c r="Q34" s="531" t="str">
        <f t="shared" si="11"/>
        <v>项目建筑规模</v>
      </c>
      <c r="R34" s="669" t="s">
        <v>14</v>
      </c>
      <c r="S34" s="670" t="e">
        <f t="shared" si="12"/>
        <v>#N/A</v>
      </c>
      <c r="T34" s="669" t="s">
        <v>14</v>
      </c>
      <c r="U34" s="670" t="e">
        <f t="shared" si="13"/>
        <v>#N/A</v>
      </c>
      <c r="V34" s="669" t="s">
        <v>14</v>
      </c>
      <c r="W34" s="670" t="e">
        <f t="shared" si="14"/>
        <v>#N/A</v>
      </c>
      <c r="X34" s="671"/>
      <c r="Y34" s="3413"/>
      <c r="Z34" s="672" t="str">
        <f t="shared" si="15"/>
        <v>项目建筑规模</v>
      </c>
      <c r="AA34" s="1264" t="e">
        <f t="shared" si="3"/>
        <v>#N/A</v>
      </c>
      <c r="AB34" s="1264" t="e">
        <f t="shared" si="4"/>
        <v>#N/A</v>
      </c>
      <c r="AC34" s="1810"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0">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0">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1"/>
      <c r="Q37" s="1263" t="str">
        <f t="shared" si="11"/>
        <v>成新度</v>
      </c>
      <c r="R37" s="667" t="s">
        <v>14</v>
      </c>
      <c r="S37" s="668" t="e">
        <f t="shared" si="12"/>
        <v>#N/A</v>
      </c>
      <c r="T37" s="667" t="s">
        <v>14</v>
      </c>
      <c r="U37" s="668" t="e">
        <f t="shared" si="13"/>
        <v>#N/A</v>
      </c>
      <c r="V37" s="667" t="s">
        <v>14</v>
      </c>
      <c r="W37" s="668" t="e">
        <f t="shared" si="14"/>
        <v>#N/A</v>
      </c>
      <c r="X37" s="1265"/>
      <c r="Y37" s="3413"/>
      <c r="Z37" s="1264" t="str">
        <f t="shared" si="15"/>
        <v>成新度</v>
      </c>
      <c r="AA37" s="1264" t="e">
        <f t="shared" si="3"/>
        <v>#N/A</v>
      </c>
      <c r="AB37" s="1264" t="e">
        <f t="shared" si="4"/>
        <v>#N/A</v>
      </c>
      <c r="AC37" s="1810"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1" t="s">
        <v>1694</v>
      </c>
      <c r="Q39" s="1263" t="str">
        <f t="shared" si="11"/>
        <v>物业管理</v>
      </c>
      <c r="R39" s="667" t="s">
        <v>14</v>
      </c>
      <c r="S39" s="668">
        <f t="shared" si="12"/>
        <v>100</v>
      </c>
      <c r="T39" s="667" t="s">
        <v>14</v>
      </c>
      <c r="U39" s="668">
        <f t="shared" si="13"/>
        <v>100</v>
      </c>
      <c r="V39" s="667" t="s">
        <v>14</v>
      </c>
      <c r="W39" s="668">
        <f t="shared" si="14"/>
        <v>100</v>
      </c>
      <c r="X39" s="1265"/>
      <c r="Y39" s="3413" t="s">
        <v>1694</v>
      </c>
      <c r="Z39" s="1264" t="str">
        <f t="shared" si="15"/>
        <v>物业管理</v>
      </c>
      <c r="AA39" s="1264">
        <f t="shared" si="3"/>
        <v>1</v>
      </c>
      <c r="AB39" s="1264">
        <f t="shared" si="4"/>
        <v>1</v>
      </c>
      <c r="AC39" s="1810">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0">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0">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0">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0">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0">
        <f t="shared" si="5"/>
        <v>1</v>
      </c>
    </row>
    <row r="48" spans="1:29" ht="15">
      <c r="A48" s="416" t="s">
        <v>1706</v>
      </c>
      <c r="B48" s="417"/>
      <c r="C48" s="1081" t="s">
        <v>0</v>
      </c>
      <c r="D48" s="418"/>
      <c r="E48" s="419"/>
      <c r="F48" s="420"/>
      <c r="G48" s="421"/>
      <c r="H48" s="422"/>
      <c r="I48" s="419"/>
      <c r="J48" s="422"/>
      <c r="K48" s="674"/>
      <c r="L48" s="2493"/>
      <c r="M48" s="2486"/>
      <c r="N48" s="2486"/>
      <c r="O48" s="2486"/>
      <c r="P48" s="3389" t="str">
        <f>A48</f>
        <v>成交单价（元/平方米）</v>
      </c>
      <c r="Q48" s="3407"/>
      <c r="R48" s="3402">
        <f>E48</f>
        <v>0</v>
      </c>
      <c r="S48" s="3402"/>
      <c r="T48" s="3402">
        <f>G48</f>
        <v>0</v>
      </c>
      <c r="U48" s="3402"/>
      <c r="V48" s="3402">
        <f>I48</f>
        <v>0</v>
      </c>
      <c r="W48" s="3402"/>
      <c r="X48" s="385"/>
      <c r="Y48" s="673"/>
      <c r="Z48" s="385"/>
      <c r="AA48" s="385"/>
      <c r="AB48" s="385"/>
      <c r="AC48" s="555"/>
    </row>
    <row r="49" spans="1:29" ht="15.75" thickBot="1">
      <c r="A49" s="423" t="s">
        <v>1791</v>
      </c>
      <c r="B49" s="424"/>
      <c r="C49" s="1082" t="e">
        <f>R50</f>
        <v>#DIV/0!</v>
      </c>
      <c r="D49" s="2139" t="s">
        <v>2136</v>
      </c>
      <c r="E49" s="1083" t="e">
        <f>R49</f>
        <v>#DIV/0!</v>
      </c>
      <c r="F49" s="2140"/>
      <c r="G49" s="1082" t="e">
        <f>T49</f>
        <v>#DIV/0!</v>
      </c>
      <c r="H49" s="2140"/>
      <c r="I49" s="1083" t="e">
        <f>V49</f>
        <v>#DIV/0!</v>
      </c>
      <c r="J49" s="2140"/>
      <c r="K49" s="2142">
        <f>F49+H49+J49</f>
        <v>0</v>
      </c>
      <c r="L49" s="2493"/>
      <c r="M49" s="2486"/>
      <c r="N49" s="2486"/>
      <c r="O49" s="2486"/>
      <c r="P49" s="3389" t="str">
        <f>A49</f>
        <v>比较价值（元/平方米）</v>
      </c>
      <c r="Q49" s="340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3"/>
      <c r="M50" s="2486"/>
      <c r="N50" s="2486"/>
      <c r="O50" s="2486"/>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1796</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1677</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1714</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1679</v>
      </c>
      <c r="B62" s="444"/>
      <c r="C62" s="456" t="s">
        <v>1774</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1717</v>
      </c>
      <c r="B64" s="460" t="s">
        <v>1683</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1686</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1688</v>
      </c>
      <c r="B77" s="460" t="s">
        <v>1819</v>
      </c>
      <c r="C77" s="504" t="s">
        <v>1719</v>
      </c>
      <c r="D77" s="504" t="s">
        <v>1720</v>
      </c>
      <c r="E77" s="504" t="s">
        <v>1721</v>
      </c>
      <c r="F77" s="504" t="s">
        <v>1722</v>
      </c>
      <c r="G77" s="504" t="s">
        <v>1723</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1724</v>
      </c>
      <c r="C79" s="509" t="s">
        <v>1719</v>
      </c>
      <c r="D79" s="509" t="s">
        <v>1720</v>
      </c>
      <c r="E79" s="509" t="s">
        <v>1721</v>
      </c>
      <c r="F79" s="509" t="s">
        <v>1722</v>
      </c>
      <c r="G79" s="509" t="s">
        <v>1723</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1725</v>
      </c>
      <c r="C81" s="509" t="s">
        <v>1719</v>
      </c>
      <c r="D81" s="509" t="s">
        <v>1720</v>
      </c>
      <c r="E81" s="509" t="s">
        <v>1721</v>
      </c>
      <c r="F81" s="509" t="s">
        <v>1722</v>
      </c>
      <c r="G81" s="509" t="s">
        <v>1723</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1811</v>
      </c>
      <c r="C83" s="581" t="s">
        <v>1797</v>
      </c>
      <c r="D83" s="581" t="s">
        <v>1798</v>
      </c>
      <c r="E83" s="581" t="s">
        <v>1799</v>
      </c>
      <c r="F83" s="581" t="s">
        <v>1800</v>
      </c>
      <c r="G83" s="581" t="s">
        <v>1801</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1820</v>
      </c>
      <c r="C85" s="509" t="s">
        <v>1719</v>
      </c>
      <c r="D85" s="509" t="s">
        <v>1720</v>
      </c>
      <c r="E85" s="509" t="s">
        <v>1721</v>
      </c>
      <c r="F85" s="509" t="s">
        <v>1722</v>
      </c>
      <c r="G85" s="509" t="s">
        <v>1723</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1821</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1692</v>
      </c>
      <c r="B101" s="460" t="s">
        <v>1734</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1736</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1738</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1822</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1739</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1740</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1823</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1806</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1742</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6" t="s">
        <v>1824</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155425.82999999999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390" t="s">
        <v>1768</v>
      </c>
      <c r="D4" s="3391"/>
      <c r="E4" s="3392" t="s">
        <v>1769</v>
      </c>
      <c r="F4" s="3393"/>
      <c r="G4" s="3390" t="s">
        <v>1770</v>
      </c>
      <c r="H4" s="3391"/>
      <c r="I4" s="3390" t="s">
        <v>1771</v>
      </c>
      <c r="J4" s="3391"/>
      <c r="K4" s="537" t="s">
        <v>1772</v>
      </c>
      <c r="L4" s="860"/>
      <c r="M4" s="861"/>
      <c r="N4" s="861"/>
      <c r="O4" s="861"/>
      <c r="P4" s="3394" t="s">
        <v>1773</v>
      </c>
      <c r="Q4" s="3395"/>
      <c r="R4" s="3379" t="s">
        <v>1769</v>
      </c>
      <c r="S4" s="3380"/>
      <c r="T4" s="3379" t="s">
        <v>1770</v>
      </c>
      <c r="U4" s="3380"/>
      <c r="V4" s="3402" t="s">
        <v>1771</v>
      </c>
      <c r="W4" s="3402"/>
      <c r="X4" s="1265"/>
      <c r="Y4" s="3379" t="s">
        <v>1773</v>
      </c>
      <c r="Z4" s="3380"/>
      <c r="AA4" s="3374" t="s">
        <v>1769</v>
      </c>
      <c r="AB4" s="3375" t="s">
        <v>1770</v>
      </c>
      <c r="AC4" s="3374" t="s">
        <v>1771</v>
      </c>
    </row>
    <row r="5" spans="1:29" ht="15">
      <c r="A5" s="348"/>
      <c r="B5" s="349"/>
      <c r="C5" s="3383" t="s">
        <v>1671</v>
      </c>
      <c r="D5" s="3384"/>
      <c r="E5" s="3417" t="s">
        <v>1672</v>
      </c>
      <c r="F5" s="3418"/>
      <c r="G5" s="3383" t="s">
        <v>1673</v>
      </c>
      <c r="H5" s="3384"/>
      <c r="I5" s="3383" t="s">
        <v>1674</v>
      </c>
      <c r="J5" s="3384"/>
      <c r="K5" s="537"/>
      <c r="L5" s="860"/>
      <c r="M5" s="861"/>
      <c r="N5" s="861"/>
      <c r="O5" s="861"/>
      <c r="P5" s="3396"/>
      <c r="Q5" s="3397"/>
      <c r="R5" s="3381"/>
      <c r="S5" s="3382"/>
      <c r="T5" s="3381"/>
      <c r="U5" s="3382"/>
      <c r="V5" s="3402"/>
      <c r="W5" s="3402"/>
      <c r="X5" s="1265"/>
      <c r="Y5" s="3381"/>
      <c r="Z5" s="3382"/>
      <c r="AA5" s="3375"/>
      <c r="AB5" s="3375"/>
      <c r="AC5" s="3375"/>
    </row>
    <row r="6" spans="1:29" ht="15.75" thickBot="1">
      <c r="A6" s="350"/>
      <c r="B6" s="351"/>
      <c r="C6" s="3385" t="s">
        <v>1675</v>
      </c>
      <c r="D6" s="3386"/>
      <c r="E6" s="3387" t="s">
        <v>1675</v>
      </c>
      <c r="F6" s="3388"/>
      <c r="G6" s="3385" t="s">
        <v>1675</v>
      </c>
      <c r="H6" s="3386"/>
      <c r="I6" s="3385" t="s">
        <v>1675</v>
      </c>
      <c r="J6" s="3386"/>
      <c r="K6" s="537" t="s">
        <v>1676</v>
      </c>
      <c r="L6" s="860"/>
      <c r="M6" s="861"/>
      <c r="N6" s="861"/>
      <c r="O6" s="861"/>
      <c r="P6" s="3398"/>
      <c r="Q6" s="3399"/>
      <c r="R6" s="3381"/>
      <c r="S6" s="3382"/>
      <c r="T6" s="3400"/>
      <c r="U6" s="3401"/>
      <c r="V6" s="3402"/>
      <c r="W6" s="3402"/>
      <c r="X6" s="1265"/>
      <c r="Y6" s="3400"/>
      <c r="Z6" s="3401"/>
      <c r="AA6" s="3376"/>
      <c r="AB6" s="3376"/>
      <c r="AC6" s="3376"/>
    </row>
    <row r="7" spans="1:29" s="102" customFormat="1" ht="15.75" thickBot="1">
      <c r="A7" s="352" t="s">
        <v>1677</v>
      </c>
      <c r="B7" s="353"/>
      <c r="C7" s="354">
        <f>'数据-取费表'!B2</f>
        <v>45741</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1678</v>
      </c>
      <c r="Q7" s="3403"/>
      <c r="R7" s="664" t="s">
        <v>14</v>
      </c>
      <c r="S7" s="665">
        <f t="shared" ref="S7:S15" si="0">F7</f>
        <v>0</v>
      </c>
      <c r="T7" s="664" t="s">
        <v>14</v>
      </c>
      <c r="U7" s="665">
        <f t="shared" ref="U7:U15" si="1">H7</f>
        <v>0</v>
      </c>
      <c r="V7" s="664" t="s">
        <v>14</v>
      </c>
      <c r="W7" s="665">
        <f t="shared" ref="W7:W15" si="2">J7</f>
        <v>0</v>
      </c>
      <c r="X7" s="666"/>
      <c r="Y7" s="3377" t="s">
        <v>1678</v>
      </c>
      <c r="Z7" s="3378"/>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1681</v>
      </c>
      <c r="Q8" s="3378"/>
      <c r="R8" s="664" t="s">
        <v>14</v>
      </c>
      <c r="S8" s="665">
        <f t="shared" si="0"/>
        <v>100</v>
      </c>
      <c r="T8" s="664" t="s">
        <v>14</v>
      </c>
      <c r="U8" s="665">
        <f t="shared" si="1"/>
        <v>100</v>
      </c>
      <c r="V8" s="664" t="s">
        <v>14</v>
      </c>
      <c r="W8" s="665">
        <f t="shared" si="2"/>
        <v>100</v>
      </c>
      <c r="X8" s="666"/>
      <c r="Y8" s="3377" t="s">
        <v>1681</v>
      </c>
      <c r="Z8" s="3378"/>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7" t="s">
        <v>1684</v>
      </c>
      <c r="Q9" s="530" t="str">
        <f t="shared" ref="Q9:Q15" si="6">B9</f>
        <v>用途</v>
      </c>
      <c r="R9" s="664" t="s">
        <v>14</v>
      </c>
      <c r="S9" s="665">
        <f t="shared" si="0"/>
        <v>100</v>
      </c>
      <c r="T9" s="664" t="s">
        <v>14</v>
      </c>
      <c r="U9" s="665">
        <f t="shared" si="1"/>
        <v>100</v>
      </c>
      <c r="V9" s="664" t="s">
        <v>14</v>
      </c>
      <c r="W9" s="665">
        <f t="shared" si="2"/>
        <v>100</v>
      </c>
      <c r="X9" s="666"/>
      <c r="Y9" s="3321" t="s">
        <v>1685</v>
      </c>
      <c r="Z9" s="50" t="str">
        <f t="shared" ref="Z9:Z15" si="7">Q9</f>
        <v>用途</v>
      </c>
      <c r="AA9" s="50">
        <f t="shared" si="3"/>
        <v>1</v>
      </c>
      <c r="AB9" s="50">
        <f t="shared" si="4"/>
        <v>1</v>
      </c>
      <c r="AC9" s="50">
        <f t="shared" si="5"/>
        <v>1</v>
      </c>
    </row>
    <row r="10" spans="1:29" s="366" customFormat="1" ht="27">
      <c r="A10" s="363"/>
      <c r="B10" s="364" t="s">
        <v>1686</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7"/>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7"/>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07"/>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07"/>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07"/>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15">
      <c r="A15" s="379" t="s">
        <v>1688</v>
      </c>
      <c r="B15" s="58" t="s">
        <v>1825</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1689</v>
      </c>
      <c r="Q15" s="1263" t="str">
        <f t="shared" si="6"/>
        <v>产业集聚程度</v>
      </c>
      <c r="R15" s="667" t="s">
        <v>14</v>
      </c>
      <c r="S15" s="668">
        <f t="shared" si="0"/>
        <v>100</v>
      </c>
      <c r="T15" s="667" t="s">
        <v>14</v>
      </c>
      <c r="U15" s="668">
        <f t="shared" si="1"/>
        <v>100</v>
      </c>
      <c r="V15" s="667" t="s">
        <v>14</v>
      </c>
      <c r="W15" s="668">
        <f t="shared" si="2"/>
        <v>100</v>
      </c>
      <c r="X15" s="1265"/>
      <c r="Y15" s="340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15">
      <c r="A17" s="367"/>
      <c r="B17" s="390" t="s">
        <v>1257</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1694</v>
      </c>
      <c r="Q29" s="1263" t="str">
        <f t="shared" si="11"/>
        <v>建筑类型</v>
      </c>
      <c r="R29" s="667" t="s">
        <v>14</v>
      </c>
      <c r="S29" s="668">
        <f t="shared" si="12"/>
        <v>100</v>
      </c>
      <c r="T29" s="667" t="s">
        <v>14</v>
      </c>
      <c r="U29" s="668">
        <f t="shared" si="13"/>
        <v>100</v>
      </c>
      <c r="V29" s="667" t="s">
        <v>14</v>
      </c>
      <c r="W29" s="668">
        <f t="shared" si="14"/>
        <v>100</v>
      </c>
      <c r="X29" s="1265"/>
      <c r="Y29" s="341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1694</v>
      </c>
      <c r="Q35" s="1263" t="str">
        <f t="shared" si="11"/>
        <v>市政基础设施</v>
      </c>
      <c r="R35" s="667" t="s">
        <v>14</v>
      </c>
      <c r="S35" s="668">
        <f t="shared" si="12"/>
        <v>100</v>
      </c>
      <c r="T35" s="667" t="s">
        <v>14</v>
      </c>
      <c r="U35" s="668">
        <f t="shared" si="13"/>
        <v>100</v>
      </c>
      <c r="V35" s="667" t="s">
        <v>14</v>
      </c>
      <c r="W35" s="668">
        <f t="shared" si="14"/>
        <v>100</v>
      </c>
      <c r="X35" s="1265"/>
      <c r="Y35" s="341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07" t="str">
        <f>A41</f>
        <v>成交单价（元/平方米）</v>
      </c>
      <c r="Q41" s="3407"/>
      <c r="R41" s="3402">
        <f>E41</f>
        <v>0</v>
      </c>
      <c r="S41" s="3402"/>
      <c r="T41" s="3402">
        <f>G41</f>
        <v>0</v>
      </c>
      <c r="U41" s="3402"/>
      <c r="V41" s="3402">
        <f>I41</f>
        <v>0</v>
      </c>
      <c r="W41" s="3402"/>
      <c r="X41" s="385"/>
      <c r="Y41" s="673"/>
      <c r="Z41" s="385"/>
      <c r="AA41" s="385"/>
      <c r="AB41" s="385"/>
      <c r="AC41" s="385"/>
    </row>
    <row r="42" spans="1:29" ht="15.75" thickBot="1">
      <c r="A42" s="423" t="s">
        <v>1791</v>
      </c>
      <c r="B42" s="424"/>
      <c r="C42" s="1082" t="e">
        <f>R43</f>
        <v>#DIV/0!</v>
      </c>
      <c r="D42" s="2139" t="s">
        <v>2136</v>
      </c>
      <c r="E42" s="1083" t="e">
        <f>R42</f>
        <v>#DIV/0!</v>
      </c>
      <c r="F42" s="2140"/>
      <c r="G42" s="1082" t="e">
        <f>T42</f>
        <v>#DIV/0!</v>
      </c>
      <c r="H42" s="2140"/>
      <c r="I42" s="1083" t="e">
        <f>V42</f>
        <v>#DIV/0!</v>
      </c>
      <c r="J42" s="2140"/>
      <c r="K42" s="2142">
        <f>F42+H42+J42</f>
        <v>0</v>
      </c>
      <c r="L42" s="873"/>
      <c r="M42" s="861"/>
      <c r="N42" s="861"/>
      <c r="O42" s="861"/>
      <c r="P42" s="3407" t="str">
        <f>A42</f>
        <v>比较价值（元/平方米）</v>
      </c>
      <c r="Q42" s="340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7"/>
      <c r="O54" s="2538"/>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806B7-1733-46A3-AB40-B4B7FA94EB34}">
  <sheetPr>
    <tabColor rgb="FFFF0000"/>
  </sheetPr>
  <dimension ref="A1:AJ512"/>
  <sheetViews>
    <sheetView view="pageBreakPreview" zoomScale="85" zoomScaleNormal="100" zoomScaleSheetLayoutView="85" zoomScalePageLayoutView="80" workbookViewId="0">
      <selection activeCell="K28" sqref="K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t="s">
        <v>3430</v>
      </c>
      <c r="D1" s="646"/>
      <c r="E1" s="646"/>
      <c r="F1" s="1621" t="s">
        <v>1261</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1262</v>
      </c>
      <c r="B3" s="3323"/>
      <c r="C3" s="3323"/>
      <c r="D3" s="3323"/>
      <c r="E3" s="3323"/>
      <c r="F3" s="3323"/>
      <c r="G3" s="3323"/>
      <c r="H3" s="3323"/>
      <c r="I3" s="3323"/>
    </row>
    <row r="4" spans="1:12" ht="14.25">
      <c r="A4" s="1624" t="s">
        <v>1263</v>
      </c>
      <c r="B4" s="1625" t="s">
        <v>1264</v>
      </c>
      <c r="C4" s="1626" t="s">
        <v>3438</v>
      </c>
      <c r="D4" s="1626" t="s">
        <v>3438</v>
      </c>
      <c r="E4" s="3327" t="s">
        <v>1265</v>
      </c>
      <c r="F4" s="3328"/>
      <c r="G4" s="3328"/>
      <c r="H4" s="3328"/>
      <c r="I4" s="3329"/>
      <c r="K4" s="138" t="str">
        <f>IF(ISNUMBER(FIND("比较法",'结果表-车位'!C4)),"比较法",IF(ISNUMBER(FIND("成本法",'结果表-车位'!C4)),"成本法",IF(ISNUMBER(FIND("假设开发法",'结果表-车位'!C4)),"假设开发法",IF(ISNUMBER(FIND("收益法",'结果表-车位'!C4)),"收益法","基准地价系数修正法"))))</f>
        <v>比较法</v>
      </c>
      <c r="L4" s="138"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3266" t="s">
        <v>1266</v>
      </c>
      <c r="B5" s="3321">
        <v>25</v>
      </c>
      <c r="C5" s="3324"/>
      <c r="D5" s="3312"/>
      <c r="E5" s="123" t="s">
        <v>1267</v>
      </c>
      <c r="F5" s="1627"/>
      <c r="G5" s="1627"/>
      <c r="H5" s="1627"/>
      <c r="I5" s="1281"/>
    </row>
    <row r="6" spans="1:12" ht="12.75">
      <c r="A6" s="3266"/>
      <c r="B6" s="3321"/>
      <c r="C6" s="3326"/>
      <c r="D6" s="3312"/>
      <c r="E6" s="123" t="s">
        <v>1268</v>
      </c>
      <c r="F6" s="1627"/>
      <c r="G6" s="1627"/>
      <c r="H6" s="1627"/>
      <c r="I6" s="1281"/>
    </row>
    <row r="7" spans="1:12" ht="12.75">
      <c r="A7" s="3266"/>
      <c r="B7" s="3321"/>
      <c r="C7" s="3325"/>
      <c r="D7" s="3312"/>
      <c r="E7" s="123" t="s">
        <v>1269</v>
      </c>
      <c r="F7" s="1627"/>
      <c r="G7" s="1627"/>
      <c r="H7" s="1627"/>
      <c r="I7" s="1281"/>
    </row>
    <row r="8" spans="1:12" ht="12.75">
      <c r="A8" s="3266" t="s">
        <v>1270</v>
      </c>
      <c r="B8" s="3321">
        <v>15</v>
      </c>
      <c r="C8" s="3324"/>
      <c r="D8" s="3312"/>
      <c r="E8" s="123" t="s">
        <v>1271</v>
      </c>
      <c r="F8" s="1627"/>
      <c r="G8" s="1627"/>
      <c r="H8" s="1627"/>
      <c r="I8" s="1281"/>
    </row>
    <row r="9" spans="1:12" ht="12.75">
      <c r="A9" s="3266"/>
      <c r="B9" s="3321"/>
      <c r="C9" s="3325"/>
      <c r="D9" s="3312"/>
      <c r="E9" s="123" t="s">
        <v>1272</v>
      </c>
      <c r="F9" s="1627"/>
      <c r="G9" s="1627"/>
      <c r="H9" s="1627"/>
      <c r="I9" s="1281"/>
    </row>
    <row r="10" spans="1:12" ht="12.75">
      <c r="A10" s="3266" t="s">
        <v>1273</v>
      </c>
      <c r="B10" s="3321">
        <v>15</v>
      </c>
      <c r="C10" s="3324"/>
      <c r="D10" s="3312"/>
      <c r="E10" s="123" t="s">
        <v>1274</v>
      </c>
      <c r="F10" s="1627"/>
      <c r="G10" s="1627"/>
      <c r="H10" s="1627"/>
      <c r="I10" s="1281"/>
    </row>
    <row r="11" spans="1:12" ht="12.75">
      <c r="A11" s="3266"/>
      <c r="B11" s="3321"/>
      <c r="C11" s="3325"/>
      <c r="D11" s="3312"/>
      <c r="E11" s="123" t="s">
        <v>1275</v>
      </c>
      <c r="F11" s="1627"/>
      <c r="G11" s="1627"/>
      <c r="H11" s="1627"/>
      <c r="I11" s="1281"/>
    </row>
    <row r="12" spans="1:12" ht="12.75">
      <c r="A12" s="3266" t="s">
        <v>1276</v>
      </c>
      <c r="B12" s="3321">
        <v>15</v>
      </c>
      <c r="C12" s="3324"/>
      <c r="D12" s="3312"/>
      <c r="E12" s="123" t="s">
        <v>1277</v>
      </c>
      <c r="F12" s="1627"/>
      <c r="G12" s="1627"/>
      <c r="H12" s="1627"/>
      <c r="I12" s="1281"/>
    </row>
    <row r="13" spans="1:12" ht="12.75">
      <c r="A13" s="3266"/>
      <c r="B13" s="3321"/>
      <c r="C13" s="3325"/>
      <c r="D13" s="3312"/>
      <c r="E13" s="123" t="s">
        <v>1278</v>
      </c>
      <c r="F13" s="1627"/>
      <c r="G13" s="1627"/>
      <c r="H13" s="1627"/>
      <c r="I13" s="1281"/>
    </row>
    <row r="14" spans="1:12" ht="12.75">
      <c r="A14" s="3266" t="s">
        <v>1279</v>
      </c>
      <c r="B14" s="3321">
        <v>30</v>
      </c>
      <c r="C14" s="3324">
        <v>5</v>
      </c>
      <c r="D14" s="3312">
        <v>5</v>
      </c>
      <c r="E14" s="123" t="s">
        <v>1280</v>
      </c>
      <c r="F14" s="1627"/>
      <c r="G14" s="1627"/>
      <c r="H14" s="1627"/>
      <c r="I14" s="1281"/>
    </row>
    <row r="15" spans="1:12" ht="12.75">
      <c r="A15" s="3266"/>
      <c r="B15" s="3321"/>
      <c r="C15" s="3326"/>
      <c r="D15" s="3312"/>
      <c r="E15" s="123" t="s">
        <v>1281</v>
      </c>
      <c r="F15" s="1627"/>
      <c r="G15" s="1627"/>
      <c r="H15" s="1627"/>
      <c r="I15" s="1281"/>
    </row>
    <row r="16" spans="1:12" ht="12.75">
      <c r="A16" s="3266"/>
      <c r="B16" s="3321"/>
      <c r="C16" s="3325"/>
      <c r="D16" s="3312"/>
      <c r="E16" s="123" t="s">
        <v>1282</v>
      </c>
      <c r="F16" s="1627"/>
      <c r="G16" s="1627"/>
      <c r="H16" s="1627"/>
      <c r="I16" s="1281"/>
    </row>
    <row r="17" spans="1:36" ht="15">
      <c r="A17" s="1628" t="s">
        <v>1283</v>
      </c>
      <c r="B17" s="54"/>
      <c r="C17" s="124">
        <f>SUM(C5:C16)</f>
        <v>5</v>
      </c>
      <c r="D17" s="124">
        <f>SUM(D5:D16)</f>
        <v>5</v>
      </c>
      <c r="E17" s="121"/>
      <c r="F17" s="121"/>
      <c r="G17" s="121"/>
      <c r="H17" s="121"/>
      <c r="I17" s="121"/>
      <c r="K17" s="294"/>
      <c r="L17" s="294" t="s">
        <v>1284</v>
      </c>
      <c r="M17" s="294" t="s">
        <v>1285</v>
      </c>
    </row>
    <row r="18" spans="1:36" ht="31.9" customHeight="1" thickBot="1">
      <c r="A18" s="1629" t="s">
        <v>1286</v>
      </c>
      <c r="B18" s="1542"/>
      <c r="C18" s="125">
        <f>ROUND(C17/SUM(C17:D17),2)</f>
        <v>0.5</v>
      </c>
      <c r="D18" s="125">
        <f>1-C18</f>
        <v>0.5</v>
      </c>
      <c r="E18" s="3343" t="s">
        <v>2129</v>
      </c>
      <c r="F18" s="3344"/>
      <c r="G18" s="3344"/>
      <c r="H18" s="3344"/>
      <c r="I18" s="3344"/>
      <c r="K18" s="294" t="s">
        <v>1287</v>
      </c>
      <c r="L18" s="294">
        <f>IF(C1="",'数据-汇总表'!E3,SUMIF(项目类型,C1,'数据-汇总表'!E17:E26)+SUMIF(项目类型,C1,'数据-汇总表'!I17:I26))</f>
        <v>25407.46</v>
      </c>
      <c r="M18" s="294">
        <f>IF(C1="",'数据-汇总表'!E3,SUMIF(项目类型,C1,'数据-汇总表'!E17:E26))</f>
        <v>25407.46</v>
      </c>
    </row>
    <row r="19" spans="1:36" ht="15">
      <c r="A19" s="1630" t="s">
        <v>1288</v>
      </c>
      <c r="B19" s="1631" t="s">
        <v>1289</v>
      </c>
      <c r="C19" s="126">
        <f ca="1">SUMIF(INDIRECT("'"&amp;C4&amp;"'"&amp;"!A:A"),'结果表-车位'!B19,INDIRECT("'"&amp;C4&amp;"'"&amp;"!B:B"))</f>
        <v>14440</v>
      </c>
      <c r="D19" s="127">
        <f ca="1">SUMIF(INDIRECT("'"&amp;D4&amp;"'"&amp;"!A:A"),'结果表-车位'!B19,INDIRECT("'"&amp;D4&amp;"'"&amp;"!B:B"))</f>
        <v>14440</v>
      </c>
      <c r="E19" s="1630" t="s">
        <v>1290</v>
      </c>
      <c r="F19" s="1631" t="s">
        <v>1289</v>
      </c>
      <c r="G19" s="128">
        <f ca="1">ROUND(C19*$C$18+D19*$D$18,0)</f>
        <v>14440</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SUMIF(INDIRECT("'"&amp;C4&amp;"'"&amp;"!A:A"),'结果表-车位'!B20,INDIRECT("'"&amp;C4&amp;"'"&amp;"!B:B"))</f>
        <v>5683</v>
      </c>
      <c r="D20" s="130">
        <f ca="1">SUMIF(INDIRECT("'"&amp;D4&amp;"'"&amp;"!A:A"),'结果表-车位'!B20,INDIRECT("'"&amp;D4&amp;"'"&amp;"!B:B"))</f>
        <v>5683</v>
      </c>
      <c r="E20" s="1633"/>
      <c r="F20" s="43" t="s">
        <v>1293</v>
      </c>
      <c r="G20" s="131">
        <f ca="1">ROUND(C20*$C$18+D20*$D$18,0)</f>
        <v>5683</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336" t="s">
        <v>1297</v>
      </c>
      <c r="B24" s="1631" t="s">
        <v>1289</v>
      </c>
      <c r="C24" s="128">
        <f>IF(B30=0,0,D30)</f>
        <v>0</v>
      </c>
      <c r="D24" s="1637"/>
      <c r="E24" s="121"/>
      <c r="F24" s="121"/>
      <c r="G24" s="121"/>
      <c r="H24" s="121"/>
      <c r="I24" s="121"/>
    </row>
    <row r="25" spans="1:36" ht="14.25">
      <c r="A25" s="333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5" t="s">
        <v>2130</v>
      </c>
      <c r="F30" s="121"/>
      <c r="G30" s="121"/>
      <c r="H30" s="121"/>
      <c r="I30" s="121"/>
    </row>
    <row r="31" spans="1:36" s="2131" customFormat="1" ht="26.45" customHeight="1" thickTop="1" thickBot="1">
      <c r="A31" s="2126"/>
      <c r="B31" s="2127"/>
      <c r="C31" s="2127"/>
      <c r="D31" s="2127"/>
      <c r="E31" s="2127"/>
      <c r="F31" s="2127"/>
      <c r="G31" s="2127"/>
      <c r="H31" s="2127"/>
      <c r="I31" s="2128" t="s">
        <v>2131</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1303</v>
      </c>
      <c r="B32" s="1535"/>
      <c r="C32" s="136">
        <f ca="1">IF(D32="总价",G19-C24,G20-C25)</f>
        <v>5683</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13" t="s">
        <v>1310</v>
      </c>
      <c r="B36" s="1652" t="s">
        <v>1311</v>
      </c>
      <c r="C36" s="137"/>
      <c r="D36" s="1653"/>
      <c r="E36" s="1567"/>
      <c r="F36" s="1654"/>
      <c r="G36" s="121"/>
      <c r="H36" s="121"/>
      <c r="I36" s="121"/>
    </row>
    <row r="37" spans="1:15" ht="15.75" thickBot="1">
      <c r="A37" s="3314"/>
      <c r="B37" s="1555" t="s">
        <v>1312</v>
      </c>
      <c r="C37" s="139"/>
      <c r="D37" s="1071"/>
      <c r="E37" s="1071"/>
      <c r="F37" s="1654"/>
      <c r="G37" s="121"/>
      <c r="H37" s="121"/>
      <c r="I37" s="121"/>
    </row>
    <row r="38" spans="1:15" ht="15.75" thickBot="1">
      <c r="A38" s="3315"/>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33" t="s">
        <v>1324</v>
      </c>
      <c r="B45" s="3334"/>
      <c r="C45" s="3335"/>
      <c r="D45" s="147" t="e">
        <f ca="1">ROUND(H101*F45,0)</f>
        <v>#REF!</v>
      </c>
      <c r="E45" s="148" t="s">
        <v>1325</v>
      </c>
      <c r="F45" s="149">
        <v>1</v>
      </c>
      <c r="G45" s="150" t="s">
        <v>1326</v>
      </c>
      <c r="H45" s="121"/>
      <c r="I45" s="121"/>
      <c r="J45" s="3253" t="s">
        <v>1327</v>
      </c>
      <c r="K45" s="3253"/>
      <c r="L45" s="3253"/>
      <c r="M45" s="3253"/>
      <c r="N45" s="3253"/>
      <c r="O45" s="3253"/>
    </row>
    <row r="46" spans="1:15" ht="14.25" customHeight="1">
      <c r="A46" s="3330" t="s">
        <v>1328</v>
      </c>
      <c r="B46" s="3331"/>
      <c r="C46" s="3331"/>
      <c r="D46" s="3331"/>
      <c r="E46" s="3331"/>
      <c r="F46" s="3331"/>
      <c r="G46" s="3332"/>
      <c r="H46" s="1668"/>
      <c r="I46" s="151"/>
      <c r="J46" s="2308">
        <v>1</v>
      </c>
      <c r="K46" s="3254" t="s">
        <v>1329</v>
      </c>
      <c r="L46" s="3254"/>
      <c r="M46" s="3255"/>
      <c r="N46" s="3255"/>
      <c r="O46" s="3255"/>
    </row>
    <row r="47" spans="1:15" ht="12" customHeight="1">
      <c r="A47" s="152" t="s">
        <v>1330</v>
      </c>
      <c r="B47" s="153"/>
      <c r="C47" s="154"/>
      <c r="D47" s="1024" t="s">
        <v>1331</v>
      </c>
      <c r="E47" s="294" t="s">
        <v>1332</v>
      </c>
      <c r="F47" s="155" t="s">
        <v>1333</v>
      </c>
      <c r="G47" s="2331" t="s">
        <v>1334</v>
      </c>
      <c r="H47" s="2332"/>
      <c r="I47" s="151"/>
      <c r="J47" s="2308">
        <v>2</v>
      </c>
      <c r="K47" s="3254" t="s">
        <v>1335</v>
      </c>
      <c r="L47" s="3254"/>
      <c r="M47" s="3256">
        <f>'数据-取费表'!B2</f>
        <v>45741</v>
      </c>
      <c r="N47" s="3256"/>
      <c r="O47" s="3256"/>
    </row>
    <row r="48" spans="1:15" ht="25.5">
      <c r="A48" s="3316" t="s">
        <v>1336</v>
      </c>
      <c r="B48" s="3317"/>
      <c r="C48" s="331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1337</v>
      </c>
      <c r="H48" s="2335"/>
      <c r="I48" s="1668"/>
      <c r="J48" s="2308">
        <v>3</v>
      </c>
      <c r="K48" s="3254" t="s">
        <v>1338</v>
      </c>
      <c r="L48" s="3254"/>
      <c r="M48" s="3257" t="e">
        <f ca="1">H101</f>
        <v>#REF!</v>
      </c>
      <c r="N48" s="3257"/>
      <c r="O48" s="3257"/>
    </row>
    <row r="49" spans="1:35" ht="25.5" customHeight="1">
      <c r="A49" s="2150" t="s">
        <v>1339</v>
      </c>
      <c r="B49" s="3302" t="s">
        <v>1340</v>
      </c>
      <c r="C49" s="3302"/>
      <c r="D49" s="1478">
        <v>0</v>
      </c>
      <c r="E49" s="316" t="s">
        <v>1341</v>
      </c>
      <c r="F49" s="2231" t="s">
        <v>28</v>
      </c>
      <c r="G49" s="3285"/>
      <c r="H49" s="2132" t="s">
        <v>2132</v>
      </c>
      <c r="I49" s="2133"/>
      <c r="J49" s="2308">
        <v>4</v>
      </c>
      <c r="K49" s="3254" t="str">
        <f>IF(项目基本情况!E8="房地产抵押价值","房地产抵押价值","抵押担保权已注销时的房地产抵押价值")</f>
        <v>房地产抵押价值</v>
      </c>
      <c r="L49" s="3254"/>
      <c r="M49" s="3257" t="e">
        <f ca="1">IF(项目基本情况!E8="房地产抵押价值",H107,H109)</f>
        <v>#REF!</v>
      </c>
      <c r="N49" s="3257"/>
      <c r="O49" s="3257"/>
    </row>
    <row r="50" spans="1:35" ht="25.5" customHeight="1">
      <c r="A50" s="2336"/>
      <c r="B50" s="3302" t="s">
        <v>1342</v>
      </c>
      <c r="C50" s="3302"/>
      <c r="D50" s="2187"/>
      <c r="E50" s="323"/>
      <c r="F50" s="2231"/>
      <c r="G50" s="3286"/>
      <c r="H50" s="2134" t="s">
        <v>2133</v>
      </c>
      <c r="I50" s="2133"/>
      <c r="J50" s="3253" t="s">
        <v>1343</v>
      </c>
      <c r="K50" s="3253"/>
      <c r="L50" s="3253"/>
      <c r="M50" s="3253"/>
      <c r="N50" s="3253"/>
      <c r="O50" s="3253"/>
    </row>
    <row r="51" spans="1:35" ht="20.45" customHeight="1">
      <c r="A51" s="2337"/>
      <c r="B51" s="3302" t="s">
        <v>1344</v>
      </c>
      <c r="C51" s="3302"/>
      <c r="D51" s="1024"/>
      <c r="E51" s="319"/>
      <c r="F51" s="2231"/>
      <c r="G51" s="3287"/>
      <c r="H51" s="2134" t="s">
        <v>2134</v>
      </c>
      <c r="I51" s="2133"/>
      <c r="J51" s="2309" t="s">
        <v>1345</v>
      </c>
      <c r="K51" s="3254" t="s">
        <v>1346</v>
      </c>
      <c r="L51" s="3254"/>
      <c r="M51" s="2309" t="s">
        <v>1347</v>
      </c>
      <c r="N51" s="2309" t="s">
        <v>1348</v>
      </c>
      <c r="O51" s="2309" t="s">
        <v>1349</v>
      </c>
    </row>
    <row r="52" spans="1:35" ht="24" customHeight="1">
      <c r="A52" s="2151" t="s">
        <v>1350</v>
      </c>
      <c r="B52" s="3302" t="s">
        <v>1351</v>
      </c>
      <c r="C52" s="3302"/>
      <c r="D52" s="1024" t="e">
        <f ca="1">ROUND(D45*'数据-取费表'!B41/(1+'数据-取费表'!C42),0)</f>
        <v>#REF!</v>
      </c>
      <c r="E52" s="1256" t="s">
        <v>1352</v>
      </c>
      <c r="F52" s="2338">
        <f>'数据-取费表'!B41</f>
        <v>5.6000000000000001E-2</v>
      </c>
      <c r="G52" s="2339"/>
      <c r="H52" s="2329"/>
      <c r="I52" s="1669"/>
      <c r="J52" s="2308">
        <v>1</v>
      </c>
      <c r="K52" s="3279" t="s">
        <v>1353</v>
      </c>
      <c r="L52" s="3279"/>
      <c r="M52" s="2310" t="b">
        <f>D48</f>
        <v>0</v>
      </c>
      <c r="N52" s="2308" t="str">
        <f>E48</f>
        <v>销售额×税（费）率</v>
      </c>
      <c r="O52" s="2311">
        <f>F48</f>
        <v>5.6000000000000001E-2</v>
      </c>
    </row>
    <row r="53" spans="1:35" ht="12" customHeight="1">
      <c r="A53" s="2151" t="s">
        <v>1354</v>
      </c>
      <c r="B53" s="3303" t="s">
        <v>2280</v>
      </c>
      <c r="C53" s="3304"/>
      <c r="D53" s="1024" t="e">
        <f ca="1">ROUND(D45*'数据-取费表'!B41/(1+'数据-取费表'!C42),0)</f>
        <v>#REF!</v>
      </c>
      <c r="E53" s="1256" t="s">
        <v>1352</v>
      </c>
      <c r="F53" s="2338">
        <f>'数据-取费表'!B41</f>
        <v>5.6000000000000001E-2</v>
      </c>
      <c r="G53" s="2339"/>
      <c r="H53" s="2329"/>
      <c r="I53" s="1669"/>
      <c r="J53" s="2308">
        <v>2</v>
      </c>
      <c r="K53" s="3279" t="s">
        <v>1355</v>
      </c>
      <c r="L53" s="3279"/>
      <c r="M53" s="2310" t="e">
        <f t="shared" ref="M53:O54" ca="1" si="0">D55</f>
        <v>#REF!</v>
      </c>
      <c r="N53" s="2308" t="str">
        <f t="shared" si="0"/>
        <v>销售额×税（费）率</v>
      </c>
      <c r="O53" s="2311" t="str">
        <f t="shared" si="0"/>
        <v>免征</v>
      </c>
    </row>
    <row r="54" spans="1:35" ht="12" customHeight="1">
      <c r="A54" s="2151" t="s">
        <v>1356</v>
      </c>
      <c r="B54" s="3303" t="s">
        <v>2281</v>
      </c>
      <c r="C54" s="3304"/>
      <c r="D54" s="1024" t="e">
        <f ca="1">C68</f>
        <v>#REF!</v>
      </c>
      <c r="E54" s="319" t="s">
        <v>1357</v>
      </c>
      <c r="F54" s="2338">
        <f>'数据-取费表'!B41</f>
        <v>5.6000000000000001E-2</v>
      </c>
      <c r="G54" s="2339"/>
      <c r="H54" s="2340"/>
      <c r="I54" s="1669"/>
      <c r="J54" s="2308">
        <v>3</v>
      </c>
      <c r="K54" s="3279" t="s">
        <v>1358</v>
      </c>
      <c r="L54" s="3279"/>
      <c r="M54" s="2310" t="e">
        <f t="shared" ca="1" si="0"/>
        <v>#REF!</v>
      </c>
      <c r="N54" s="2308" t="str">
        <f t="shared" si="0"/>
        <v>增值额×税（费）率</v>
      </c>
      <c r="O54" s="2312" t="str">
        <f t="shared" si="0"/>
        <v>免征</v>
      </c>
    </row>
    <row r="55" spans="1:35" ht="24" customHeight="1">
      <c r="A55" s="3339" t="s">
        <v>1359</v>
      </c>
      <c r="B55" s="3317"/>
      <c r="C55" s="3317"/>
      <c r="D55" s="12" t="e">
        <f ca="1">IF(H55="个人住宅",0,ROUND(D45*I55,0))</f>
        <v>#REF!</v>
      </c>
      <c r="E55" s="1256" t="s">
        <v>1360</v>
      </c>
      <c r="F55" s="2338" t="str">
        <f>IF(H55="正常",I55,"免征")</f>
        <v>免征</v>
      </c>
      <c r="G55" s="2339"/>
      <c r="H55" s="2335"/>
      <c r="I55" s="157">
        <f>'数据-取费表'!B49</f>
        <v>5.0000000000000001E-4</v>
      </c>
      <c r="J55" s="2308">
        <f>IF(H59="非个人房产","",4)</f>
        <v>4</v>
      </c>
      <c r="K55" s="3279" t="str">
        <f>IF(H59="非个人房产","——","个人所得税")</f>
        <v>个人所得税</v>
      </c>
      <c r="L55" s="3279"/>
      <c r="M55" s="2313" t="e">
        <f ca="1">D59</f>
        <v>#REF!</v>
      </c>
      <c r="N55" s="1881" t="str">
        <f>E59</f>
        <v>差额计税</v>
      </c>
      <c r="O55" s="2314">
        <f>F59</f>
        <v>0.01</v>
      </c>
    </row>
    <row r="56" spans="1:35" ht="24.75">
      <c r="A56" s="3339" t="s">
        <v>1361</v>
      </c>
      <c r="B56" s="3317"/>
      <c r="C56" s="3317"/>
      <c r="D56" s="12" t="e">
        <f ca="1">IF(H56="个人住宅",D57,D58)</f>
        <v>#REF!</v>
      </c>
      <c r="E56" s="1256" t="s">
        <v>1362</v>
      </c>
      <c r="F56" s="2338" t="str">
        <f>IF(H56="正常",F58,"免征")</f>
        <v>免征</v>
      </c>
      <c r="G56" s="2341" t="s">
        <v>1363</v>
      </c>
      <c r="H56" s="2342"/>
      <c r="I56" s="1670"/>
      <c r="J56" s="2308" t="str">
        <f>IF(项目基本情况!K6="上海银行",IF(J55="",4,J55+1),"")</f>
        <v/>
      </c>
      <c r="K56" s="3260" t="str">
        <f>IF(项目基本情况!K6="上海银行","其他处置费用","")</f>
        <v/>
      </c>
      <c r="L56" s="3261"/>
      <c r="M56" s="2310" t="str">
        <f>IF(项目基本情况!K6="上海银行",M69,"")</f>
        <v/>
      </c>
      <c r="N56" s="3260" t="str">
        <f>IF(项目基本情况!K6="上海银行","包含处置中涉及的律师、诉讼、拍卖、评估等费用","")</f>
        <v/>
      </c>
      <c r="O56" s="3263"/>
    </row>
    <row r="57" spans="1:35" ht="12.75">
      <c r="A57" s="2151" t="s">
        <v>1339</v>
      </c>
      <c r="B57" s="3303" t="s">
        <v>1364</v>
      </c>
      <c r="C57" s="3304"/>
      <c r="D57" s="1478">
        <v>0</v>
      </c>
      <c r="E57" s="316" t="s">
        <v>1341</v>
      </c>
      <c r="F57" s="294"/>
      <c r="G57" s="2339"/>
      <c r="H57" s="2343"/>
      <c r="I57" s="1670"/>
      <c r="J57" s="3279">
        <f>IF(AND(J55="",J56=""),4,IF(项目基本情况!K6="上海银行",'结果表-车位'!J56+1,'结果表-车位'!J55+1))</f>
        <v>5</v>
      </c>
      <c r="K57" s="3279" t="s">
        <v>1365</v>
      </c>
      <c r="L57" s="2315" t="s">
        <v>1366</v>
      </c>
      <c r="M57" s="2316"/>
      <c r="N57" s="2317">
        <f ca="1">SUMIF(M52:M56,"&lt;9e307")</f>
        <v>0</v>
      </c>
      <c r="O57" s="2318"/>
      <c r="P57" s="2463" t="e">
        <f ca="1">N57/M49</f>
        <v>#REF!</v>
      </c>
    </row>
    <row r="58" spans="1:35" ht="24.75">
      <c r="A58" s="2151" t="s">
        <v>1350</v>
      </c>
      <c r="B58" s="3303" t="s">
        <v>1367</v>
      </c>
      <c r="C58" s="3302"/>
      <c r="D58" s="12" t="e">
        <f ca="1">IF(H58="转让取得",C81,C97)</f>
        <v>#REF!</v>
      </c>
      <c r="E58" s="1256" t="s">
        <v>1362</v>
      </c>
      <c r="F58" s="294" t="s">
        <v>28</v>
      </c>
      <c r="G58" s="2339"/>
      <c r="H58" s="2342"/>
      <c r="I58" s="1670"/>
      <c r="J58" s="3279"/>
      <c r="K58" s="3279"/>
      <c r="L58" s="2315" t="s">
        <v>1368</v>
      </c>
      <c r="M58" s="2319"/>
      <c r="N58" s="2320" t="str">
        <f ca="1">NUMBERSTRING(INT(N57*10000),2)&amp;"元整"</f>
        <v>零元整</v>
      </c>
      <c r="O58" s="2321"/>
    </row>
    <row r="59" spans="1:35" ht="24.75" thickBot="1">
      <c r="A59" s="3283" t="s">
        <v>1369</v>
      </c>
      <c r="B59" s="3284"/>
      <c r="C59" s="3284"/>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1363</v>
      </c>
      <c r="H59" s="2136"/>
      <c r="I59" s="2135" t="s">
        <v>2135</v>
      </c>
      <c r="J59" s="3281">
        <f>J57+1</f>
        <v>6</v>
      </c>
      <c r="K59" s="3279" t="s">
        <v>1370</v>
      </c>
      <c r="L59" s="2308" t="s">
        <v>1366</v>
      </c>
      <c r="M59" s="2322"/>
      <c r="N59" s="2323" t="e">
        <f ca="1">M49-N57</f>
        <v>#REF!</v>
      </c>
      <c r="O59" s="2324"/>
    </row>
    <row r="60" spans="1:35" ht="12" customHeight="1">
      <c r="A60" s="1671"/>
      <c r="B60" s="646"/>
      <c r="C60" s="646"/>
      <c r="D60" s="646"/>
      <c r="E60" s="1466"/>
      <c r="F60" s="1670"/>
      <c r="G60" s="1670"/>
      <c r="H60" s="151"/>
      <c r="I60" s="121"/>
      <c r="J60" s="3282"/>
      <c r="K60" s="3279"/>
      <c r="L60" s="2315" t="s">
        <v>1368</v>
      </c>
      <c r="M60" s="2319"/>
      <c r="N60" s="2320" t="e">
        <f ca="1">NUMBERSTRING(INT(N59*10000),2)&amp;"元整"</f>
        <v>#REF!</v>
      </c>
      <c r="O60" s="2321"/>
    </row>
    <row r="61" spans="1:35" ht="13.5" thickBot="1">
      <c r="A61" s="3338" t="s">
        <v>1371</v>
      </c>
      <c r="B61" s="3338"/>
      <c r="C61" s="3338"/>
      <c r="D61" s="3338"/>
      <c r="E61" s="3338"/>
      <c r="F61" s="1670"/>
      <c r="G61" s="1670"/>
      <c r="H61" s="151"/>
      <c r="I61" s="121"/>
      <c r="J61" s="2308">
        <f>J59+1</f>
        <v>7</v>
      </c>
      <c r="K61" s="3279" t="s">
        <v>1372</v>
      </c>
      <c r="L61" s="3279"/>
      <c r="M61" s="2325"/>
      <c r="N61" s="2326" t="e">
        <f ca="1">ROUND(N59*10000/'数据-汇总表'!E3,0)</f>
        <v>#REF!</v>
      </c>
      <c r="O61" s="2327"/>
    </row>
    <row r="62" spans="1:35" ht="12.75">
      <c r="A62" s="3298" t="s">
        <v>1373</v>
      </c>
      <c r="B62" s="3299"/>
      <c r="C62" s="1863"/>
      <c r="D62" s="1863" t="s">
        <v>1374</v>
      </c>
      <c r="E62" s="158" t="s">
        <v>1375</v>
      </c>
      <c r="F62" s="1670"/>
      <c r="G62" s="1670"/>
      <c r="H62" s="151"/>
      <c r="I62" s="121"/>
    </row>
    <row r="63" spans="1:35" ht="12.75">
      <c r="A63" s="165" t="s">
        <v>330</v>
      </c>
      <c r="B63" s="159" t="s">
        <v>1376</v>
      </c>
      <c r="C63" s="2348" t="e">
        <f ca="1">ROUND((C64+C65)/(1+'数据-取费表'!C42),0)</f>
        <v>#REF!</v>
      </c>
      <c r="D63" s="159"/>
      <c r="E63" s="160"/>
      <c r="F63" s="1670"/>
      <c r="G63" s="1670"/>
      <c r="H63" s="151"/>
      <c r="I63" s="121"/>
      <c r="J63" s="3262" t="s">
        <v>1377</v>
      </c>
      <c r="K63" s="1245" t="s">
        <v>1378</v>
      </c>
      <c r="L63" s="1245" t="e">
        <f ca="1">IF(M49&gt;10000,M49*0.5%,IF(AND(M49&gt;1000,M49&lt;=10000),M49*1%,IF(AND(M49&gt;100,M49&lt;=1000),M49*3%,IF(AND(M49&gt;10,M49&lt;=100),M49*5%,M49*8%))))</f>
        <v>#REF!</v>
      </c>
      <c r="M63" s="294" t="e">
        <f ca="1">ROUND(L63,1)</f>
        <v>#REF!</v>
      </c>
      <c r="N63" s="2328"/>
      <c r="Z63" s="1623"/>
      <c r="AI63" s="1561"/>
    </row>
    <row r="64" spans="1:35" ht="14.25" customHeight="1">
      <c r="A64" s="161" t="s">
        <v>325</v>
      </c>
      <c r="B64" s="162" t="s">
        <v>1379</v>
      </c>
      <c r="C64" s="2349" t="e">
        <f ca="1">D45</f>
        <v>#REF!</v>
      </c>
      <c r="D64" s="162" t="s">
        <v>26</v>
      </c>
      <c r="E64" s="164"/>
      <c r="F64" s="1670"/>
      <c r="G64" s="1670"/>
      <c r="H64" s="151"/>
      <c r="I64" s="121"/>
      <c r="J64" s="3262"/>
      <c r="K64" s="1245" t="s">
        <v>1380</v>
      </c>
      <c r="L64" s="1245"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29" t="s">
        <v>1381</v>
      </c>
      <c r="Z64" s="1623"/>
      <c r="AI64" s="1561"/>
    </row>
    <row r="65" spans="1:35" ht="14.25" customHeight="1">
      <c r="A65" s="161" t="s">
        <v>326</v>
      </c>
      <c r="B65" s="162" t="s">
        <v>1382</v>
      </c>
      <c r="C65" s="2350"/>
      <c r="D65" s="162"/>
      <c r="E65" s="164"/>
      <c r="F65" s="1670"/>
      <c r="G65" s="1670"/>
      <c r="H65" s="151"/>
      <c r="I65" s="121"/>
      <c r="J65" s="3262"/>
      <c r="K65" s="1245" t="s">
        <v>1383</v>
      </c>
      <c r="L65" s="1245" t="e">
        <f ca="1">IF(M49&gt;1000,M49*0.1%,IF(AND(M49&gt;500,M49&lt;=1000),M49*0.5%,IF(AND(M49&gt;50,M49&lt;=500),M49*1%,IF(AND(M49&gt;1,M49&lt;=50),M49*1.5%))))</f>
        <v>#REF!</v>
      </c>
      <c r="M65" s="294" t="e">
        <f t="shared" ca="1" si="1"/>
        <v>#REF!</v>
      </c>
      <c r="N65" s="2329" t="s">
        <v>1381</v>
      </c>
      <c r="Z65" s="1623"/>
      <c r="AI65" s="1561"/>
    </row>
    <row r="66" spans="1:35" ht="14.25" customHeight="1">
      <c r="A66" s="165" t="s">
        <v>327</v>
      </c>
      <c r="B66" s="166" t="s">
        <v>1384</v>
      </c>
      <c r="C66" s="2351"/>
      <c r="D66" s="166" t="s">
        <v>26</v>
      </c>
      <c r="E66" s="1251" t="s">
        <v>669</v>
      </c>
      <c r="F66" s="1670"/>
      <c r="G66" s="1670"/>
      <c r="H66" s="151"/>
      <c r="I66" s="121"/>
      <c r="J66" s="3262"/>
      <c r="K66" s="1245" t="s">
        <v>1385</v>
      </c>
      <c r="L66" s="1245" t="e">
        <f ca="1">M49*0.5%</f>
        <v>#REF!</v>
      </c>
      <c r="M66" s="294" t="e">
        <f ca="1">IF(L66&gt;0.5,0.5,ROUND(L66,0))</f>
        <v>#REF!</v>
      </c>
      <c r="N66" s="2329" t="s">
        <v>1386</v>
      </c>
      <c r="Z66" s="1623"/>
      <c r="AI66" s="1561"/>
    </row>
    <row r="67" spans="1:35" ht="14.25" customHeight="1">
      <c r="A67" s="165" t="s">
        <v>328</v>
      </c>
      <c r="B67" s="166" t="s">
        <v>1387</v>
      </c>
      <c r="C67" s="2352" t="e">
        <f ca="1">C63-C66</f>
        <v>#REF!</v>
      </c>
      <c r="D67" s="162" t="s">
        <v>26</v>
      </c>
      <c r="E67" s="164"/>
      <c r="F67" s="1670"/>
      <c r="G67" s="1670"/>
      <c r="H67" s="151"/>
      <c r="I67" s="121"/>
      <c r="J67" s="3262"/>
      <c r="K67" s="1245" t="s">
        <v>1388</v>
      </c>
      <c r="L67" s="1245"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28"/>
      <c r="Z67" s="1623"/>
      <c r="AI67" s="1561"/>
    </row>
    <row r="68" spans="1:35" ht="14.25" customHeight="1" thickBot="1">
      <c r="A68" s="168" t="s">
        <v>329</v>
      </c>
      <c r="B68" s="169" t="s">
        <v>1389</v>
      </c>
      <c r="C68" s="2353" t="e">
        <f ca="1">IF(C67&lt;=0,0,ROUND(C67*D68,0))</f>
        <v>#REF!</v>
      </c>
      <c r="D68" s="2354">
        <f>'数据-取费表'!B41</f>
        <v>5.6000000000000001E-2</v>
      </c>
      <c r="E68" s="170"/>
      <c r="F68" s="1670"/>
      <c r="G68" s="1670"/>
      <c r="H68" s="151"/>
      <c r="I68" s="121"/>
      <c r="J68" s="3262"/>
      <c r="K68" s="1245" t="s">
        <v>1390</v>
      </c>
      <c r="L68" s="1245" t="e">
        <f ca="1">IF(M49&gt;10000,M49*0.5%,IF(AND(M49&gt;5000,M49&lt;=10000),M49*1%,IF(AND(M49&gt;1000,M49&lt;=5000),M49*2%,IF(AND(M49&gt;200,M49&lt;=1000),M49*3%,M49*5%))))</f>
        <v>#REF!</v>
      </c>
      <c r="M68" s="294" t="e">
        <f ca="1">ROUND(L68,1)</f>
        <v>#REF!</v>
      </c>
      <c r="N68" s="2328"/>
      <c r="Z68" s="1623"/>
      <c r="AI68" s="1561"/>
    </row>
    <row r="69" spans="1:35" ht="16.5" customHeight="1">
      <c r="A69" s="1672"/>
      <c r="B69" s="1673"/>
      <c r="C69" s="1674"/>
      <c r="D69" s="1675"/>
      <c r="E69" s="1676"/>
      <c r="F69" s="1466"/>
      <c r="G69" s="1466"/>
      <c r="H69" s="1467"/>
      <c r="I69" s="646"/>
      <c r="J69" s="3262"/>
      <c r="K69" s="1245" t="s">
        <v>1391</v>
      </c>
      <c r="L69" s="1245"/>
      <c r="M69" s="294" t="e">
        <f ca="1">ROUND(SUM(M63:M68),0)</f>
        <v>#REF!</v>
      </c>
      <c r="N69" s="2330" t="e">
        <f ca="1">M69/M49</f>
        <v>#REF!</v>
      </c>
      <c r="Z69" s="1623"/>
      <c r="AI69" s="1561"/>
    </row>
    <row r="70" spans="1:35" s="642" customFormat="1" ht="15" thickBot="1">
      <c r="A70" s="3306" t="s">
        <v>1392</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1373</v>
      </c>
      <c r="B71" s="3299"/>
      <c r="C71" s="1863"/>
      <c r="D71" s="1863"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5"/>
      <c r="D75" s="162" t="s">
        <v>26</v>
      </c>
      <c r="E75" s="176" t="s">
        <v>1397</v>
      </c>
      <c r="F75" s="2356"/>
      <c r="G75" s="176" t="s">
        <v>1398</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8">
        <v>0.05</v>
      </c>
      <c r="E76" s="3303" t="s">
        <v>1400</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59">
        <f>'数据-取费表'!B48+'数据-取费表'!B49</f>
        <v>3.0499999999999999E-2</v>
      </c>
      <c r="E77" s="12" t="s">
        <v>1402</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0" t="e">
        <f ca="1">ROUND(D45*D78/(1+'数据-取费表'!C42),0)</f>
        <v>#REF!</v>
      </c>
      <c r="D78" s="2361">
        <f>'数据-取费表'!B43</f>
        <v>6.000000000000001E-3</v>
      </c>
      <c r="E78" s="3295" t="s">
        <v>1404</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1408</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1373</v>
      </c>
      <c r="B84" s="3299"/>
      <c r="C84" s="1863"/>
      <c r="D84" s="1863"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6"/>
      <c r="D88" s="2361"/>
      <c r="E88" s="185" t="s">
        <v>1411</v>
      </c>
      <c r="F88" s="2146"/>
      <c r="G88" s="186" t="s">
        <v>1412</v>
      </c>
      <c r="H88" s="1684"/>
      <c r="I88" s="1681"/>
      <c r="J88" s="2306"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0">
        <f>ROUND(C88*D89,0)</f>
        <v>0</v>
      </c>
      <c r="D89" s="2361">
        <f>'数据-取费表'!B48+'数据-取费表'!B49</f>
        <v>3.0499999999999999E-2</v>
      </c>
      <c r="E89" s="185" t="s">
        <v>1413</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6"/>
      <c r="D90" s="2361"/>
      <c r="E90" s="185" t="str">
        <f>IF(H88="-","土地取得成本中已包含该笔费用"," ")</f>
        <v xml:space="preserve"> </v>
      </c>
      <c r="F90" s="2146"/>
      <c r="G90" s="3264" t="s">
        <v>2127</v>
      </c>
      <c r="H90" s="3265"/>
      <c r="I90" s="1681"/>
      <c r="J90" s="2306"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0">
        <f>IF(H91="——",成本法!C33,I91)</f>
        <v>0</v>
      </c>
      <c r="D91" s="2361"/>
      <c r="E91" s="3295" t="s">
        <v>1417</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0">
        <f>ROUND((C87+C90+C91)*D92,0)</f>
        <v>0</v>
      </c>
      <c r="D92" s="2367"/>
      <c r="E92" s="3295" t="s">
        <v>1420</v>
      </c>
      <c r="F92" s="3296"/>
      <c r="G92" s="3296"/>
      <c r="H92" s="3297"/>
      <c r="I92" s="1681"/>
      <c r="J92" s="2307"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0" t="e">
        <f ca="1">ROUND(D45*D93/(1+'数据-取费表'!C42),0)</f>
        <v>#REF!</v>
      </c>
      <c r="D93" s="2361">
        <f>'数据-取费表'!B43</f>
        <v>6.000000000000001E-3</v>
      </c>
      <c r="E93" s="3295" t="s">
        <v>1404</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6">
        <f>ROUND((C87+C90+C91)*D94,0)</f>
        <v>0</v>
      </c>
      <c r="D94" s="2361">
        <v>0.2</v>
      </c>
      <c r="E94" s="3340" t="s">
        <v>1424</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45" t="s">
        <v>1426</v>
      </c>
      <c r="B100" s="3246"/>
      <c r="C100" s="3246"/>
      <c r="D100" s="3280"/>
      <c r="E100" s="3246" t="s">
        <v>1427</v>
      </c>
      <c r="F100" s="3246"/>
      <c r="G100" s="3246"/>
      <c r="H100" s="3280"/>
      <c r="I100" s="121"/>
    </row>
    <row r="101" spans="1:35" ht="18.75" customHeight="1">
      <c r="A101" s="3288" t="s">
        <v>1428</v>
      </c>
      <c r="B101" s="3289"/>
      <c r="C101" s="2369" t="str">
        <f>C4</f>
        <v>比较法-车位</v>
      </c>
      <c r="D101" s="2370" t="str">
        <f>D4</f>
        <v>比较法-车位</v>
      </c>
      <c r="E101" s="3258" t="s">
        <v>1429</v>
      </c>
      <c r="F101" s="3259"/>
      <c r="G101" s="1687" t="s">
        <v>1430</v>
      </c>
      <c r="H101" s="2379" t="e">
        <f ca="1">H118</f>
        <v>#REF!</v>
      </c>
      <c r="I101" s="121"/>
    </row>
    <row r="102" spans="1:35" ht="18.75" customHeight="1">
      <c r="A102" s="3290" t="s">
        <v>1431</v>
      </c>
      <c r="B102" s="2368" t="s">
        <v>1430</v>
      </c>
      <c r="C102" s="2369">
        <f ca="1">IF(D32="楼面单价",ROUND(C19,0),C19)</f>
        <v>14440</v>
      </c>
      <c r="D102" s="2370">
        <f ca="1">IF(D32="楼面单价",ROUND(D19,0),D19)</f>
        <v>14440</v>
      </c>
      <c r="E102" s="3258"/>
      <c r="F102" s="3259"/>
      <c r="G102" s="1687" t="s">
        <v>1432</v>
      </c>
      <c r="H102" s="2339" t="e">
        <f ca="1">I118</f>
        <v>#REF!</v>
      </c>
      <c r="I102" s="121"/>
    </row>
    <row r="103" spans="1:35" ht="42.75" customHeight="1">
      <c r="A103" s="3290"/>
      <c r="B103" s="2368" t="s">
        <v>1432</v>
      </c>
      <c r="C103" s="2371">
        <f ca="1">C20</f>
        <v>5683</v>
      </c>
      <c r="D103" s="2372">
        <f ca="1">D20</f>
        <v>5683</v>
      </c>
      <c r="E103" s="3251" t="s">
        <v>1433</v>
      </c>
      <c r="F103" s="3252"/>
      <c r="G103" s="1688" t="s">
        <v>1434</v>
      </c>
      <c r="H103" s="2379">
        <f>IF(D36="正常操作",H104+H105+H106,H105+H106)</f>
        <v>0</v>
      </c>
      <c r="I103" s="121"/>
    </row>
    <row r="104" spans="1:35" ht="18.75" customHeight="1">
      <c r="A104" s="3290" t="s">
        <v>1435</v>
      </c>
      <c r="B104" s="2373" t="s">
        <v>1430</v>
      </c>
      <c r="C104" s="2374" t="e">
        <f ca="1">H118</f>
        <v>#REF!</v>
      </c>
      <c r="D104" s="2375"/>
      <c r="E104" s="1555" t="s">
        <v>1436</v>
      </c>
      <c r="F104" s="1548"/>
      <c r="G104" s="1688" t="s">
        <v>1434</v>
      </c>
      <c r="H104" s="2380">
        <f>IF(D36="同一抵押权人同一抵押物续贷",C36&amp;"（续贷，未扣减，详见特别提示）",C36)</f>
        <v>0</v>
      </c>
      <c r="I104" s="121"/>
    </row>
    <row r="105" spans="1:35" ht="18.75" customHeight="1" thickBot="1">
      <c r="A105" s="3300"/>
      <c r="B105" s="2376" t="s">
        <v>1432</v>
      </c>
      <c r="C105" s="2377" t="e">
        <f ca="1">I118</f>
        <v>#REF!</v>
      </c>
      <c r="D105" s="2378"/>
      <c r="E105" s="1555" t="s">
        <v>1437</v>
      </c>
      <c r="F105" s="1548"/>
      <c r="G105" s="1688" t="s">
        <v>1434</v>
      </c>
      <c r="H105" s="2381">
        <f>C37</f>
        <v>0</v>
      </c>
      <c r="I105" s="121"/>
    </row>
    <row r="106" spans="1:35" ht="18.75" customHeight="1">
      <c r="A106" s="646" t="s">
        <v>1438</v>
      </c>
      <c r="B106" s="646"/>
      <c r="C106" s="646"/>
      <c r="D106" s="646"/>
      <c r="E106" s="1689" t="s">
        <v>1439</v>
      </c>
      <c r="F106" s="1548"/>
      <c r="G106" s="1688" t="s">
        <v>1434</v>
      </c>
      <c r="H106" s="2381">
        <f>C38</f>
        <v>0</v>
      </c>
      <c r="I106" s="121"/>
    </row>
    <row r="107" spans="1:35" ht="18.75" customHeight="1">
      <c r="A107" s="121"/>
      <c r="B107" s="121"/>
      <c r="C107" s="121"/>
      <c r="D107" s="121"/>
      <c r="E107" s="3291" t="str">
        <f>IF(项目基本情况!E8="已注销","——","3.房地产抵押价值")</f>
        <v>3.房地产抵押价值</v>
      </c>
      <c r="F107" s="3259"/>
      <c r="G107" s="1687" t="s">
        <v>1430</v>
      </c>
      <c r="H107" s="2379" t="e">
        <f ca="1">IF(E107="——","——",H101-H103)</f>
        <v>#REF!</v>
      </c>
      <c r="I107" s="121"/>
    </row>
    <row r="108" spans="1:35" ht="18.75" customHeight="1">
      <c r="A108" s="121"/>
      <c r="B108" s="121"/>
      <c r="C108" s="121"/>
      <c r="D108" s="121"/>
      <c r="E108" s="3291"/>
      <c r="F108" s="3259"/>
      <c r="G108" s="1687" t="s">
        <v>1432</v>
      </c>
      <c r="H108" s="2339" t="e">
        <f ca="1">IF(H107=H101,H102,ROUND(H107*10000/'数据-汇总表'!E3,0))</f>
        <v>#REF!</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1430</v>
      </c>
      <c r="H109" s="2382" t="str">
        <f>IF(E109="——","——",H101-H105-H106)</f>
        <v>——</v>
      </c>
      <c r="I109" s="121"/>
    </row>
    <row r="110" spans="1:35" ht="18.75" customHeight="1">
      <c r="A110" s="121"/>
      <c r="B110" s="121"/>
      <c r="C110" s="121"/>
      <c r="D110" s="121"/>
      <c r="E110" s="3291"/>
      <c r="F110" s="3259"/>
      <c r="G110" s="1687" t="s">
        <v>1432</v>
      </c>
      <c r="H110" s="2339"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1430</v>
      </c>
      <c r="H111" s="2379" t="str">
        <f>IF(E111="——","——",N59)</f>
        <v>——</v>
      </c>
      <c r="I111" s="121"/>
    </row>
    <row r="112" spans="1:35" ht="18.75" customHeight="1" thickBot="1">
      <c r="A112" s="121"/>
      <c r="B112" s="121"/>
      <c r="C112" s="121"/>
      <c r="D112" s="121"/>
      <c r="E112" s="3293"/>
      <c r="F112" s="3294"/>
      <c r="G112" s="1690" t="s">
        <v>1432</v>
      </c>
      <c r="H112" s="2383" t="str">
        <f>IF(E111="——","——",N61)</f>
        <v>——</v>
      </c>
      <c r="I112" s="121"/>
    </row>
    <row r="113" spans="1:27" ht="18.75" customHeight="1">
      <c r="A113" s="121"/>
      <c r="B113" s="121"/>
      <c r="C113" s="121"/>
      <c r="D113" s="121"/>
      <c r="E113" s="3301" t="s">
        <v>1438</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1440</v>
      </c>
      <c r="B115" s="3310"/>
      <c r="C115" s="3310"/>
      <c r="D115" s="3310"/>
      <c r="E115" s="3310"/>
      <c r="F115" s="3310"/>
      <c r="G115" s="3310"/>
      <c r="H115" s="3310"/>
      <c r="I115" s="3311"/>
    </row>
    <row r="116" spans="1:27" ht="27" customHeight="1">
      <c r="A116" s="3266" t="s">
        <v>1441</v>
      </c>
      <c r="B116" s="3270" t="s">
        <v>1442</v>
      </c>
      <c r="C116" s="3270" t="s">
        <v>1443</v>
      </c>
      <c r="D116" s="3276" t="s">
        <v>1444</v>
      </c>
      <c r="E116" s="3277"/>
      <c r="F116" s="3308" t="s">
        <v>1445</v>
      </c>
      <c r="G116" s="3308"/>
      <c r="H116" s="3266" t="s">
        <v>1446</v>
      </c>
      <c r="I116" s="3266"/>
    </row>
    <row r="117" spans="1:27" ht="18.75" customHeight="1">
      <c r="A117" s="3266"/>
      <c r="B117" s="3271"/>
      <c r="C117" s="3271"/>
      <c r="D117" s="2148" t="s">
        <v>1447</v>
      </c>
      <c r="E117" s="2148" t="s">
        <v>1448</v>
      </c>
      <c r="F117" s="2148" t="s">
        <v>1447</v>
      </c>
      <c r="G117" s="2148" t="s">
        <v>1449</v>
      </c>
      <c r="H117" s="2148" t="s">
        <v>1447</v>
      </c>
      <c r="I117" s="2148" t="s">
        <v>1449</v>
      </c>
    </row>
    <row r="118" spans="1:27" ht="24.75" customHeight="1">
      <c r="A118" s="2384" t="str">
        <f>项目基本情况!S2</f>
        <v>北京市房地产</v>
      </c>
      <c r="B118" s="2148">
        <f>M18</f>
        <v>25407.46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6" t="s">
        <v>1450</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2" t="s">
        <v>1450</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
      </c>
      <c r="B122" s="3278"/>
      <c r="C122" s="3278"/>
      <c r="D122" s="3267" t="e">
        <f ca="1">H107</f>
        <v>#REF!</v>
      </c>
      <c r="E122" s="3268"/>
      <c r="F122" s="3268"/>
      <c r="G122" s="3268"/>
      <c r="H122" s="3268"/>
      <c r="I122" s="3269"/>
      <c r="AA122" s="684"/>
    </row>
    <row r="123" spans="1:27" ht="18.75" customHeight="1">
      <c r="A123" s="3266" t="s">
        <v>1450</v>
      </c>
      <c r="B123" s="3266"/>
      <c r="C123" s="3266"/>
      <c r="D123" s="3272" t="e">
        <f ca="1">NUMBERSTRING(INT(D122*10000),2)&amp;"元整"</f>
        <v>#REF!</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1450</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1450</v>
      </c>
      <c r="B127" s="3266"/>
      <c r="C127" s="3266"/>
      <c r="D127" s="3272" t="e">
        <f>NUMBERSTRING(INT(D126*10000),2)&amp;"元整"</f>
        <v>#VALUE!</v>
      </c>
      <c r="E127" s="3274"/>
      <c r="F127" s="3274"/>
      <c r="G127" s="3274"/>
      <c r="H127" s="3274"/>
      <c r="I127" s="3273"/>
      <c r="AA127" s="684"/>
    </row>
    <row r="128" spans="1:27" ht="21.75" customHeight="1">
      <c r="A128" s="3275" t="s">
        <v>1451</v>
      </c>
      <c r="B128" s="3275"/>
      <c r="C128" s="3275"/>
      <c r="D128" s="3275"/>
      <c r="E128" s="3275"/>
      <c r="F128" s="3275"/>
      <c r="G128" s="3275"/>
      <c r="H128" s="3275"/>
      <c r="I128" s="327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C5:D7">
    <cfRule type="cellIs" dxfId="66" priority="6" stopIfTrue="1" operator="equal">
      <formula>25</formula>
    </cfRule>
  </conditionalFormatting>
  <conditionalFormatting sqref="C8:D13">
    <cfRule type="cellIs" dxfId="65" priority="5" stopIfTrue="1" operator="equal">
      <formula>15</formula>
    </cfRule>
  </conditionalFormatting>
  <conditionalFormatting sqref="C14:D16">
    <cfRule type="cellIs" dxfId="64" priority="4" stopIfTrue="1" operator="equal">
      <formula>30</formula>
    </cfRule>
  </conditionalFormatting>
  <conditionalFormatting sqref="E36">
    <cfRule type="expression" dxfId="63" priority="1" stopIfTrue="1">
      <formula>$D$36="同一抵押权人同一抵押物续贷"</formula>
    </cfRule>
  </conditionalFormatting>
  <dataValidations count="23">
    <dataValidation type="list" allowBlank="1" showInputMessage="1" showErrorMessage="1" sqref="D92" xr:uid="{7070E5BA-E1C5-4D06-B4B9-D74168BBF02E}">
      <formula1>"0,5%,10%"</formula1>
    </dataValidation>
    <dataValidation type="list" allowBlank="1" showInputMessage="1" showErrorMessage="1" sqref="H59" xr:uid="{EFE00346-446D-4EA4-A3C5-5518501AF028}">
      <formula1>"非个人房产,个人住宅（满五唯一有凭证）,个人其他（有凭证）,个人其他（无凭证）"</formula1>
    </dataValidation>
    <dataValidation type="list" allowBlank="1" showInputMessage="1" showErrorMessage="1" sqref="E103" xr:uid="{DA17A8FE-0B26-430B-9968-760949083301}">
      <formula1>"2.估价师知悉的法定优先受偿款,2.估价师知悉的除抵押担保权以外的法定优先受偿款"</formula1>
    </dataValidation>
    <dataValidation type="list" allowBlank="1" showInputMessage="1" showErrorMessage="1" sqref="G77" xr:uid="{9872BA5B-C299-4171-86C6-9DCABD37F5E7}">
      <formula1>"个人住宅,2016年5月1日前购买,2016年5月1日后购买"</formula1>
    </dataValidation>
    <dataValidation type="list" allowBlank="1" showInputMessage="1" showErrorMessage="1" sqref="C1" xr:uid="{EB925ACA-2F06-4872-BBFD-D75306DA0EA6}">
      <formula1>项目类型</formula1>
    </dataValidation>
    <dataValidation type="list" allowBlank="1" showInputMessage="1" showErrorMessage="1" sqref="I1" xr:uid="{5608659C-3AEE-4E9B-B00C-DA8C3A41B906}">
      <formula1>"项目局部,项目全部,——"</formula1>
    </dataValidation>
    <dataValidation type="list" showInputMessage="1" showErrorMessage="1" sqref="G1" xr:uid="{FC074A94-DB36-4B34-A571-5EBFA1B20026}">
      <formula1>"现房,在建,土地,-"</formula1>
    </dataValidation>
    <dataValidation type="list" allowBlank="1" showInputMessage="1" showErrorMessage="1" sqref="C129" xr:uid="{BB61AFC4-5405-48AC-93DB-434E5270839C}">
      <formula1>"无,有"</formula1>
    </dataValidation>
    <dataValidation type="list" allowBlank="1" showInputMessage="1" showErrorMessage="1" sqref="F116:G116" xr:uid="{00E63042-2FEE-414C-A2E7-2C0AB28ED04D}">
      <formula1>"建筑物价值,在建建筑物价值,建筑物/在建建筑物价值"</formula1>
    </dataValidation>
    <dataValidation type="list" allowBlank="1" showInputMessage="1" showErrorMessage="1" sqref="D116:E116" xr:uid="{5410F8BC-E0B1-498E-9089-139A8C26DAAB}">
      <formula1>"出让国有建设用地使用权价值,划拨国有建设用地使用权价值"</formula1>
    </dataValidation>
    <dataValidation type="list" allowBlank="1" showInputMessage="1" showErrorMessage="1" sqref="C116:C117" xr:uid="{F213BE45-7D26-42EA-98A5-EC973529608A}">
      <formula1>"土地面积,分摊土地面积,（分摊）土地面积"</formula1>
    </dataValidation>
    <dataValidation type="list" allowBlank="1" showInputMessage="1" showErrorMessage="1" sqref="B116:B117" xr:uid="{5CD036A5-7721-49B4-9CFF-0B5FB6FF7E5D}">
      <formula1>"建筑面积,规划建筑面积,（规划）建筑面积"</formula1>
    </dataValidation>
    <dataValidation type="list" allowBlank="1" showInputMessage="1" showErrorMessage="1" sqref="D36" xr:uid="{97ECDDC5-A31E-4A3C-A18D-47C1D9825327}">
      <formula1>"同一抵押权人同一抵押物续贷,注销后放款,正常操作"</formula1>
    </dataValidation>
    <dataValidation type="list" allowBlank="1" showInputMessage="1" showErrorMessage="1" sqref="F75" xr:uid="{F62D7878-F8D4-47B3-A9C6-8D7B1AFE8293}">
      <formula1>"买卖合同,购房发票"</formula1>
    </dataValidation>
    <dataValidation type="list" allowBlank="1" showInputMessage="1" showErrorMessage="1" sqref="H88" xr:uid="{502A284B-BAB8-4D28-95B4-4E0B2A5047FD}">
      <formula1>"仅含出让金,出让金+开发费"</formula1>
    </dataValidation>
    <dataValidation type="list" allowBlank="1" showInputMessage="1" showErrorMessage="1" sqref="H91" xr:uid="{4F467B6B-20C0-4094-9792-DFAC91A5AA3B}">
      <formula1>"企业提供（在右侧录入）,——"</formula1>
    </dataValidation>
    <dataValidation type="list" allowBlank="1" showInputMessage="1" showErrorMessage="1" sqref="C33" xr:uid="{C7A20125-85CD-419E-93F5-3A400FFE7622}">
      <formula1>"成本比率,收益比率,自定义"</formula1>
    </dataValidation>
    <dataValidation type="list" allowBlank="1" showInputMessage="1" showErrorMessage="1" sqref="F45" xr:uid="{8E71324D-D928-495B-B11F-3E0785B61202}">
      <formula1>"100%,70%,56%"</formula1>
    </dataValidation>
    <dataValidation type="list" allowBlank="1" showInputMessage="1" showErrorMessage="1" sqref="D32" xr:uid="{563B46C3-1904-4A03-A33D-E96E19348383}">
      <formula1>"总价,楼面单价"</formula1>
    </dataValidation>
    <dataValidation type="list" allowBlank="1" showInputMessage="1" showErrorMessage="1" sqref="H58" xr:uid="{F9EC2AD9-9C4A-4D67-82AE-43FE388091C7}">
      <formula1>"转让取得,自行开发建设"</formula1>
    </dataValidation>
    <dataValidation type="list" allowBlank="1" showInputMessage="1" showErrorMessage="1" sqref="H48" xr:uid="{EE18D1AE-1B0F-4151-B838-25E76FCFB6E0}">
      <formula1>"情况1,情况2,情况3,情况4"</formula1>
    </dataValidation>
    <dataValidation type="list" allowBlank="1" showInputMessage="1" showErrorMessage="1" sqref="H55:H56" xr:uid="{2899D012-52DC-4546-875F-FFC99CC392C1}">
      <formula1>"个人住宅,正常"</formula1>
    </dataValidation>
    <dataValidation type="list" allowBlank="1" showInputMessage="1" showErrorMessage="1" sqref="C4:D4 D33" xr:uid="{4A8037EF-2CA8-4738-B472-5AB7ACF0C93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4" zoomScale="80" zoomScaleNormal="60" zoomScaleSheetLayoutView="80" workbookViewId="0">
      <selection activeCell="G91" sqref="G9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1" thickBot="1">
      <c r="A1" s="1139" t="s">
        <v>1829</v>
      </c>
      <c r="B1" s="1140" t="s">
        <v>3428</v>
      </c>
      <c r="C1" s="1141" t="s">
        <v>1660</v>
      </c>
      <c r="D1" s="1142" t="s">
        <v>3430</v>
      </c>
      <c r="E1" s="3130" t="s">
        <v>3435</v>
      </c>
      <c r="F1" s="1735" t="s">
        <v>3436</v>
      </c>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1" thickTop="1">
      <c r="A2" s="1138" t="s">
        <v>1460</v>
      </c>
      <c r="B2" s="1085">
        <f>IF(E1="项目模式",IF(C2="——",IF(B37="元/平方米",ROUND(C39*D3/10000,0),ROUND(F3*C39/10000,0)),IF(B37="元/平方米",ROUND(C39*D3/10000,0),ROUND(F3*C39/10000,0))-D2),IF(E1="单套模式",IF(C2="——",IF(B37="元/平方米",ROUND(C39*D3/10000,0),ROUND(F3*C39/10000,0)),IF(B37="元/平方米",ROUND(C39*D3/10000,0),ROUND(F3*C39/10000,0))-D2)))</f>
        <v>14440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1" thickBot="1">
      <c r="A3" s="195" t="s">
        <v>1462</v>
      </c>
      <c r="B3" s="536">
        <f>IF(AND(C2="——",B37="元/平方米"),C39,ROUND(B2*10000/D3,0))</f>
        <v>5683</v>
      </c>
      <c r="C3" s="344" t="s">
        <v>1766</v>
      </c>
      <c r="D3" s="343">
        <f>SUMIF('数据-汇总表'!$C19:$C33,D1,'数据-汇总表'!$E19:$E33)</f>
        <v>25407.46</v>
      </c>
      <c r="E3" s="344" t="s">
        <v>1830</v>
      </c>
      <c r="F3" s="343">
        <f>SUMIF('数据-取费表'!A5:A15,D1,'数据-取费表'!AH5:AH15)</f>
        <v>1053</v>
      </c>
      <c r="G3" s="855"/>
      <c r="H3" s="855"/>
      <c r="I3" s="855"/>
      <c r="J3" s="855"/>
      <c r="K3" s="857"/>
      <c r="L3" s="2502"/>
      <c r="M3" s="2503">
        <f>IF(C2="——",IF(B37="元/平方米",ROUND(C39*D3/10000,0),ROUND(F3*C39/10000,0)),IF(B37="元/平方米",ROUND(C39*D3/10000,0),ROUND(F3*C39/10000,0))-D2)</f>
        <v>14440</v>
      </c>
      <c r="N3" s="2503"/>
      <c r="O3" s="2503"/>
      <c r="P3" s="1086"/>
      <c r="Q3" s="341"/>
      <c r="R3" s="341"/>
      <c r="S3" s="341"/>
      <c r="T3" s="341"/>
      <c r="U3" s="341"/>
      <c r="V3" s="341"/>
      <c r="W3" s="341"/>
      <c r="X3" s="341"/>
      <c r="Y3" s="341"/>
      <c r="Z3" s="341"/>
      <c r="AA3" s="341"/>
      <c r="AB3" s="676"/>
      <c r="AC3" s="663"/>
    </row>
    <row r="4" spans="1:29" ht="15">
      <c r="A4" s="345" t="s">
        <v>1767</v>
      </c>
      <c r="B4" s="346"/>
      <c r="C4" s="3390" t="s">
        <v>1768</v>
      </c>
      <c r="D4" s="3391"/>
      <c r="E4" s="3392" t="s">
        <v>1769</v>
      </c>
      <c r="F4" s="3393"/>
      <c r="G4" s="3390" t="s">
        <v>1770</v>
      </c>
      <c r="H4" s="3391"/>
      <c r="I4" s="3390" t="s">
        <v>1771</v>
      </c>
      <c r="J4" s="3391"/>
      <c r="K4" s="537" t="s">
        <v>1772</v>
      </c>
      <c r="L4" s="2485"/>
      <c r="M4" s="2486"/>
      <c r="N4" s="2486"/>
      <c r="O4" s="2486"/>
      <c r="P4" s="3394" t="s">
        <v>1773</v>
      </c>
      <c r="Q4" s="3395"/>
      <c r="R4" s="3379" t="s">
        <v>1769</v>
      </c>
      <c r="S4" s="3380"/>
      <c r="T4" s="3379" t="s">
        <v>1770</v>
      </c>
      <c r="U4" s="3380"/>
      <c r="V4" s="3402" t="s">
        <v>1771</v>
      </c>
      <c r="W4" s="3402"/>
      <c r="X4" s="1265"/>
      <c r="Y4" s="3379" t="s">
        <v>1773</v>
      </c>
      <c r="Z4" s="3380"/>
      <c r="AA4" s="3374" t="s">
        <v>1769</v>
      </c>
      <c r="AB4" s="3375" t="s">
        <v>1770</v>
      </c>
      <c r="AC4" s="3374" t="s">
        <v>1771</v>
      </c>
    </row>
    <row r="5" spans="1:29" ht="15">
      <c r="A5" s="348"/>
      <c r="B5" s="349"/>
      <c r="C5" s="3383" t="s">
        <v>1671</v>
      </c>
      <c r="D5" s="3384"/>
      <c r="E5" s="3383" t="s">
        <v>3440</v>
      </c>
      <c r="F5" s="3384"/>
      <c r="G5" s="3383" t="s">
        <v>3455</v>
      </c>
      <c r="H5" s="3384"/>
      <c r="I5" s="3383" t="s">
        <v>3456</v>
      </c>
      <c r="J5" s="3384"/>
      <c r="K5" s="537"/>
      <c r="L5" s="2485"/>
      <c r="M5" s="2486"/>
      <c r="N5" s="2486"/>
      <c r="O5" s="2486"/>
      <c r="P5" s="3396"/>
      <c r="Q5" s="3397"/>
      <c r="R5" s="3381"/>
      <c r="S5" s="3382"/>
      <c r="T5" s="3381"/>
      <c r="U5" s="3382"/>
      <c r="V5" s="3402"/>
      <c r="W5" s="3402"/>
      <c r="X5" s="1265"/>
      <c r="Y5" s="3381"/>
      <c r="Z5" s="3382"/>
      <c r="AA5" s="3375"/>
      <c r="AB5" s="3375"/>
      <c r="AC5" s="3375"/>
    </row>
    <row r="6" spans="1:29" ht="15.75" thickBot="1">
      <c r="A6" s="350"/>
      <c r="B6" s="351"/>
      <c r="C6" s="3385" t="s">
        <v>1675</v>
      </c>
      <c r="D6" s="3386"/>
      <c r="E6" s="3387" t="s">
        <v>1675</v>
      </c>
      <c r="F6" s="3388"/>
      <c r="G6" s="3385" t="s">
        <v>1675</v>
      </c>
      <c r="H6" s="3386"/>
      <c r="I6" s="3385" t="s">
        <v>1675</v>
      </c>
      <c r="J6" s="3386"/>
      <c r="K6" s="537" t="s">
        <v>1676</v>
      </c>
      <c r="L6" s="2485"/>
      <c r="M6" s="2486"/>
      <c r="N6" s="2486"/>
      <c r="O6" s="2486"/>
      <c r="P6" s="3398"/>
      <c r="Q6" s="3399"/>
      <c r="R6" s="3381"/>
      <c r="S6" s="3382"/>
      <c r="T6" s="3400"/>
      <c r="U6" s="3401"/>
      <c r="V6" s="3402"/>
      <c r="W6" s="3402"/>
      <c r="X6" s="1265"/>
      <c r="Y6" s="3400"/>
      <c r="Z6" s="3401"/>
      <c r="AA6" s="3376"/>
      <c r="AB6" s="3376"/>
      <c r="AC6" s="3376"/>
    </row>
    <row r="7" spans="1:29" s="102" customFormat="1" ht="15.75" thickBot="1">
      <c r="A7" s="352" t="s">
        <v>1677</v>
      </c>
      <c r="B7" s="353"/>
      <c r="C7" s="354">
        <f>'数据-取费表'!B2</f>
        <v>45741</v>
      </c>
      <c r="D7" s="355">
        <v>100</v>
      </c>
      <c r="E7" s="356">
        <f>C7</f>
        <v>45741</v>
      </c>
      <c r="F7" s="357">
        <f>SUMIF(48:48,YEAR(E7)&amp;"-"&amp;MONTH(E7),49:49)</f>
        <v>100</v>
      </c>
      <c r="G7" s="356">
        <f>E7</f>
        <v>45741</v>
      </c>
      <c r="H7" s="355">
        <f>SUMIF(48:48,YEAR(G7)&amp;"-"&amp;MONTH(G7),49:49)</f>
        <v>100</v>
      </c>
      <c r="I7" s="356">
        <f>G7</f>
        <v>45741</v>
      </c>
      <c r="J7" s="355">
        <f>SUMIF(48:48,YEAR(I7)&amp;"-"&amp;MONTH(I7),49:49)</f>
        <v>100</v>
      </c>
      <c r="K7" s="38"/>
      <c r="L7" s="2487"/>
      <c r="M7" s="2438"/>
      <c r="N7" s="2438"/>
      <c r="O7" s="2438"/>
      <c r="P7" s="3377" t="s">
        <v>1678</v>
      </c>
      <c r="Q7" s="3403"/>
      <c r="R7" s="664" t="s">
        <v>14</v>
      </c>
      <c r="S7" s="665">
        <f t="shared" ref="S7:S14" si="0">F7</f>
        <v>100</v>
      </c>
      <c r="T7" s="664" t="s">
        <v>14</v>
      </c>
      <c r="U7" s="665">
        <f t="shared" ref="U7:U14" si="1">H7</f>
        <v>100</v>
      </c>
      <c r="V7" s="664" t="s">
        <v>14</v>
      </c>
      <c r="W7" s="665">
        <f t="shared" ref="W7:W14" si="2">J7</f>
        <v>100</v>
      </c>
      <c r="X7" s="666"/>
      <c r="Y7" s="3377" t="s">
        <v>1678</v>
      </c>
      <c r="Z7" s="3378"/>
      <c r="AA7" s="50">
        <f>D7/F7</f>
        <v>1</v>
      </c>
      <c r="AB7" s="50">
        <f>D7/H7</f>
        <v>1</v>
      </c>
      <c r="AC7" s="50">
        <f>D7/J7</f>
        <v>1</v>
      </c>
    </row>
    <row r="8" spans="1:29" s="102" customFormat="1" ht="15.75" thickBot="1">
      <c r="A8" s="352" t="s">
        <v>1679</v>
      </c>
      <c r="B8" s="353"/>
      <c r="C8" s="358" t="s">
        <v>3443</v>
      </c>
      <c r="D8" s="355">
        <v>100</v>
      </c>
      <c r="E8" s="358" t="s">
        <v>3443</v>
      </c>
      <c r="F8" s="357">
        <f>SUMIF(51:51,E8,52:52)-SUMIF(51:51,C8,52:52)+100</f>
        <v>100</v>
      </c>
      <c r="G8" s="358" t="s">
        <v>3443</v>
      </c>
      <c r="H8" s="355">
        <f>SUMIF(51:51,G8,52:52)-SUMIF(51:51,C8,52:52)+100</f>
        <v>100</v>
      </c>
      <c r="I8" s="358" t="s">
        <v>3443</v>
      </c>
      <c r="J8" s="355">
        <f>SUMIF(51:51,I8,52:52)-SUMIF(51:51,C8,52:52)+100</f>
        <v>100</v>
      </c>
      <c r="K8" s="38"/>
      <c r="L8" s="2487"/>
      <c r="M8" s="2438"/>
      <c r="N8" s="2438"/>
      <c r="O8" s="2438"/>
      <c r="P8" s="3377" t="s">
        <v>1681</v>
      </c>
      <c r="Q8" s="3378"/>
      <c r="R8" s="664" t="s">
        <v>14</v>
      </c>
      <c r="S8" s="665">
        <f t="shared" si="0"/>
        <v>100</v>
      </c>
      <c r="T8" s="664" t="s">
        <v>14</v>
      </c>
      <c r="U8" s="665">
        <f t="shared" si="1"/>
        <v>100</v>
      </c>
      <c r="V8" s="664" t="s">
        <v>14</v>
      </c>
      <c r="W8" s="665">
        <f t="shared" si="2"/>
        <v>100</v>
      </c>
      <c r="X8" s="666"/>
      <c r="Y8" s="3377" t="s">
        <v>1681</v>
      </c>
      <c r="Z8" s="3378"/>
      <c r="AA8" s="50">
        <f t="shared" ref="AA8:AA36" si="3">D8/F8</f>
        <v>1</v>
      </c>
      <c r="AB8" s="50">
        <f t="shared" ref="AB8:AB36" si="4">D8/H8</f>
        <v>1</v>
      </c>
      <c r="AC8" s="50">
        <f t="shared" ref="AC8:AC36" si="5">D8/J8</f>
        <v>1</v>
      </c>
    </row>
    <row r="9" spans="1:29" s="102" customFormat="1">
      <c r="A9" s="57" t="s">
        <v>1682</v>
      </c>
      <c r="B9" s="564" t="s">
        <v>1683</v>
      </c>
      <c r="C9" s="3156" t="s">
        <v>3459</v>
      </c>
      <c r="D9" s="59">
        <v>100</v>
      </c>
      <c r="E9" s="362" t="s">
        <v>3458</v>
      </c>
      <c r="F9" s="59">
        <f>SUMIF(53:53,E9,54:54)-SUMIF(53:53,C9,54:54)+100</f>
        <v>100</v>
      </c>
      <c r="G9" s="361" t="s">
        <v>3458</v>
      </c>
      <c r="H9" s="59">
        <f>SUMIF(53:53,G9,54:54)-SUMIF(53:53,C9,54:54)+100</f>
        <v>100</v>
      </c>
      <c r="I9" s="361" t="s">
        <v>3458</v>
      </c>
      <c r="J9" s="59">
        <f>SUMIF(53:53,I9,54:54)-SUMIF(53:53,C9,54:54)+100</f>
        <v>100</v>
      </c>
      <c r="K9" s="38"/>
      <c r="L9" s="2487"/>
      <c r="M9" s="2438"/>
      <c r="N9" s="2438"/>
      <c r="O9" s="2438"/>
      <c r="P9" s="3407" t="s">
        <v>1684</v>
      </c>
      <c r="Q9" s="530" t="str">
        <f t="shared" ref="Q9:Q14" si="6">B9</f>
        <v>用途</v>
      </c>
      <c r="R9" s="664" t="s">
        <v>14</v>
      </c>
      <c r="S9" s="665">
        <f t="shared" si="0"/>
        <v>100</v>
      </c>
      <c r="T9" s="664" t="s">
        <v>14</v>
      </c>
      <c r="U9" s="665">
        <f t="shared" si="1"/>
        <v>100</v>
      </c>
      <c r="V9" s="664" t="s">
        <v>14</v>
      </c>
      <c r="W9" s="665">
        <f t="shared" si="2"/>
        <v>100</v>
      </c>
      <c r="X9" s="666"/>
      <c r="Y9" s="3321" t="s">
        <v>1685</v>
      </c>
      <c r="Z9" s="50" t="str">
        <f t="shared" ref="Z9:Z14" si="7">Q9</f>
        <v>用途</v>
      </c>
      <c r="AA9" s="50">
        <f t="shared" si="3"/>
        <v>1</v>
      </c>
      <c r="AB9" s="50">
        <f t="shared" si="4"/>
        <v>1</v>
      </c>
      <c r="AC9" s="50">
        <f t="shared" si="5"/>
        <v>1</v>
      </c>
    </row>
    <row r="10" spans="1:29" s="366" customFormat="1" ht="27.75" thickBot="1">
      <c r="A10" s="565"/>
      <c r="B10" s="566" t="s">
        <v>1686</v>
      </c>
      <c r="C10" s="3131" t="s">
        <v>3465</v>
      </c>
      <c r="D10" s="119">
        <v>100</v>
      </c>
      <c r="E10" s="3131" t="s">
        <v>3465</v>
      </c>
      <c r="F10" s="119">
        <f>SUMIF(55:55,E10,56:56)-SUMIF(55:55,C10,56:56)+100</f>
        <v>100</v>
      </c>
      <c r="G10" s="3131" t="s">
        <v>3465</v>
      </c>
      <c r="H10" s="119">
        <f>SUMIF(55:55,G10,56:56)-SUMIF(55:55,C10,56:56)+100</f>
        <v>100</v>
      </c>
      <c r="I10" s="3131" t="s">
        <v>3465</v>
      </c>
      <c r="J10" s="119">
        <f>SUMIF(55:55,I10,56:56)-SUMIF(55:55,C10,56:56)+100</f>
        <v>100</v>
      </c>
      <c r="K10" s="38"/>
      <c r="L10" s="2488"/>
      <c r="M10" s="2489"/>
      <c r="N10" s="2489"/>
      <c r="O10" s="2489"/>
      <c r="P10" s="3407"/>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hidden="1">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7"/>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hidden="1">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07"/>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hidden="1"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7"/>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
      <c r="A14" s="345" t="s">
        <v>1688</v>
      </c>
      <c r="B14" s="554" t="s">
        <v>1831</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v>3</v>
      </c>
      <c r="L14" s="2491"/>
      <c r="M14" s="2486"/>
      <c r="N14" s="2486"/>
      <c r="O14" s="2486"/>
      <c r="P14" s="3408" t="s">
        <v>1689</v>
      </c>
      <c r="Q14" s="1263" t="str">
        <f t="shared" si="6"/>
        <v>交通便捷度</v>
      </c>
      <c r="R14" s="667" t="s">
        <v>14</v>
      </c>
      <c r="S14" s="668">
        <f t="shared" si="0"/>
        <v>100</v>
      </c>
      <c r="T14" s="667" t="s">
        <v>14</v>
      </c>
      <c r="U14" s="668">
        <f t="shared" si="1"/>
        <v>100</v>
      </c>
      <c r="V14" s="667" t="s">
        <v>14</v>
      </c>
      <c r="W14" s="668">
        <f t="shared" si="2"/>
        <v>100</v>
      </c>
      <c r="X14" s="1265"/>
      <c r="Y14" s="3408" t="s">
        <v>1689</v>
      </c>
      <c r="Z14" s="1264" t="str">
        <f t="shared" si="7"/>
        <v>交通便捷度</v>
      </c>
      <c r="AA14" s="1264">
        <f t="shared" si="3"/>
        <v>1</v>
      </c>
      <c r="AB14" s="1264">
        <f t="shared" si="4"/>
        <v>1</v>
      </c>
      <c r="AC14" s="1264">
        <f t="shared" si="5"/>
        <v>1</v>
      </c>
    </row>
    <row r="15" spans="1:29" ht="15">
      <c r="A15" s="348"/>
      <c r="B15" s="571"/>
      <c r="C15" s="386" t="str">
        <f>'比较法-住宅'!C18</f>
        <v>较好</v>
      </c>
      <c r="D15" s="387"/>
      <c r="E15" s="386" t="s">
        <v>3445</v>
      </c>
      <c r="F15" s="388"/>
      <c r="G15" s="386" t="s">
        <v>3445</v>
      </c>
      <c r="H15" s="389"/>
      <c r="I15" s="386" t="s">
        <v>3445</v>
      </c>
      <c r="J15" s="387"/>
      <c r="K15" s="541"/>
      <c r="L15" s="2491"/>
      <c r="M15" s="2486"/>
      <c r="N15" s="2486"/>
      <c r="O15" s="2486"/>
      <c r="P15" s="3409"/>
      <c r="Q15" s="1263"/>
      <c r="R15" s="667"/>
      <c r="S15" s="668"/>
      <c r="T15" s="667"/>
      <c r="U15" s="668"/>
      <c r="V15" s="667"/>
      <c r="W15" s="668"/>
      <c r="X15" s="1265"/>
      <c r="Y15" s="3409"/>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100</v>
      </c>
      <c r="K16" s="540">
        <v>3</v>
      </c>
      <c r="L16" s="2491"/>
      <c r="M16" s="2486"/>
      <c r="N16" s="2486"/>
      <c r="O16" s="2486"/>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5" t="str">
        <f>'比较法-住宅'!C20</f>
        <v>较好</v>
      </c>
      <c r="D17" s="387"/>
      <c r="E17" s="386" t="s">
        <v>3445</v>
      </c>
      <c r="F17" s="388"/>
      <c r="G17" s="386" t="s">
        <v>3445</v>
      </c>
      <c r="H17" s="387"/>
      <c r="I17" s="386" t="s">
        <v>3445</v>
      </c>
      <c r="J17" s="387"/>
      <c r="K17" s="541"/>
      <c r="L17" s="2491"/>
      <c r="M17" s="2486"/>
      <c r="N17" s="2486"/>
      <c r="O17" s="2486"/>
      <c r="P17" s="3409"/>
      <c r="Q17" s="1263"/>
      <c r="R17" s="667"/>
      <c r="S17" s="668"/>
      <c r="T17" s="667"/>
      <c r="U17" s="668"/>
      <c r="V17" s="667"/>
      <c r="W17" s="668"/>
      <c r="X17" s="1265"/>
      <c r="Y17" s="3409"/>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40">
        <v>2</v>
      </c>
      <c r="L18" s="2491"/>
      <c r="M18" s="2486"/>
      <c r="N18" s="2486"/>
      <c r="O18" s="2486"/>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5" t="str">
        <f>'比较法-住宅'!C22</f>
        <v>七通</v>
      </c>
      <c r="D19" s="389"/>
      <c r="E19" s="1755" t="s">
        <v>3452</v>
      </c>
      <c r="F19" s="392"/>
      <c r="G19" s="1755" t="s">
        <v>3452</v>
      </c>
      <c r="H19" s="387"/>
      <c r="I19" s="1755" t="s">
        <v>3452</v>
      </c>
      <c r="J19" s="387"/>
      <c r="K19" s="1064"/>
      <c r="L19" s="2491"/>
      <c r="M19" s="2486"/>
      <c r="N19" s="2486"/>
      <c r="O19" s="2486"/>
      <c r="P19" s="3409"/>
      <c r="Q19" s="1263"/>
      <c r="R19" s="667"/>
      <c r="S19" s="668"/>
      <c r="T19" s="667"/>
      <c r="U19" s="668"/>
      <c r="V19" s="667"/>
      <c r="W19" s="668"/>
      <c r="X19" s="1265"/>
      <c r="Y19" s="3409"/>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100</v>
      </c>
      <c r="K20" s="540">
        <v>3</v>
      </c>
      <c r="L20" s="2491"/>
      <c r="M20" s="2486"/>
      <c r="N20" s="2486"/>
      <c r="O20" s="2486"/>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75" thickBot="1">
      <c r="A21" s="348"/>
      <c r="B21" s="401"/>
      <c r="C21" s="386" t="str">
        <f>'比较法-住宅'!C24</f>
        <v>一般</v>
      </c>
      <c r="D21" s="387"/>
      <c r="E21" s="386" t="s">
        <v>3446</v>
      </c>
      <c r="F21" s="388"/>
      <c r="G21" s="386" t="s">
        <v>3446</v>
      </c>
      <c r="H21" s="387"/>
      <c r="I21" s="386" t="s">
        <v>3446</v>
      </c>
      <c r="J21" s="387"/>
      <c r="K21" s="541"/>
      <c r="L21" s="2491"/>
      <c r="M21" s="2486"/>
      <c r="N21" s="2486"/>
      <c r="O21" s="2486"/>
      <c r="P21" s="3409"/>
      <c r="Q21" s="1263"/>
      <c r="R21" s="667"/>
      <c r="S21" s="668"/>
      <c r="T21" s="667"/>
      <c r="U21" s="668"/>
      <c r="V21" s="667"/>
      <c r="W21" s="668"/>
      <c r="X21" s="1265"/>
      <c r="Y21" s="3409"/>
      <c r="Z21" s="1264"/>
      <c r="AA21" s="1264">
        <v>1</v>
      </c>
      <c r="AB21" s="1264">
        <v>1</v>
      </c>
      <c r="AC21" s="1264">
        <v>1</v>
      </c>
    </row>
    <row r="22" spans="1:29" ht="15" hidden="1">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hidden="1">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hidden="1">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75" hidden="1"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8.5">
      <c r="A26" s="574" t="s">
        <v>1692</v>
      </c>
      <c r="B26" s="59" t="s">
        <v>1834</v>
      </c>
      <c r="C26" s="1818" t="str">
        <f>B1</f>
        <v>住宅</v>
      </c>
      <c r="D26" s="387">
        <v>100</v>
      </c>
      <c r="E26" s="386" t="s">
        <v>3428</v>
      </c>
      <c r="F26" s="388">
        <f>SUMIF(79:79,E26,80:80)-SUMIF(79:79,C26,80:80)+100</f>
        <v>100</v>
      </c>
      <c r="G26" s="386" t="s">
        <v>3428</v>
      </c>
      <c r="H26" s="387">
        <f>SUMIF(79:79,G26,80:80)-SUMIF(79:79,C26,80:80)+100</f>
        <v>100</v>
      </c>
      <c r="I26" s="386" t="s">
        <v>3428</v>
      </c>
      <c r="J26" s="387">
        <f>SUMIF(79:79,I26,80:80)-SUMIF(79:79,C26,80:80)+100</f>
        <v>100</v>
      </c>
      <c r="K26" s="538">
        <v>5</v>
      </c>
      <c r="L26" s="2491"/>
      <c r="M26" s="2486"/>
      <c r="N26" s="2486"/>
      <c r="O26" s="2486"/>
      <c r="P26" s="3434" t="s">
        <v>1694</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13" t="s">
        <v>1694</v>
      </c>
      <c r="Z26" s="1264" t="str">
        <f t="shared" ref="Z26:Z36" si="15">Q26</f>
        <v>配套类型</v>
      </c>
      <c r="AA26" s="1264">
        <f t="shared" si="3"/>
        <v>1</v>
      </c>
      <c r="AB26" s="1264">
        <f t="shared" si="4"/>
        <v>1</v>
      </c>
      <c r="AC26" s="1264">
        <f t="shared" si="5"/>
        <v>1</v>
      </c>
    </row>
    <row r="27" spans="1:29" s="408" customFormat="1" ht="15">
      <c r="A27" s="575"/>
      <c r="B27" s="119" t="s">
        <v>1835</v>
      </c>
      <c r="C27" s="576" t="s">
        <v>3460</v>
      </c>
      <c r="D27" s="119">
        <v>100</v>
      </c>
      <c r="E27" s="576" t="s">
        <v>3460</v>
      </c>
      <c r="F27" s="400">
        <f>SUMIF(81:81,E27,82:82)-SUMIF(81:81,C27,82:82)+100</f>
        <v>100</v>
      </c>
      <c r="G27" s="576" t="s">
        <v>3460</v>
      </c>
      <c r="H27" s="374">
        <f>SUMIF(81:81,G27,82:82)-SUMIF(81:81,C27,82:82)+100</f>
        <v>100</v>
      </c>
      <c r="I27" s="576" t="s">
        <v>3460</v>
      </c>
      <c r="J27" s="374">
        <f>SUMIF(81:81,I27,82:82)-SUMIF(81:81,C27,82:82)+100</f>
        <v>100</v>
      </c>
      <c r="K27" s="539"/>
      <c r="L27" s="2490"/>
      <c r="M27" s="2492"/>
      <c r="N27" s="2492"/>
      <c r="O27" s="2492"/>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1836</v>
      </c>
      <c r="C28" s="3158" t="s">
        <v>3461</v>
      </c>
      <c r="D28" s="374">
        <v>100</v>
      </c>
      <c r="E28" s="3158" t="s">
        <v>3461</v>
      </c>
      <c r="F28" s="400">
        <f>SUMIF(83:83,E28,84:84)-SUMIF(83:83,C28,84:84)+100</f>
        <v>100</v>
      </c>
      <c r="G28" s="3158" t="s">
        <v>3461</v>
      </c>
      <c r="H28" s="374">
        <f>SUMIF(83:83,G28,84:84)-SUMIF(83:83,C28,84:84)+100</f>
        <v>100</v>
      </c>
      <c r="I28" s="3158" t="s">
        <v>3461</v>
      </c>
      <c r="J28" s="374">
        <f>SUMIF(83:83,I28,84:84)-SUMIF(83:83,C28,84:84)+100</f>
        <v>100</v>
      </c>
      <c r="K28" s="538">
        <v>2</v>
      </c>
      <c r="L28" s="2491"/>
      <c r="M28" s="2486"/>
      <c r="N28" s="2486"/>
      <c r="O28" s="2486"/>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c r="A29" s="577"/>
      <c r="B29" s="119" t="s">
        <v>1837</v>
      </c>
      <c r="C29" s="411">
        <v>1</v>
      </c>
      <c r="D29" s="374">
        <v>100</v>
      </c>
      <c r="E29" s="411">
        <v>1</v>
      </c>
      <c r="F29" s="400">
        <f>LOOKUP(E29,86:86,87:87)-LOOKUP(C29,86:86,87:87)+100</f>
        <v>100</v>
      </c>
      <c r="G29" s="411">
        <f>ROUND(1-(2025-2023)/60,2)</f>
        <v>0.97</v>
      </c>
      <c r="H29" s="400">
        <f>LOOKUP(G29,86:86,87:87)-LOOKUP(C29,86:86,87:87)+100</f>
        <v>100</v>
      </c>
      <c r="I29" s="411">
        <f>ROUND(1-(2025-2023)/60,2)</f>
        <v>0.97</v>
      </c>
      <c r="J29" s="374">
        <f>LOOKUP(I29,86:86,87:87)-LOOKUP(C29,86:86,87:87)+100</f>
        <v>100</v>
      </c>
      <c r="K29" s="538">
        <v>2</v>
      </c>
      <c r="L29" s="2491"/>
      <c r="M29" s="2486"/>
      <c r="N29" s="2486"/>
      <c r="O29" s="2486"/>
      <c r="P29" s="3413"/>
      <c r="Q29" s="1263" t="str">
        <f t="shared" si="11"/>
        <v>成新率</v>
      </c>
      <c r="R29" s="667" t="s">
        <v>14</v>
      </c>
      <c r="S29" s="668">
        <f t="shared" si="12"/>
        <v>100</v>
      </c>
      <c r="T29" s="667" t="s">
        <v>14</v>
      </c>
      <c r="U29" s="668">
        <f t="shared" si="13"/>
        <v>100</v>
      </c>
      <c r="V29" s="667" t="s">
        <v>14</v>
      </c>
      <c r="W29" s="668">
        <f t="shared" si="14"/>
        <v>100</v>
      </c>
      <c r="X29" s="1265"/>
      <c r="Y29" s="3413"/>
      <c r="Z29" s="1264" t="str">
        <f t="shared" si="15"/>
        <v>成新率</v>
      </c>
      <c r="AA29" s="1264">
        <f t="shared" si="3"/>
        <v>1</v>
      </c>
      <c r="AB29" s="1264">
        <f t="shared" si="4"/>
        <v>1</v>
      </c>
      <c r="AC29" s="1264">
        <f t="shared" si="5"/>
        <v>1</v>
      </c>
    </row>
    <row r="30" spans="1:29" ht="15">
      <c r="A30" s="577"/>
      <c r="B30" s="119" t="s">
        <v>1838</v>
      </c>
      <c r="C30" s="3160" t="s">
        <v>3462</v>
      </c>
      <c r="D30" s="374">
        <v>100</v>
      </c>
      <c r="E30" s="3160" t="s">
        <v>3462</v>
      </c>
      <c r="F30" s="400">
        <f>SUMIF(88:88,E30,89:89)-SUMIF(88:88,C30,89:89)+100</f>
        <v>100</v>
      </c>
      <c r="G30" s="3160" t="s">
        <v>3462</v>
      </c>
      <c r="H30" s="374">
        <f>SUMIF(88:88,E30,89:89)-SUMIF(88:88,C30,89:89)+100</f>
        <v>100</v>
      </c>
      <c r="I30" s="3160" t="s">
        <v>3462</v>
      </c>
      <c r="J30" s="374">
        <f>SUMIF(88:88,E30,89:89)-SUMIF(88:88,C30,89:89)+100</f>
        <v>100</v>
      </c>
      <c r="K30" s="538">
        <v>2</v>
      </c>
      <c r="L30" s="2491"/>
      <c r="M30" s="2486"/>
      <c r="N30" s="2486"/>
      <c r="O30" s="2486"/>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1839</v>
      </c>
      <c r="C31" s="407">
        <f>规证面积!M43</f>
        <v>37.909999999999997</v>
      </c>
      <c r="D31" s="119">
        <v>100</v>
      </c>
      <c r="E31" s="407">
        <f>车位案例!$T$52</f>
        <v>31.65</v>
      </c>
      <c r="F31" s="400">
        <f>LOOKUP(E31,91:91,92:92)-LOOKUP(C31,91:91,92:92)+100</f>
        <v>100</v>
      </c>
      <c r="G31" s="407">
        <f>车位案例!$R$87</f>
        <v>29.58</v>
      </c>
      <c r="H31" s="374">
        <f>LOOKUP(G31,91:91,92:92)-LOOKUP(C31,91:91,92:92)+100</f>
        <v>99</v>
      </c>
      <c r="I31" s="407">
        <f>车位案例!$Q$149</f>
        <v>36.76</v>
      </c>
      <c r="J31" s="374">
        <f>LOOKUP(I31,91:91,92:92)-LOOKUP(C31,91:91,92:92)+100</f>
        <v>100</v>
      </c>
      <c r="K31" s="538">
        <v>1</v>
      </c>
      <c r="L31" s="2487"/>
      <c r="M31" s="2438"/>
      <c r="N31" s="2438"/>
      <c r="O31" s="2438"/>
      <c r="P31" s="3413"/>
      <c r="Q31" s="530" t="str">
        <f t="shared" si="11"/>
        <v>停车位面积</v>
      </c>
      <c r="R31" s="664" t="s">
        <v>14</v>
      </c>
      <c r="S31" s="665">
        <f t="shared" si="12"/>
        <v>100</v>
      </c>
      <c r="T31" s="664" t="s">
        <v>14</v>
      </c>
      <c r="U31" s="665">
        <f t="shared" si="13"/>
        <v>99</v>
      </c>
      <c r="V31" s="664" t="s">
        <v>14</v>
      </c>
      <c r="W31" s="665">
        <f t="shared" si="14"/>
        <v>100</v>
      </c>
      <c r="X31" s="666"/>
      <c r="Y31" s="3413"/>
      <c r="Z31" s="50" t="str">
        <f t="shared" si="15"/>
        <v>停车位面积</v>
      </c>
      <c r="AA31" s="50">
        <f t="shared" si="3"/>
        <v>1</v>
      </c>
      <c r="AB31" s="50">
        <f t="shared" si="4"/>
        <v>1.0101010101010102</v>
      </c>
      <c r="AC31" s="50">
        <f t="shared" si="5"/>
        <v>1</v>
      </c>
    </row>
    <row r="32" spans="1:29" ht="15.75" thickBot="1">
      <c r="A32" s="577"/>
      <c r="B32" s="119" t="s">
        <v>1840</v>
      </c>
      <c r="C32" s="3158" t="s">
        <v>3463</v>
      </c>
      <c r="D32" s="374">
        <v>100</v>
      </c>
      <c r="E32" s="3158" t="s">
        <v>3463</v>
      </c>
      <c r="F32" s="400">
        <f>SUMIF(93:93,E32,94:94)-SUMIF(93:93,C32,94:94)+100</f>
        <v>100</v>
      </c>
      <c r="G32" s="3158" t="s">
        <v>3463</v>
      </c>
      <c r="H32" s="374">
        <f>SUMIF(93:93,G32,94:94)-SUMIF(93:93,C32,94:94)+100</f>
        <v>100</v>
      </c>
      <c r="I32" s="3158" t="s">
        <v>3463</v>
      </c>
      <c r="J32" s="374">
        <f>SUMIF(93:93,I32,94:94)-SUMIF(93:93,C32,94:94)+100</f>
        <v>100</v>
      </c>
      <c r="K32" s="538">
        <v>2</v>
      </c>
      <c r="L32" s="2491"/>
      <c r="M32" s="2486"/>
      <c r="N32" s="2486"/>
      <c r="O32" s="2486"/>
      <c r="P32" s="3413" t="s">
        <v>1694</v>
      </c>
      <c r="Q32" s="1263" t="str">
        <f t="shared" si="11"/>
        <v>车位类型</v>
      </c>
      <c r="R32" s="667" t="s">
        <v>14</v>
      </c>
      <c r="S32" s="668">
        <f t="shared" si="12"/>
        <v>100</v>
      </c>
      <c r="T32" s="667" t="s">
        <v>14</v>
      </c>
      <c r="U32" s="668">
        <f t="shared" si="13"/>
        <v>100</v>
      </c>
      <c r="V32" s="667" t="s">
        <v>14</v>
      </c>
      <c r="W32" s="668">
        <f t="shared" si="14"/>
        <v>100</v>
      </c>
      <c r="X32" s="1265"/>
      <c r="Y32" s="3413" t="s">
        <v>1694</v>
      </c>
      <c r="Z32" s="1264" t="str">
        <f t="shared" si="15"/>
        <v>车位类型</v>
      </c>
      <c r="AA32" s="1264">
        <f t="shared" si="3"/>
        <v>1</v>
      </c>
      <c r="AB32" s="1264">
        <f t="shared" si="4"/>
        <v>1</v>
      </c>
      <c r="AC32" s="1264">
        <f t="shared" si="5"/>
        <v>1</v>
      </c>
    </row>
    <row r="33" spans="1:29" ht="15.75" hidden="1" thickBot="1">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hidden="1">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hidden="1">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75" hidden="1"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5">
      <c r="A37" s="416" t="s">
        <v>1842</v>
      </c>
      <c r="B37" s="1819" t="s">
        <v>3457</v>
      </c>
      <c r="C37" s="1081" t="s">
        <v>0</v>
      </c>
      <c r="D37" s="418"/>
      <c r="E37" s="419">
        <f>车位案例!$T$51</f>
        <v>144090</v>
      </c>
      <c r="F37" s="420"/>
      <c r="G37" s="421">
        <f>车位案例!$R$86</f>
        <v>127418</v>
      </c>
      <c r="H37" s="422"/>
      <c r="I37" s="419">
        <f>车位案例!$Q$148</f>
        <v>138603</v>
      </c>
      <c r="J37" s="422"/>
      <c r="K37" s="545"/>
      <c r="L37" s="2493"/>
      <c r="M37" s="2486"/>
      <c r="N37" s="2486"/>
      <c r="O37" s="2486"/>
      <c r="P37" s="3407" t="str">
        <f>A37</f>
        <v>成交单价</v>
      </c>
      <c r="Q37" s="3407"/>
      <c r="R37" s="3402">
        <f>E37</f>
        <v>144090</v>
      </c>
      <c r="S37" s="3402"/>
      <c r="T37" s="3402">
        <f>G37</f>
        <v>127418</v>
      </c>
      <c r="U37" s="3402"/>
      <c r="V37" s="3402">
        <f>I37</f>
        <v>138603</v>
      </c>
      <c r="W37" s="3402"/>
      <c r="X37" s="385"/>
      <c r="Y37" s="673"/>
      <c r="Z37" s="385"/>
      <c r="AA37" s="385"/>
      <c r="AB37" s="385"/>
      <c r="AC37" s="385"/>
    </row>
    <row r="38" spans="1:29" ht="15.75" thickBot="1">
      <c r="A38" s="423" t="s">
        <v>1843</v>
      </c>
      <c r="B38" s="424" t="str">
        <f>B37</f>
        <v>元/车位</v>
      </c>
      <c r="C38" s="1082">
        <f>R39</f>
        <v>137133</v>
      </c>
      <c r="D38" s="2139" t="s">
        <v>2136</v>
      </c>
      <c r="E38" s="1083">
        <f>R38</f>
        <v>144090</v>
      </c>
      <c r="F38" s="2140"/>
      <c r="G38" s="1082">
        <f>T38</f>
        <v>128705</v>
      </c>
      <c r="H38" s="2140"/>
      <c r="I38" s="1083">
        <f>V38</f>
        <v>138603</v>
      </c>
      <c r="J38" s="2140"/>
      <c r="K38" s="2142">
        <f>F38+H38+J38</f>
        <v>0</v>
      </c>
      <c r="L38" s="2493"/>
      <c r="M38" s="2486"/>
      <c r="N38" s="2486"/>
      <c r="O38" s="2486"/>
      <c r="P38" s="3407" t="str">
        <f>A38</f>
        <v>比较价值（元/平方米）</v>
      </c>
      <c r="Q38" s="3407"/>
      <c r="R38" s="3402">
        <f>IF(F1="售价",ROUND(PRODUCT(R37,AA7:AA36),0),ROUND(PRODUCT(R37,AA7:AA36),1))</f>
        <v>144090</v>
      </c>
      <c r="S38" s="3402"/>
      <c r="T38" s="3402">
        <f>IF(F1="售价",ROUND(PRODUCT(T37,AB7:AB36),0),ROUND(PRODUCT(T37,AB7:AB36),1))</f>
        <v>128705</v>
      </c>
      <c r="U38" s="3402"/>
      <c r="V38" s="3402">
        <f>IF(F1="售价",ROUND(PRODUCT(V37,AC7:AC36),0),ROUND(PRODUCT(V37,AC7:AC36),1))</f>
        <v>138603</v>
      </c>
      <c r="W38" s="3402"/>
      <c r="X38" s="385"/>
      <c r="Y38" s="385"/>
      <c r="Z38" s="385"/>
      <c r="AA38" s="385"/>
      <c r="AB38" s="385"/>
      <c r="AC38" s="385"/>
    </row>
    <row r="39" spans="1:29" ht="15.75" thickBot="1">
      <c r="A39" s="427" t="s">
        <v>1844</v>
      </c>
      <c r="B39" s="428"/>
      <c r="C39" s="351">
        <f>R39</f>
        <v>137133</v>
      </c>
      <c r="D39" s="351"/>
      <c r="E39" s="351"/>
      <c r="F39" s="351"/>
      <c r="G39" s="351"/>
      <c r="H39" s="351"/>
      <c r="I39" s="351"/>
      <c r="J39" s="351"/>
      <c r="K39" s="546"/>
      <c r="L39" s="2493"/>
      <c r="M39" s="2486"/>
      <c r="N39" s="2486"/>
      <c r="O39" s="2486"/>
      <c r="P39" s="3404" t="str">
        <f>A39</f>
        <v>估价对象XX用房的比较价值（楼面单价，元/平方米）</v>
      </c>
      <c r="Q39" s="3405"/>
      <c r="R39" s="3435">
        <f>IF(F1="售价",ROUND(IF(D38="简单平均",AVERAGE(R38:W38),R38*F38+T38*H38+V38*J38),0),ROUND(IF(D38="简单平均",AVERAGE(R38:V38),R38*F38+T38*H38+V38*J38),1))</f>
        <v>137133</v>
      </c>
      <c r="S39" s="3435"/>
      <c r="T39" s="3435"/>
      <c r="U39" s="3435"/>
      <c r="V39" s="3435"/>
      <c r="W39" s="343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1845</v>
      </c>
      <c r="D42" s="433"/>
      <c r="E42" s="434">
        <f>IF(E37&lt;E38,E38/E37-1,E37/E38-1)</f>
        <v>0</v>
      </c>
      <c r="F42" s="435" t="str">
        <f>IF(OR(E42&gt;=0.3,E42&lt;=-0.3),"超过30%","")</f>
        <v/>
      </c>
      <c r="G42" s="434">
        <f>IF(G37&lt;G38,G38/G37-1,G37/G38-1)</f>
        <v>1.0100613728044605E-2</v>
      </c>
      <c r="H42" s="435" t="str">
        <f>IF(OR(G42&gt;=0.3,G42&lt;=-0.3),"超过30%","")</f>
        <v/>
      </c>
      <c r="I42" s="434">
        <f>IF(I37&lt;I38,I38/I37-1,I37/I38-1)</f>
        <v>0</v>
      </c>
      <c r="J42" s="435" t="str">
        <f>IF(OR(I42&gt;=0.3,I42&lt;=-0.3),"超过30%","")</f>
        <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1846</v>
      </c>
      <c r="D43" s="436"/>
      <c r="E43" s="434">
        <f>IF(E38&lt;G38,G38/E38-1,E38/G38-1)</f>
        <v>0.11953692552736883</v>
      </c>
      <c r="F43" s="435" t="str">
        <f>IF(OR(E43&gt;=0.2,E43&lt;=-0.2),"超过20%","")</f>
        <v/>
      </c>
      <c r="G43" s="434">
        <f>IF(G38&lt;I38,I38/G38-1,G38/I38-1)</f>
        <v>7.6904549162814195E-2</v>
      </c>
      <c r="H43" s="435" t="str">
        <f>IF(OR(G43&gt;=0.2,G43&lt;=-0.2),"超过20%","")</f>
        <v/>
      </c>
      <c r="I43" s="434">
        <f>IF(I38&lt;E38,E38/I38-1,I38/E38-1)</f>
        <v>3.9587887708058211E-2</v>
      </c>
      <c r="J43" s="435" t="str">
        <f>IF(OR(I43&gt;=0.2,I43&lt;=-0.2),"超过20%","")</f>
        <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1847</v>
      </c>
      <c r="D44" s="436"/>
      <c r="E44" s="434">
        <f>IF(E37&lt;G37,G37/E37-1,E37/G37-1)</f>
        <v>0.13084493556640342</v>
      </c>
      <c r="F44" s="435" t="str">
        <f>IF(OR(E44&gt;=0.3,E44&lt;=-0.3),"超过30%","")</f>
        <v/>
      </c>
      <c r="G44" s="434">
        <f>IF(G37&lt;I37,I37/G37-1,G37/I37-1)</f>
        <v>8.7781946035881964E-2</v>
      </c>
      <c r="H44" s="435" t="str">
        <f>IF(OR(G44&gt;=0.3,G44&lt;=-0.3),"超过30%","")</f>
        <v/>
      </c>
      <c r="I44" s="434">
        <f>IF(I37&lt;E37,E37/I37-1,I37/E37-1)</f>
        <v>3.9587887708058211E-2</v>
      </c>
      <c r="J44" s="435" t="str">
        <f>IF(OR(I44&gt;=0.3,I44&lt;=-0.3),"超过30%","")</f>
        <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1848</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1849</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v>100</v>
      </c>
      <c r="E49" s="446">
        <v>100</v>
      </c>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1714</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1679</v>
      </c>
      <c r="B51" s="444"/>
      <c r="C51" s="456" t="s">
        <v>1774</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1717</v>
      </c>
      <c r="B53" s="460" t="s">
        <v>1683</v>
      </c>
      <c r="C53" s="461" t="str">
        <f>C9</f>
        <v>车位</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1686</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97</v>
      </c>
      <c r="E64" s="475">
        <f>D64-$K14</f>
        <v>94</v>
      </c>
      <c r="F64" s="475">
        <f>E64-$K14</f>
        <v>91</v>
      </c>
      <c r="G64" s="475">
        <f>F64-$K14</f>
        <v>88</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1725</v>
      </c>
      <c r="C65" s="509" t="s">
        <v>1719</v>
      </c>
      <c r="D65" s="509" t="s">
        <v>1720</v>
      </c>
      <c r="E65" s="509" t="s">
        <v>1721</v>
      </c>
      <c r="F65" s="509" t="s">
        <v>1722</v>
      </c>
      <c r="G65" s="509" t="s">
        <v>1723</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97</v>
      </c>
      <c r="E66" s="475">
        <f>D66-$K16</f>
        <v>94</v>
      </c>
      <c r="F66" s="475">
        <f>E66-$K16</f>
        <v>91</v>
      </c>
      <c r="G66" s="475">
        <f>F66-$K16</f>
        <v>88</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1811</v>
      </c>
      <c r="C67" s="581" t="s">
        <v>1797</v>
      </c>
      <c r="D67" s="581" t="s">
        <v>1798</v>
      </c>
      <c r="E67" s="581" t="s">
        <v>1799</v>
      </c>
      <c r="F67" s="581" t="s">
        <v>1800</v>
      </c>
      <c r="G67" s="581" t="s">
        <v>1801</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98</v>
      </c>
      <c r="E68" s="475">
        <f>D68-$K18</f>
        <v>96</v>
      </c>
      <c r="F68" s="475">
        <f>E68-$K18</f>
        <v>94</v>
      </c>
      <c r="G68" s="475">
        <f>F68-$K18</f>
        <v>92</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1731</v>
      </c>
      <c r="C69" s="509" t="s">
        <v>1719</v>
      </c>
      <c r="D69" s="509" t="s">
        <v>1720</v>
      </c>
      <c r="E69" s="509" t="s">
        <v>1721</v>
      </c>
      <c r="F69" s="509" t="s">
        <v>1722</v>
      </c>
      <c r="G69" s="509" t="s">
        <v>1723</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97</v>
      </c>
      <c r="E70" s="475">
        <f>D70-$K20</f>
        <v>94</v>
      </c>
      <c r="F70" s="475">
        <f>E70-$K20</f>
        <v>91</v>
      </c>
      <c r="G70" s="475">
        <f>F70-$K20</f>
        <v>88</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1850</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1692</v>
      </c>
      <c r="B79" s="460" t="s">
        <v>1851</v>
      </c>
      <c r="C79" s="461" t="str">
        <f>C26</f>
        <v>住宅</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95</v>
      </c>
      <c r="E80" s="475">
        <f t="shared" si="17"/>
        <v>90</v>
      </c>
      <c r="F80" s="475">
        <f t="shared" si="17"/>
        <v>85</v>
      </c>
      <c r="G80" s="475">
        <f t="shared" si="17"/>
        <v>80</v>
      </c>
      <c r="H80" s="475">
        <f t="shared" si="17"/>
        <v>75</v>
      </c>
      <c r="I80" s="475">
        <f t="shared" si="17"/>
        <v>70</v>
      </c>
      <c r="J80" s="475">
        <f t="shared" si="17"/>
        <v>65</v>
      </c>
      <c r="K80" s="475">
        <f t="shared" si="17"/>
        <v>60</v>
      </c>
      <c r="L80" s="475">
        <f t="shared" si="17"/>
        <v>55</v>
      </c>
      <c r="M80" s="476">
        <f t="shared" si="17"/>
        <v>50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1852</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1738</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1854</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1855</v>
      </c>
      <c r="C90" s="509" t="str">
        <f>C91&amp;"(含)"&amp;"-"&amp;D91</f>
        <v>0(含)-30</v>
      </c>
      <c r="D90" s="509" t="str">
        <f t="shared" ref="D90:L90" si="21">D91&amp;"(含)"&amp;"-"&amp;E91</f>
        <v>30(含)-40</v>
      </c>
      <c r="E90" s="509" t="str">
        <f t="shared" si="21"/>
        <v>40(含)-50</v>
      </c>
      <c r="F90" s="509" t="str">
        <f t="shared" si="21"/>
        <v>50(含)-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v>0</v>
      </c>
      <c r="D91" s="6">
        <v>30</v>
      </c>
      <c r="E91" s="6">
        <v>40</v>
      </c>
      <c r="F91" s="6">
        <v>50</v>
      </c>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v>100</v>
      </c>
      <c r="D92" s="467">
        <v>101</v>
      </c>
      <c r="E92" s="467">
        <v>102</v>
      </c>
      <c r="F92" s="467">
        <v>103</v>
      </c>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1856</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1857</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C115-F6DC-4540-8452-BFDA59AAE52D}">
  <dimension ref="P51:T149"/>
  <sheetViews>
    <sheetView topLeftCell="A106" zoomScale="60" zoomScaleNormal="60" workbookViewId="0">
      <selection activeCell="S139" sqref="S139"/>
    </sheetView>
  </sheetViews>
  <sheetFormatPr defaultRowHeight="13.5"/>
  <sheetData>
    <row r="51" spans="19:20">
      <c r="S51" s="1405" t="s">
        <v>3464</v>
      </c>
      <c r="T51">
        <f>ROUND(907.77/63*10000,0)</f>
        <v>144090</v>
      </c>
    </row>
    <row r="52" spans="19:20">
      <c r="S52" s="1405" t="s">
        <v>3380</v>
      </c>
      <c r="T52">
        <f>ROUND(1994/63,2)</f>
        <v>31.65</v>
      </c>
    </row>
    <row r="86" spans="17:18">
      <c r="Q86" s="1405" t="s">
        <v>3464</v>
      </c>
      <c r="R86">
        <f>ROUND(930.15/73*10000,0)</f>
        <v>127418</v>
      </c>
    </row>
    <row r="87" spans="17:18">
      <c r="Q87" s="1405" t="s">
        <v>3380</v>
      </c>
      <c r="R87">
        <f>ROUND(2159/73,2)</f>
        <v>29.58</v>
      </c>
    </row>
    <row r="148" spans="16:17">
      <c r="P148" s="1405" t="s">
        <v>3464</v>
      </c>
      <c r="Q148">
        <f>ROUND(984.08/71*10000,0)</f>
        <v>138603</v>
      </c>
    </row>
    <row r="149" spans="16:17">
      <c r="P149" s="1405" t="s">
        <v>3380</v>
      </c>
      <c r="Q149">
        <f>ROUND(2610/71,2)</f>
        <v>36.76</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3323</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1767</v>
      </c>
      <c r="B4" s="346"/>
      <c r="C4" s="3390" t="s">
        <v>1768</v>
      </c>
      <c r="D4" s="3391"/>
      <c r="E4" s="3392" t="s">
        <v>1769</v>
      </c>
      <c r="F4" s="3393"/>
      <c r="G4" s="3390" t="s">
        <v>1770</v>
      </c>
      <c r="H4" s="3391"/>
      <c r="I4" s="3390" t="s">
        <v>1771</v>
      </c>
      <c r="J4" s="3391"/>
      <c r="K4" s="537" t="s">
        <v>1772</v>
      </c>
      <c r="L4" s="2485"/>
      <c r="M4" s="2486"/>
      <c r="N4" s="2486"/>
      <c r="O4" s="2486"/>
      <c r="P4" s="3394" t="s">
        <v>1773</v>
      </c>
      <c r="Q4" s="3395"/>
      <c r="R4" s="3379" t="s">
        <v>1769</v>
      </c>
      <c r="S4" s="3380"/>
      <c r="T4" s="3379" t="s">
        <v>1770</v>
      </c>
      <c r="U4" s="3380"/>
      <c r="V4" s="3402" t="s">
        <v>1771</v>
      </c>
      <c r="W4" s="3402"/>
      <c r="X4" s="1265"/>
      <c r="Y4" s="3379" t="s">
        <v>1773</v>
      </c>
      <c r="Z4" s="3380"/>
      <c r="AA4" s="3374" t="s">
        <v>1769</v>
      </c>
      <c r="AB4" s="3375" t="s">
        <v>1770</v>
      </c>
      <c r="AC4" s="3374" t="s">
        <v>1771</v>
      </c>
    </row>
    <row r="5" spans="1:29" ht="15">
      <c r="A5" s="348"/>
      <c r="B5" s="349"/>
      <c r="C5" s="3383" t="s">
        <v>1671</v>
      </c>
      <c r="D5" s="3384"/>
      <c r="E5" s="3417" t="s">
        <v>1672</v>
      </c>
      <c r="F5" s="3418"/>
      <c r="G5" s="3383" t="s">
        <v>1673</v>
      </c>
      <c r="H5" s="3384"/>
      <c r="I5" s="3383" t="s">
        <v>1674</v>
      </c>
      <c r="J5" s="3384"/>
      <c r="K5" s="537"/>
      <c r="L5" s="2485"/>
      <c r="M5" s="2486"/>
      <c r="N5" s="2486"/>
      <c r="O5" s="2486"/>
      <c r="P5" s="3396"/>
      <c r="Q5" s="3397"/>
      <c r="R5" s="3381"/>
      <c r="S5" s="3382"/>
      <c r="T5" s="3381"/>
      <c r="U5" s="3382"/>
      <c r="V5" s="3402"/>
      <c r="W5" s="3402"/>
      <c r="X5" s="1265"/>
      <c r="Y5" s="3381"/>
      <c r="Z5" s="3382"/>
      <c r="AA5" s="3375"/>
      <c r="AB5" s="3375"/>
      <c r="AC5" s="3375"/>
    </row>
    <row r="6" spans="1:29" ht="15.75" thickBot="1">
      <c r="A6" s="350"/>
      <c r="B6" s="351"/>
      <c r="C6" s="3385" t="s">
        <v>1675</v>
      </c>
      <c r="D6" s="3386"/>
      <c r="E6" s="3387" t="s">
        <v>1675</v>
      </c>
      <c r="F6" s="3388"/>
      <c r="G6" s="3385" t="s">
        <v>1675</v>
      </c>
      <c r="H6" s="3386"/>
      <c r="I6" s="3385" t="s">
        <v>1675</v>
      </c>
      <c r="J6" s="3386"/>
      <c r="K6" s="537" t="s">
        <v>1676</v>
      </c>
      <c r="L6" s="2485"/>
      <c r="M6" s="2486"/>
      <c r="N6" s="2486"/>
      <c r="O6" s="2486"/>
      <c r="P6" s="3398"/>
      <c r="Q6" s="3399"/>
      <c r="R6" s="3381"/>
      <c r="S6" s="3382"/>
      <c r="T6" s="3400"/>
      <c r="U6" s="3401"/>
      <c r="V6" s="3402"/>
      <c r="W6" s="3402"/>
      <c r="X6" s="1265"/>
      <c r="Y6" s="3400"/>
      <c r="Z6" s="3401"/>
      <c r="AA6" s="3376"/>
      <c r="AB6" s="3376"/>
      <c r="AC6" s="3376"/>
    </row>
    <row r="7" spans="1:29" s="102" customFormat="1" ht="15.75" thickBot="1">
      <c r="A7" s="352" t="s">
        <v>1677</v>
      </c>
      <c r="B7" s="353"/>
      <c r="C7" s="354">
        <f>'数据-取费表'!B2</f>
        <v>45741</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77" t="s">
        <v>1678</v>
      </c>
      <c r="Q7" s="3403"/>
      <c r="R7" s="664" t="s">
        <v>14</v>
      </c>
      <c r="S7" s="665">
        <f t="shared" ref="S7:S14" si="0">F7</f>
        <v>0</v>
      </c>
      <c r="T7" s="664" t="s">
        <v>14</v>
      </c>
      <c r="U7" s="665">
        <f t="shared" ref="U7:U14" si="1">H7</f>
        <v>0</v>
      </c>
      <c r="V7" s="664" t="s">
        <v>14</v>
      </c>
      <c r="W7" s="665">
        <f t="shared" ref="W7:W14" si="2">J7</f>
        <v>0</v>
      </c>
      <c r="X7" s="666"/>
      <c r="Y7" s="3377" t="s">
        <v>1678</v>
      </c>
      <c r="Z7" s="3378"/>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77" t="s">
        <v>1681</v>
      </c>
      <c r="Q8" s="3378"/>
      <c r="R8" s="664" t="s">
        <v>14</v>
      </c>
      <c r="S8" s="665">
        <f t="shared" si="0"/>
        <v>100</v>
      </c>
      <c r="T8" s="664" t="s">
        <v>14</v>
      </c>
      <c r="U8" s="665">
        <f t="shared" si="1"/>
        <v>100</v>
      </c>
      <c r="V8" s="664" t="s">
        <v>14</v>
      </c>
      <c r="W8" s="665">
        <f t="shared" si="2"/>
        <v>100</v>
      </c>
      <c r="X8" s="666"/>
      <c r="Y8" s="3377" t="s">
        <v>1681</v>
      </c>
      <c r="Z8" s="3378"/>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07" t="s">
        <v>1684</v>
      </c>
      <c r="Q9" s="530" t="str">
        <f t="shared" ref="Q9:Q14" si="6">B9</f>
        <v>用途</v>
      </c>
      <c r="R9" s="664" t="s">
        <v>14</v>
      </c>
      <c r="S9" s="665">
        <f t="shared" si="0"/>
        <v>100</v>
      </c>
      <c r="T9" s="664" t="s">
        <v>14</v>
      </c>
      <c r="U9" s="665">
        <f t="shared" si="1"/>
        <v>100</v>
      </c>
      <c r="V9" s="664" t="s">
        <v>14</v>
      </c>
      <c r="W9" s="665">
        <f t="shared" si="2"/>
        <v>100</v>
      </c>
      <c r="X9" s="666"/>
      <c r="Y9" s="3321" t="s">
        <v>1685</v>
      </c>
      <c r="Z9" s="50" t="str">
        <f t="shared" ref="Z9:Z14" si="7">Q9</f>
        <v>用途</v>
      </c>
      <c r="AA9" s="50">
        <f t="shared" si="3"/>
        <v>1</v>
      </c>
      <c r="AB9" s="50">
        <f t="shared" si="4"/>
        <v>1</v>
      </c>
      <c r="AC9" s="50">
        <f t="shared" si="5"/>
        <v>1</v>
      </c>
    </row>
    <row r="10" spans="1:29" s="366" customFormat="1" ht="27">
      <c r="A10" s="363"/>
      <c r="B10" s="364" t="s">
        <v>1686</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7"/>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7"/>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07"/>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07"/>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
      <c r="A14" s="379" t="s">
        <v>1688</v>
      </c>
      <c r="B14" s="58" t="s">
        <v>1831</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8" t="s">
        <v>1689</v>
      </c>
      <c r="Q14" s="1263" t="str">
        <f t="shared" si="6"/>
        <v>交通便捷度</v>
      </c>
      <c r="R14" s="667" t="s">
        <v>14</v>
      </c>
      <c r="S14" s="668">
        <f t="shared" si="0"/>
        <v>100</v>
      </c>
      <c r="T14" s="667" t="s">
        <v>14</v>
      </c>
      <c r="U14" s="668">
        <f t="shared" si="1"/>
        <v>100</v>
      </c>
      <c r="V14" s="667" t="s">
        <v>14</v>
      </c>
      <c r="W14" s="668">
        <f t="shared" si="2"/>
        <v>100</v>
      </c>
      <c r="X14" s="1265"/>
      <c r="Y14" s="340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9"/>
      <c r="Q15" s="1263"/>
      <c r="R15" s="667"/>
      <c r="S15" s="668"/>
      <c r="T15" s="667"/>
      <c r="U15" s="668"/>
      <c r="V15" s="667"/>
      <c r="W15" s="668"/>
      <c r="X15" s="1265"/>
      <c r="Y15" s="3409"/>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9"/>
      <c r="Q17" s="1263"/>
      <c r="R17" s="667"/>
      <c r="S17" s="668"/>
      <c r="T17" s="667"/>
      <c r="U17" s="668"/>
      <c r="V17" s="667"/>
      <c r="W17" s="668"/>
      <c r="X17" s="1265"/>
      <c r="Y17" s="3409"/>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9"/>
      <c r="Q19" s="1263"/>
      <c r="R19" s="667"/>
      <c r="S19" s="668"/>
      <c r="T19" s="667"/>
      <c r="U19" s="668"/>
      <c r="V19" s="667"/>
      <c r="W19" s="668"/>
      <c r="X19" s="1265"/>
      <c r="Y19" s="3409"/>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9"/>
      <c r="Q21" s="1263"/>
      <c r="R21" s="667"/>
      <c r="S21" s="668"/>
      <c r="T21" s="667"/>
      <c r="U21" s="668"/>
      <c r="V21" s="667"/>
      <c r="W21" s="668"/>
      <c r="X21" s="1265"/>
      <c r="Y21" s="340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4"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3" t="s">
        <v>1694</v>
      </c>
      <c r="Q32" s="1263">
        <f t="shared" si="11"/>
        <v>111</v>
      </c>
      <c r="R32" s="667" t="s">
        <v>14</v>
      </c>
      <c r="S32" s="668">
        <f t="shared" si="12"/>
        <v>100</v>
      </c>
      <c r="T32" s="667" t="s">
        <v>14</v>
      </c>
      <c r="U32" s="668">
        <f t="shared" si="13"/>
        <v>100</v>
      </c>
      <c r="V32" s="667" t="s">
        <v>14</v>
      </c>
      <c r="W32" s="668">
        <f t="shared" si="14"/>
        <v>100</v>
      </c>
      <c r="X32" s="1265"/>
      <c r="Y32" s="341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3"/>
      <c r="M35" s="2486"/>
      <c r="N35" s="2486"/>
      <c r="O35" s="2486"/>
      <c r="P35" s="3407" t="str">
        <f>A35</f>
        <v>成交单价（元/平方米）</v>
      </c>
      <c r="Q35" s="3407"/>
      <c r="R35" s="3402">
        <f>E35</f>
        <v>0</v>
      </c>
      <c r="S35" s="3402"/>
      <c r="T35" s="3402">
        <f>G35</f>
        <v>0</v>
      </c>
      <c r="U35" s="3402"/>
      <c r="V35" s="3402">
        <f>I35</f>
        <v>0</v>
      </c>
      <c r="W35" s="3402"/>
      <c r="X35" s="385"/>
      <c r="Y35" s="673"/>
      <c r="Z35" s="385"/>
      <c r="AA35" s="385"/>
      <c r="AB35" s="385"/>
      <c r="AC35" s="385"/>
    </row>
    <row r="36" spans="1:30" ht="15.75" thickBot="1">
      <c r="A36" s="423" t="s">
        <v>1791</v>
      </c>
      <c r="B36" s="424"/>
      <c r="C36" s="1082" t="e">
        <f>R37</f>
        <v>#DIV/0!</v>
      </c>
      <c r="D36" s="2139" t="s">
        <v>2136</v>
      </c>
      <c r="E36" s="1083" t="e">
        <f>R36</f>
        <v>#DIV/0!</v>
      </c>
      <c r="F36" s="2140"/>
      <c r="G36" s="1082" t="e">
        <f>T36</f>
        <v>#DIV/0!</v>
      </c>
      <c r="H36" s="2140"/>
      <c r="I36" s="1083" t="e">
        <f>V36</f>
        <v>#DIV/0!</v>
      </c>
      <c r="J36" s="2140"/>
      <c r="K36" s="2142">
        <f>F36+H36+J36</f>
        <v>0</v>
      </c>
      <c r="L36" s="2493"/>
      <c r="M36" s="2486"/>
      <c r="N36" s="2486"/>
      <c r="O36" s="2486"/>
      <c r="P36" s="3407" t="str">
        <f>A36</f>
        <v>比较价值（元/平方米）</v>
      </c>
      <c r="Q36" s="340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3"/>
      <c r="M37" s="2486"/>
      <c r="N37" s="2486"/>
      <c r="O37" s="2486"/>
      <c r="P37" s="3404" t="str">
        <f>A37</f>
        <v>估价对象XX用房的比较价值（楼面单价，元/平方米）</v>
      </c>
      <c r="Q37" s="340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1796</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1677</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1714</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1679</v>
      </c>
      <c r="B49" s="444"/>
      <c r="C49" s="456" t="s">
        <v>1774</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1717</v>
      </c>
      <c r="B51" s="460" t="s">
        <v>1683</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1686</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1861</v>
      </c>
      <c r="C63" s="509" t="s">
        <v>1719</v>
      </c>
      <c r="D63" s="509" t="s">
        <v>1720</v>
      </c>
      <c r="E63" s="509" t="s">
        <v>1721</v>
      </c>
      <c r="F63" s="509" t="s">
        <v>1722</v>
      </c>
      <c r="G63" s="509" t="s">
        <v>1723</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1811</v>
      </c>
      <c r="C65" s="581" t="s">
        <v>1797</v>
      </c>
      <c r="D65" s="581" t="s">
        <v>1798</v>
      </c>
      <c r="E65" s="581" t="s">
        <v>1799</v>
      </c>
      <c r="F65" s="581" t="s">
        <v>1800</v>
      </c>
      <c r="G65" s="581" t="s">
        <v>1801</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1731</v>
      </c>
      <c r="C67" s="509" t="s">
        <v>1719</v>
      </c>
      <c r="D67" s="509" t="s">
        <v>1720</v>
      </c>
      <c r="E67" s="509" t="s">
        <v>1721</v>
      </c>
      <c r="F67" s="509" t="s">
        <v>1722</v>
      </c>
      <c r="G67" s="509" t="s">
        <v>1723</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1850</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1692</v>
      </c>
      <c r="B77" s="460" t="s">
        <v>1738</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1854</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1862</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1864</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1767</v>
      </c>
      <c r="B4" s="346"/>
      <c r="C4" s="3390" t="s">
        <v>1768</v>
      </c>
      <c r="D4" s="3391"/>
      <c r="E4" s="3392" t="s">
        <v>1769</v>
      </c>
      <c r="F4" s="3393"/>
      <c r="G4" s="3390" t="s">
        <v>1770</v>
      </c>
      <c r="H4" s="3391"/>
      <c r="I4" s="3390" t="s">
        <v>1771</v>
      </c>
      <c r="J4" s="3391"/>
      <c r="K4" s="537" t="s">
        <v>1772</v>
      </c>
      <c r="L4" s="2485"/>
      <c r="M4" s="2486"/>
      <c r="N4" s="2486"/>
      <c r="O4" s="2486"/>
      <c r="P4" s="3394" t="s">
        <v>1773</v>
      </c>
      <c r="Q4" s="3395"/>
      <c r="R4" s="3379" t="s">
        <v>1769</v>
      </c>
      <c r="S4" s="3380"/>
      <c r="T4" s="3379" t="s">
        <v>1770</v>
      </c>
      <c r="U4" s="3380"/>
      <c r="V4" s="3402" t="s">
        <v>1771</v>
      </c>
      <c r="W4" s="3402"/>
      <c r="X4" s="1265"/>
      <c r="Y4" s="3379" t="s">
        <v>1773</v>
      </c>
      <c r="Z4" s="3380"/>
      <c r="AA4" s="3374" t="s">
        <v>1769</v>
      </c>
      <c r="AB4" s="3375" t="s">
        <v>1770</v>
      </c>
      <c r="AC4" s="3374" t="s">
        <v>1771</v>
      </c>
    </row>
    <row r="5" spans="1:29" ht="15">
      <c r="A5" s="348"/>
      <c r="B5" s="349"/>
      <c r="C5" s="3383" t="s">
        <v>1671</v>
      </c>
      <c r="D5" s="3384"/>
      <c r="E5" s="3417" t="s">
        <v>1672</v>
      </c>
      <c r="F5" s="3418"/>
      <c r="G5" s="3383" t="s">
        <v>1673</v>
      </c>
      <c r="H5" s="3384"/>
      <c r="I5" s="3383" t="s">
        <v>1674</v>
      </c>
      <c r="J5" s="3384"/>
      <c r="K5" s="537"/>
      <c r="L5" s="2485"/>
      <c r="M5" s="2486"/>
      <c r="N5" s="2486"/>
      <c r="O5" s="2486"/>
      <c r="P5" s="3396"/>
      <c r="Q5" s="3397"/>
      <c r="R5" s="3381"/>
      <c r="S5" s="3382"/>
      <c r="T5" s="3381"/>
      <c r="U5" s="3382"/>
      <c r="V5" s="3402"/>
      <c r="W5" s="3402"/>
      <c r="X5" s="1265"/>
      <c r="Y5" s="3381"/>
      <c r="Z5" s="3382"/>
      <c r="AA5" s="3375"/>
      <c r="AB5" s="3375"/>
      <c r="AC5" s="3375"/>
    </row>
    <row r="6" spans="1:29" ht="15.75" thickBot="1">
      <c r="A6" s="350"/>
      <c r="B6" s="351"/>
      <c r="C6" s="3385" t="s">
        <v>1675</v>
      </c>
      <c r="D6" s="3386"/>
      <c r="E6" s="3387" t="s">
        <v>1675</v>
      </c>
      <c r="F6" s="3388"/>
      <c r="G6" s="3385" t="s">
        <v>1675</v>
      </c>
      <c r="H6" s="3386"/>
      <c r="I6" s="3385" t="s">
        <v>1675</v>
      </c>
      <c r="J6" s="3386"/>
      <c r="K6" s="537" t="s">
        <v>1676</v>
      </c>
      <c r="L6" s="2485"/>
      <c r="M6" s="2486"/>
      <c r="N6" s="2486"/>
      <c r="O6" s="2486"/>
      <c r="P6" s="3398"/>
      <c r="Q6" s="3399"/>
      <c r="R6" s="3381"/>
      <c r="S6" s="3382"/>
      <c r="T6" s="3400"/>
      <c r="U6" s="3401"/>
      <c r="V6" s="3402"/>
      <c r="W6" s="3402"/>
      <c r="X6" s="1265"/>
      <c r="Y6" s="3400"/>
      <c r="Z6" s="3401"/>
      <c r="AA6" s="3376"/>
      <c r="AB6" s="3376"/>
      <c r="AC6" s="3376"/>
    </row>
    <row r="7" spans="1:29" s="102" customFormat="1" ht="15.75" thickBot="1">
      <c r="A7" s="352" t="s">
        <v>1677</v>
      </c>
      <c r="B7" s="353"/>
      <c r="C7" s="354">
        <f>'数据-取费表'!B2</f>
        <v>45741</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77" t="s">
        <v>1678</v>
      </c>
      <c r="Q7" s="3403"/>
      <c r="R7" s="664" t="s">
        <v>14</v>
      </c>
      <c r="S7" s="665">
        <f t="shared" ref="S7:S15" si="0">F7</f>
        <v>0</v>
      </c>
      <c r="T7" s="664" t="s">
        <v>14</v>
      </c>
      <c r="U7" s="665">
        <f t="shared" ref="U7:U15" si="1">H7</f>
        <v>0</v>
      </c>
      <c r="V7" s="664" t="s">
        <v>14</v>
      </c>
      <c r="W7" s="665">
        <f t="shared" ref="W7:W15" si="2">J7</f>
        <v>0</v>
      </c>
      <c r="X7" s="666"/>
      <c r="Y7" s="3377" t="s">
        <v>1678</v>
      </c>
      <c r="Z7" s="3378"/>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77" t="s">
        <v>1681</v>
      </c>
      <c r="Q8" s="3378"/>
      <c r="R8" s="664" t="s">
        <v>14</v>
      </c>
      <c r="S8" s="665">
        <f t="shared" si="0"/>
        <v>0</v>
      </c>
      <c r="T8" s="664" t="s">
        <v>14</v>
      </c>
      <c r="U8" s="665">
        <f t="shared" si="1"/>
        <v>0</v>
      </c>
      <c r="V8" s="664" t="s">
        <v>14</v>
      </c>
      <c r="W8" s="665">
        <f t="shared" si="2"/>
        <v>0</v>
      </c>
      <c r="X8" s="666"/>
      <c r="Y8" s="3377" t="s">
        <v>1681</v>
      </c>
      <c r="Z8" s="3378"/>
      <c r="AA8" s="50" t="e">
        <f t="shared" ref="AA8:AA45" si="3">D8/F8</f>
        <v>#DIV/0!</v>
      </c>
      <c r="AB8" s="50" t="e">
        <f t="shared" ref="AB8:AB45" si="4">D8/H8</f>
        <v>#DIV/0!</v>
      </c>
      <c r="AC8" s="50" t="e">
        <f t="shared" ref="AC8:AC45" si="5">D8/J8</f>
        <v>#DIV/0!</v>
      </c>
    </row>
    <row r="9" spans="1:29" s="102" customFormat="1">
      <c r="A9" s="359" t="s">
        <v>1682</v>
      </c>
      <c r="B9" s="60" t="s">
        <v>1683</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07" t="s">
        <v>1684</v>
      </c>
      <c r="Q9" s="530" t="str">
        <f t="shared" ref="Q9:Q15" si="6">B9</f>
        <v>用途</v>
      </c>
      <c r="R9" s="664" t="s">
        <v>14</v>
      </c>
      <c r="S9" s="665">
        <f t="shared" si="0"/>
        <v>100</v>
      </c>
      <c r="T9" s="664" t="s">
        <v>14</v>
      </c>
      <c r="U9" s="665">
        <f t="shared" si="1"/>
        <v>100</v>
      </c>
      <c r="V9" s="664" t="s">
        <v>14</v>
      </c>
      <c r="W9" s="665">
        <f t="shared" si="2"/>
        <v>100</v>
      </c>
      <c r="X9" s="666"/>
      <c r="Y9" s="332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100</v>
      </c>
      <c r="G10" s="402"/>
      <c r="H10" s="119">
        <f>ROUND(100/'数据-取费表'!G16,0)</f>
        <v>100</v>
      </c>
      <c r="I10" s="402"/>
      <c r="J10" s="119">
        <f>ROUND(100/'数据-取费表'!G16,0)</f>
        <v>100</v>
      </c>
      <c r="K10" s="592"/>
      <c r="L10" s="2488"/>
      <c r="M10" s="2489"/>
      <c r="N10" s="2489"/>
      <c r="O10" s="2540"/>
      <c r="P10" s="3407"/>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7"/>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07"/>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7"/>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7"/>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15">
      <c r="A15" s="379" t="s">
        <v>1688</v>
      </c>
      <c r="B15" s="58" t="s">
        <v>1255</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8" t="s">
        <v>1689</v>
      </c>
      <c r="Q15" s="1263" t="str">
        <f t="shared" si="6"/>
        <v>居住社区成熟度</v>
      </c>
      <c r="R15" s="667" t="s">
        <v>14</v>
      </c>
      <c r="S15" s="668">
        <f t="shared" si="0"/>
        <v>100</v>
      </c>
      <c r="T15" s="667" t="s">
        <v>14</v>
      </c>
      <c r="U15" s="668">
        <f t="shared" si="1"/>
        <v>100</v>
      </c>
      <c r="V15" s="667" t="s">
        <v>14</v>
      </c>
      <c r="W15" s="668">
        <f t="shared" si="2"/>
        <v>100</v>
      </c>
      <c r="X15" s="1265"/>
      <c r="Y15" s="340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15">
      <c r="A17" s="367"/>
      <c r="B17" s="390" t="s">
        <v>1775</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15">
      <c r="A19" s="367"/>
      <c r="B19" s="390" t="s">
        <v>1809</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9"/>
      <c r="Q20" s="1263"/>
      <c r="R20" s="667"/>
      <c r="S20" s="668"/>
      <c r="T20" s="667"/>
      <c r="U20" s="668"/>
      <c r="V20" s="667"/>
      <c r="W20" s="668"/>
      <c r="X20" s="1265"/>
      <c r="Y20" s="3409"/>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9"/>
      <c r="Q24" s="1263"/>
      <c r="R24" s="667"/>
      <c r="S24" s="668"/>
      <c r="T24" s="667"/>
      <c r="U24" s="668"/>
      <c r="V24" s="667"/>
      <c r="W24" s="668"/>
      <c r="X24" s="1265"/>
      <c r="Y24" s="3409"/>
      <c r="Z24" s="1264"/>
      <c r="AA24" s="1264"/>
      <c r="AB24" s="1264"/>
      <c r="AC24" s="1264"/>
    </row>
    <row r="25" spans="1:29" ht="27">
      <c r="A25" s="348"/>
      <c r="B25" s="586" t="s">
        <v>1870</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9"/>
      <c r="Q26" s="1263"/>
      <c r="R26" s="667"/>
      <c r="S26" s="668"/>
      <c r="T26" s="667"/>
      <c r="U26" s="668"/>
      <c r="V26" s="667"/>
      <c r="W26" s="668"/>
      <c r="X26" s="1265"/>
      <c r="Y26" s="3409"/>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409"/>
      <c r="Q28" s="530"/>
      <c r="R28" s="664"/>
      <c r="S28" s="665"/>
      <c r="T28" s="664"/>
      <c r="U28" s="665"/>
      <c r="V28" s="664"/>
      <c r="W28" s="665"/>
      <c r="X28" s="666"/>
      <c r="Y28" s="3409"/>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409"/>
      <c r="Q30" s="530"/>
      <c r="R30" s="664"/>
      <c r="S30" s="665"/>
      <c r="T30" s="664"/>
      <c r="U30" s="665"/>
      <c r="V30" s="664"/>
      <c r="W30" s="665"/>
      <c r="X30" s="666"/>
      <c r="Y30" s="340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9"/>
      <c r="Q33" s="1263"/>
      <c r="R33" s="667"/>
      <c r="S33" s="668"/>
      <c r="T33" s="667"/>
      <c r="U33" s="668"/>
      <c r="V33" s="667"/>
      <c r="W33" s="668"/>
      <c r="X33" s="1265"/>
      <c r="Y33" s="340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4" t="s">
        <v>1694</v>
      </c>
      <c r="Q36" s="1263">
        <f t="shared" si="8"/>
        <v>111</v>
      </c>
      <c r="R36" s="667" t="s">
        <v>14</v>
      </c>
      <c r="S36" s="668">
        <f t="shared" si="10"/>
        <v>100</v>
      </c>
      <c r="T36" s="667" t="s">
        <v>14</v>
      </c>
      <c r="U36" s="668">
        <f t="shared" si="11"/>
        <v>100</v>
      </c>
      <c r="V36" s="667" t="s">
        <v>14</v>
      </c>
      <c r="W36" s="668">
        <f t="shared" si="12"/>
        <v>100</v>
      </c>
      <c r="X36" s="1265"/>
      <c r="Y36" s="341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1875</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3" t="s">
        <v>1694</v>
      </c>
      <c r="Q42" s="1263" t="str">
        <f t="shared" si="14"/>
        <v>工程地质条件</v>
      </c>
      <c r="R42" s="667" t="s">
        <v>14</v>
      </c>
      <c r="S42" s="668">
        <f t="shared" si="10"/>
        <v>100</v>
      </c>
      <c r="T42" s="667" t="s">
        <v>14</v>
      </c>
      <c r="U42" s="668">
        <f t="shared" si="11"/>
        <v>100</v>
      </c>
      <c r="V42" s="667" t="s">
        <v>14</v>
      </c>
      <c r="W42" s="668">
        <f t="shared" si="12"/>
        <v>100</v>
      </c>
      <c r="X42" s="1265"/>
      <c r="Y42" s="341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5">
      <c r="A46" s="416" t="s">
        <v>1842</v>
      </c>
      <c r="B46" s="1828" t="s">
        <v>1877</v>
      </c>
      <c r="C46" s="602" t="s">
        <v>0</v>
      </c>
      <c r="D46" s="418"/>
      <c r="E46" s="419"/>
      <c r="F46" s="420"/>
      <c r="G46" s="421"/>
      <c r="H46" s="422"/>
      <c r="I46" s="419"/>
      <c r="J46" s="422"/>
      <c r="K46" s="674"/>
      <c r="L46" s="2493"/>
      <c r="M46" s="2486"/>
      <c r="N46" s="2486"/>
      <c r="O46" s="2486"/>
      <c r="P46" s="3407" t="str">
        <f>A46</f>
        <v>成交单价</v>
      </c>
      <c r="Q46" s="3407"/>
      <c r="R46" s="3402">
        <f>E46</f>
        <v>0</v>
      </c>
      <c r="S46" s="3402"/>
      <c r="T46" s="3402">
        <f>G46</f>
        <v>0</v>
      </c>
      <c r="U46" s="3402"/>
      <c r="V46" s="3402">
        <f>I46</f>
        <v>0</v>
      </c>
      <c r="W46" s="3402"/>
      <c r="X46" s="385"/>
      <c r="Y46" s="673"/>
      <c r="Z46" s="385"/>
      <c r="AA46" s="385"/>
      <c r="AB46" s="385"/>
      <c r="AC46" s="385"/>
    </row>
    <row r="47" spans="1:29" ht="15.75" thickBot="1">
      <c r="A47" s="423" t="s">
        <v>1791</v>
      </c>
      <c r="B47" s="603"/>
      <c r="C47" s="426" t="e">
        <f>R48</f>
        <v>#DIV/0!</v>
      </c>
      <c r="D47" s="2139" t="s">
        <v>2136</v>
      </c>
      <c r="E47" s="426" t="e">
        <f>R47</f>
        <v>#DIV/0!</v>
      </c>
      <c r="F47" s="2140"/>
      <c r="G47" s="425" t="e">
        <f>T47</f>
        <v>#DIV/0!</v>
      </c>
      <c r="H47" s="2140"/>
      <c r="I47" s="426" t="e">
        <f>V47</f>
        <v>#DIV/0!</v>
      </c>
      <c r="J47" s="2140"/>
      <c r="K47" s="2142">
        <f>F47+H47+J47</f>
        <v>0</v>
      </c>
      <c r="L47" s="2493"/>
      <c r="M47" s="2486"/>
      <c r="N47" s="2486"/>
      <c r="O47" s="2486"/>
      <c r="P47" s="3407" t="str">
        <f>A47</f>
        <v>比较价值（元/平方米）</v>
      </c>
      <c r="Q47" s="340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3"/>
      <c r="M48" s="2486"/>
      <c r="N48" s="2486"/>
      <c r="O48" s="2486"/>
      <c r="P48" s="3404" t="str">
        <f>A48</f>
        <v>估价对象XX用房的比较价值（楼面单价，元/平方米）</v>
      </c>
      <c r="Q48" s="3405"/>
      <c r="R48" s="3437" t="e">
        <f>ROUND(IF(D47="简单平均",AVERAGE(R47:W47),R47*F47+T47*H47+V47*J47),0)</f>
        <v>#DIV/0!</v>
      </c>
      <c r="S48" s="3437"/>
      <c r="T48" s="3437"/>
      <c r="U48" s="3437"/>
      <c r="V48" s="3437"/>
      <c r="W48" s="343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1879</v>
      </c>
      <c r="B55" s="605" t="s">
        <v>1880</v>
      </c>
      <c r="C55" s="1829" t="s">
        <v>1881</v>
      </c>
      <c r="D55" s="1830" t="s">
        <v>1882</v>
      </c>
      <c r="E55" s="606" t="s">
        <v>1883</v>
      </c>
      <c r="F55" s="837" t="s">
        <v>1884</v>
      </c>
      <c r="G55" s="3390" t="s">
        <v>1885</v>
      </c>
      <c r="H55" s="3438"/>
      <c r="I55" s="127" t="s">
        <v>1886</v>
      </c>
      <c r="J55" s="1831">
        <f>项目基本情况!F35</f>
        <v>0</v>
      </c>
      <c r="K55" s="1832" t="s">
        <v>1887</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1888</v>
      </c>
      <c r="B56" s="609" t="e">
        <f>C48</f>
        <v>#DIV/0!</v>
      </c>
      <c r="C56" s="610">
        <v>1</v>
      </c>
      <c r="D56" s="890">
        <v>1</v>
      </c>
      <c r="E56" s="610">
        <f>'数据-汇总表'!E8+'数据-汇总表'!E9</f>
        <v>130018.37</v>
      </c>
      <c r="F56" s="833" t="e">
        <f t="shared" ref="F56:F64" si="15">ROUND(B56*E56/10000,0)</f>
        <v>#DIV/0!</v>
      </c>
      <c r="G56" s="3389"/>
      <c r="H56" s="340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1889</v>
      </c>
      <c r="B57" s="210" t="e">
        <f>ROUND($C$48*C57*D57,0)</f>
        <v>#DIV/0!</v>
      </c>
      <c r="C57" s="163">
        <f t="shared" ref="C57:C64" si="16">IF($C$55="北京市系数",I57,J57)</f>
        <v>0</v>
      </c>
      <c r="D57" s="891">
        <v>0.25</v>
      </c>
      <c r="E57" s="614"/>
      <c r="F57" s="833" t="e">
        <f t="shared" si="15"/>
        <v>#DIV/0!</v>
      </c>
      <c r="G57" s="2749" t="s">
        <v>1890</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1891</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1892</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1893</v>
      </c>
      <c r="B60" s="210" t="e">
        <f t="shared" si="17"/>
        <v>#DIV/0!</v>
      </c>
      <c r="C60" s="163">
        <f t="shared" si="16"/>
        <v>0</v>
      </c>
      <c r="D60" s="891">
        <v>0.25</v>
      </c>
      <c r="E60" s="209">
        <f>'数据-汇总表'!E11</f>
        <v>0</v>
      </c>
      <c r="F60" s="833" t="e">
        <f t="shared" si="15"/>
        <v>#DIV/0!</v>
      </c>
      <c r="G60" s="1833" t="s">
        <v>1894</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1897</v>
      </c>
      <c r="B62" s="210" t="e">
        <f t="shared" si="17"/>
        <v>#DIV/0!</v>
      </c>
      <c r="C62" s="163">
        <f t="shared" si="16"/>
        <v>0</v>
      </c>
      <c r="D62" s="891">
        <v>0.25</v>
      </c>
      <c r="E62" s="209">
        <f>'数据-汇总表'!E13</f>
        <v>25407.46</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1899</v>
      </c>
      <c r="B63" s="210" t="e">
        <f t="shared" si="17"/>
        <v>#DIV/0!</v>
      </c>
      <c r="C63" s="163">
        <f t="shared" si="16"/>
        <v>0</v>
      </c>
      <c r="D63" s="891">
        <v>0.25</v>
      </c>
      <c r="E63" s="209">
        <f>'数据-汇总表'!E14</f>
        <v>0</v>
      </c>
      <c r="F63" s="833" t="e">
        <f t="shared" si="15"/>
        <v>#DIV/0!</v>
      </c>
      <c r="G63" s="1833" t="s">
        <v>1890</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1900</v>
      </c>
      <c r="B64" s="210" t="e">
        <f t="shared" si="17"/>
        <v>#DIV/0!</v>
      </c>
      <c r="C64" s="163">
        <f t="shared" si="16"/>
        <v>0</v>
      </c>
      <c r="D64" s="891">
        <v>0.25</v>
      </c>
      <c r="E64" s="209">
        <f>'数据-汇总表'!E15</f>
        <v>0</v>
      </c>
      <c r="F64" s="833" t="e">
        <f t="shared" si="15"/>
        <v>#DIV/0!</v>
      </c>
      <c r="G64" s="1834" t="s">
        <v>1894</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1901</v>
      </c>
      <c r="B65" s="616" t="s">
        <v>22</v>
      </c>
      <c r="C65" s="616" t="s">
        <v>23</v>
      </c>
      <c r="D65" s="616" t="s">
        <v>392</v>
      </c>
      <c r="E65" s="616">
        <f>IF(B46="楼面地价",SUM(E56:E64),'数据-汇总表'!D3)</f>
        <v>155425.82999999999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1.75" thickBot="1">
      <c r="A68" s="658" t="s">
        <v>1796</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1902</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5"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1714</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1679</v>
      </c>
      <c r="B72" s="444"/>
      <c r="C72" s="456" t="s">
        <v>1774</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1717</v>
      </c>
      <c r="B74" s="460" t="s">
        <v>1683</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1686</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1688</v>
      </c>
      <c r="B87" s="460" t="s">
        <v>1718</v>
      </c>
      <c r="C87" s="504" t="s">
        <v>1719</v>
      </c>
      <c r="D87" s="504" t="s">
        <v>1720</v>
      </c>
      <c r="E87" s="504" t="s">
        <v>1721</v>
      </c>
      <c r="F87" s="504" t="s">
        <v>1722</v>
      </c>
      <c r="G87" s="504" t="s">
        <v>1723</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1904</v>
      </c>
      <c r="C89" s="509" t="s">
        <v>1719</v>
      </c>
      <c r="D89" s="509" t="s">
        <v>1720</v>
      </c>
      <c r="E89" s="509" t="s">
        <v>1721</v>
      </c>
      <c r="F89" s="509" t="s">
        <v>1722</v>
      </c>
      <c r="G89" s="509" t="s">
        <v>1723</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1819</v>
      </c>
      <c r="C91" s="509" t="s">
        <v>1719</v>
      </c>
      <c r="D91" s="509" t="s">
        <v>1720</v>
      </c>
      <c r="E91" s="509" t="s">
        <v>1721</v>
      </c>
      <c r="F91" s="509" t="s">
        <v>1722</v>
      </c>
      <c r="G91" s="509" t="s">
        <v>1723</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1724</v>
      </c>
      <c r="C93" s="509" t="s">
        <v>1719</v>
      </c>
      <c r="D93" s="509" t="s">
        <v>1720</v>
      </c>
      <c r="E93" s="509" t="s">
        <v>1721</v>
      </c>
      <c r="F93" s="509" t="s">
        <v>1722</v>
      </c>
      <c r="G93" s="509" t="s">
        <v>1723</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1813</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1871</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1912</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1913</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1914</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1915</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1767</v>
      </c>
      <c r="B4" s="346"/>
      <c r="C4" s="3390" t="s">
        <v>1768</v>
      </c>
      <c r="D4" s="3391"/>
      <c r="E4" s="3392" t="s">
        <v>1769</v>
      </c>
      <c r="F4" s="3393"/>
      <c r="G4" s="3390" t="s">
        <v>1770</v>
      </c>
      <c r="H4" s="3391"/>
      <c r="I4" s="3390" t="s">
        <v>1771</v>
      </c>
      <c r="J4" s="3391"/>
      <c r="K4" s="537" t="s">
        <v>1772</v>
      </c>
      <c r="L4" s="2485"/>
      <c r="M4" s="2486"/>
      <c r="N4" s="2486"/>
      <c r="O4" s="2486"/>
      <c r="P4" s="3394" t="s">
        <v>1773</v>
      </c>
      <c r="Q4" s="3395"/>
      <c r="R4" s="3379" t="s">
        <v>1769</v>
      </c>
      <c r="S4" s="3380"/>
      <c r="T4" s="3379" t="s">
        <v>1770</v>
      </c>
      <c r="U4" s="3380"/>
      <c r="V4" s="3402" t="s">
        <v>1771</v>
      </c>
      <c r="W4" s="3402"/>
      <c r="X4" s="1265"/>
      <c r="Y4" s="3379" t="s">
        <v>1773</v>
      </c>
      <c r="Z4" s="3380"/>
      <c r="AA4" s="3374" t="s">
        <v>1769</v>
      </c>
      <c r="AB4" s="3375" t="s">
        <v>1770</v>
      </c>
      <c r="AC4" s="3374" t="s">
        <v>1771</v>
      </c>
    </row>
    <row r="5" spans="1:29" ht="15">
      <c r="A5" s="348"/>
      <c r="B5" s="349"/>
      <c r="C5" s="3383" t="s">
        <v>1671</v>
      </c>
      <c r="D5" s="3384"/>
      <c r="E5" s="3417" t="s">
        <v>1672</v>
      </c>
      <c r="F5" s="3418"/>
      <c r="G5" s="3383" t="s">
        <v>1673</v>
      </c>
      <c r="H5" s="3384"/>
      <c r="I5" s="3383" t="s">
        <v>1674</v>
      </c>
      <c r="J5" s="3384"/>
      <c r="K5" s="537"/>
      <c r="L5" s="2485"/>
      <c r="M5" s="2486"/>
      <c r="N5" s="2486"/>
      <c r="O5" s="2486"/>
      <c r="P5" s="3396"/>
      <c r="Q5" s="3397"/>
      <c r="R5" s="3381"/>
      <c r="S5" s="3382"/>
      <c r="T5" s="3381"/>
      <c r="U5" s="3382"/>
      <c r="V5" s="3402"/>
      <c r="W5" s="3402"/>
      <c r="X5" s="1265"/>
      <c r="Y5" s="3381"/>
      <c r="Z5" s="3382"/>
      <c r="AA5" s="3375"/>
      <c r="AB5" s="3375"/>
      <c r="AC5" s="3375"/>
    </row>
    <row r="6" spans="1:29" ht="15.75" thickBot="1">
      <c r="A6" s="350"/>
      <c r="B6" s="351"/>
      <c r="C6" s="3439" t="s">
        <v>1917</v>
      </c>
      <c r="D6" s="3440"/>
      <c r="E6" s="3441" t="s">
        <v>1917</v>
      </c>
      <c r="F6" s="3442"/>
      <c r="G6" s="3439" t="s">
        <v>1917</v>
      </c>
      <c r="H6" s="3440"/>
      <c r="I6" s="3439" t="s">
        <v>1917</v>
      </c>
      <c r="J6" s="3440"/>
      <c r="K6" s="537" t="s">
        <v>1676</v>
      </c>
      <c r="L6" s="2485"/>
      <c r="M6" s="2486"/>
      <c r="N6" s="2486"/>
      <c r="O6" s="2486"/>
      <c r="P6" s="3398"/>
      <c r="Q6" s="3399"/>
      <c r="R6" s="3381"/>
      <c r="S6" s="3382"/>
      <c r="T6" s="3400"/>
      <c r="U6" s="3401"/>
      <c r="V6" s="3402"/>
      <c r="W6" s="3402"/>
      <c r="X6" s="1265"/>
      <c r="Y6" s="3400"/>
      <c r="Z6" s="3401"/>
      <c r="AA6" s="3376"/>
      <c r="AB6" s="3376"/>
      <c r="AC6" s="3376"/>
    </row>
    <row r="7" spans="1:29" s="102" customFormat="1" ht="15.75" thickBot="1">
      <c r="A7" s="352" t="s">
        <v>1677</v>
      </c>
      <c r="B7" s="353"/>
      <c r="C7" s="354">
        <f>'数据-取费表'!B2</f>
        <v>45741</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77" t="s">
        <v>1678</v>
      </c>
      <c r="Q7" s="3403"/>
      <c r="R7" s="664" t="s">
        <v>14</v>
      </c>
      <c r="S7" s="665">
        <f t="shared" ref="S7:S15" si="0">F7</f>
        <v>0</v>
      </c>
      <c r="T7" s="664" t="s">
        <v>14</v>
      </c>
      <c r="U7" s="665">
        <f t="shared" ref="U7:U15" si="1">H7</f>
        <v>0</v>
      </c>
      <c r="V7" s="664" t="s">
        <v>14</v>
      </c>
      <c r="W7" s="665">
        <f t="shared" ref="W7:W15" si="2">J7</f>
        <v>0</v>
      </c>
      <c r="X7" s="666"/>
      <c r="Y7" s="3377" t="s">
        <v>1678</v>
      </c>
      <c r="Z7" s="3378"/>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77" t="s">
        <v>1681</v>
      </c>
      <c r="Q8" s="3378"/>
      <c r="R8" s="664" t="s">
        <v>14</v>
      </c>
      <c r="S8" s="665">
        <f t="shared" si="0"/>
        <v>0</v>
      </c>
      <c r="T8" s="664" t="s">
        <v>14</v>
      </c>
      <c r="U8" s="665">
        <f t="shared" si="1"/>
        <v>0</v>
      </c>
      <c r="V8" s="664" t="s">
        <v>14</v>
      </c>
      <c r="W8" s="665">
        <f t="shared" si="2"/>
        <v>0</v>
      </c>
      <c r="X8" s="666"/>
      <c r="Y8" s="3377" t="s">
        <v>1681</v>
      </c>
      <c r="Z8" s="3378"/>
      <c r="AA8" s="50" t="e">
        <f t="shared" ref="AA8:AA40" si="3">D8/F8</f>
        <v>#DIV/0!</v>
      </c>
      <c r="AB8" s="50" t="e">
        <f t="shared" ref="AB8:AB40" si="4">D8/H8</f>
        <v>#DIV/0!</v>
      </c>
      <c r="AC8" s="50" t="e">
        <f t="shared" ref="AC8:AC40" si="5">D8/J8</f>
        <v>#DIV/0!</v>
      </c>
    </row>
    <row r="9" spans="1:29" s="102" customFormat="1">
      <c r="A9" s="359" t="s">
        <v>1682</v>
      </c>
      <c r="B9" s="60" t="s">
        <v>1683</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07" t="s">
        <v>1684</v>
      </c>
      <c r="Q9" s="530" t="str">
        <f t="shared" ref="Q9:Q15" si="6">B9</f>
        <v>用途</v>
      </c>
      <c r="R9" s="664" t="s">
        <v>14</v>
      </c>
      <c r="S9" s="665">
        <f t="shared" si="0"/>
        <v>100</v>
      </c>
      <c r="T9" s="664" t="s">
        <v>14</v>
      </c>
      <c r="U9" s="665">
        <f t="shared" si="1"/>
        <v>100</v>
      </c>
      <c r="V9" s="664" t="s">
        <v>14</v>
      </c>
      <c r="W9" s="665">
        <f t="shared" si="2"/>
        <v>100</v>
      </c>
      <c r="X9" s="666"/>
      <c r="Y9" s="332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100</v>
      </c>
      <c r="G10" s="371"/>
      <c r="H10" s="119">
        <f>ROUND(100/'数据-取费表'!G16,0)</f>
        <v>100</v>
      </c>
      <c r="I10" s="371"/>
      <c r="J10" s="119">
        <f>ROUND(100/'数据-取费表'!G16,0)</f>
        <v>100</v>
      </c>
      <c r="K10" s="592"/>
      <c r="L10" s="2488"/>
      <c r="M10" s="2489"/>
      <c r="N10" s="2489"/>
      <c r="O10" s="2540"/>
      <c r="P10" s="3407"/>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7"/>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07"/>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7"/>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7"/>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15">
      <c r="A15" s="379" t="s">
        <v>1688</v>
      </c>
      <c r="B15" s="554" t="s">
        <v>1918</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8" t="s">
        <v>1689</v>
      </c>
      <c r="Q15" s="1263" t="str">
        <f t="shared" si="6"/>
        <v>产业集聚程度</v>
      </c>
      <c r="R15" s="667" t="s">
        <v>14</v>
      </c>
      <c r="S15" s="668">
        <f t="shared" si="0"/>
        <v>100</v>
      </c>
      <c r="T15" s="667" t="s">
        <v>14</v>
      </c>
      <c r="U15" s="668">
        <f t="shared" si="1"/>
        <v>100</v>
      </c>
      <c r="V15" s="667" t="s">
        <v>14</v>
      </c>
      <c r="W15" s="668">
        <f t="shared" si="2"/>
        <v>100</v>
      </c>
      <c r="X15" s="1265"/>
      <c r="Y15" s="340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9"/>
      <c r="Q20" s="1263"/>
      <c r="R20" s="667"/>
      <c r="S20" s="668"/>
      <c r="T20" s="667"/>
      <c r="U20" s="668"/>
      <c r="V20" s="667"/>
      <c r="W20" s="668"/>
      <c r="X20" s="1265"/>
      <c r="Y20" s="3409"/>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409"/>
      <c r="Q24" s="530"/>
      <c r="R24" s="664"/>
      <c r="S24" s="665"/>
      <c r="T24" s="664"/>
      <c r="U24" s="665"/>
      <c r="V24" s="664"/>
      <c r="W24" s="665"/>
      <c r="X24" s="666"/>
      <c r="Y24" s="3409"/>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409"/>
      <c r="Q26" s="530"/>
      <c r="R26" s="664"/>
      <c r="S26" s="665"/>
      <c r="T26" s="664"/>
      <c r="U26" s="665"/>
      <c r="V26" s="664"/>
      <c r="W26" s="665"/>
      <c r="X26" s="666"/>
      <c r="Y26" s="340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7">
      <c r="A28" s="367"/>
      <c r="B28" s="557" t="s">
        <v>1813</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9"/>
      <c r="Q29" s="1263"/>
      <c r="R29" s="667"/>
      <c r="S29" s="668"/>
      <c r="T29" s="667"/>
      <c r="U29" s="668"/>
      <c r="V29" s="667"/>
      <c r="W29" s="668"/>
      <c r="X29" s="1265"/>
      <c r="Y29" s="340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4" t="s">
        <v>1694</v>
      </c>
      <c r="Q32" s="1263">
        <f t="shared" si="8"/>
        <v>111</v>
      </c>
      <c r="R32" s="667" t="s">
        <v>14</v>
      </c>
      <c r="S32" s="668">
        <f t="shared" si="10"/>
        <v>100</v>
      </c>
      <c r="T32" s="667" t="s">
        <v>14</v>
      </c>
      <c r="U32" s="668">
        <f t="shared" si="11"/>
        <v>100</v>
      </c>
      <c r="V32" s="667" t="s">
        <v>14</v>
      </c>
      <c r="W32" s="668">
        <f t="shared" si="12"/>
        <v>100</v>
      </c>
      <c r="X32" s="1265"/>
      <c r="Y32" s="3413" t="s">
        <v>1694</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1875</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3" t="s">
        <v>1694</v>
      </c>
      <c r="Q37" s="1263" t="str">
        <f t="shared" si="14"/>
        <v>工程地质条件</v>
      </c>
      <c r="R37" s="667" t="s">
        <v>14</v>
      </c>
      <c r="S37" s="668">
        <f t="shared" si="10"/>
        <v>100</v>
      </c>
      <c r="T37" s="667" t="s">
        <v>14</v>
      </c>
      <c r="U37" s="668">
        <f t="shared" si="11"/>
        <v>100</v>
      </c>
      <c r="V37" s="667" t="s">
        <v>14</v>
      </c>
      <c r="W37" s="668">
        <f t="shared" si="12"/>
        <v>100</v>
      </c>
      <c r="X37" s="1265"/>
      <c r="Y37" s="341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5">
      <c r="A41" s="416" t="s">
        <v>1842</v>
      </c>
      <c r="B41" s="1828" t="s">
        <v>1920</v>
      </c>
      <c r="C41" s="602" t="s">
        <v>0</v>
      </c>
      <c r="D41" s="418"/>
      <c r="E41" s="419"/>
      <c r="F41" s="420"/>
      <c r="G41" s="421"/>
      <c r="H41" s="422"/>
      <c r="I41" s="419"/>
      <c r="J41" s="422"/>
      <c r="K41" s="674"/>
      <c r="L41" s="2493"/>
      <c r="M41" s="2486"/>
      <c r="N41" s="2486"/>
      <c r="O41" s="2486"/>
      <c r="P41" s="3407" t="str">
        <f>A41</f>
        <v>成交单价</v>
      </c>
      <c r="Q41" s="3407"/>
      <c r="R41" s="3402">
        <f>E41</f>
        <v>0</v>
      </c>
      <c r="S41" s="3402"/>
      <c r="T41" s="3402">
        <f>G41</f>
        <v>0</v>
      </c>
      <c r="U41" s="3402"/>
      <c r="V41" s="3402">
        <f>I41</f>
        <v>0</v>
      </c>
      <c r="W41" s="3402"/>
      <c r="X41" s="385"/>
      <c r="Y41" s="673"/>
      <c r="Z41" s="385"/>
      <c r="AA41" s="385"/>
      <c r="AB41" s="385"/>
      <c r="AC41" s="385"/>
    </row>
    <row r="42" spans="1:31" ht="15.75" thickBot="1">
      <c r="A42" s="423" t="s">
        <v>1791</v>
      </c>
      <c r="B42" s="603"/>
      <c r="C42" s="426" t="e">
        <f>R43</f>
        <v>#DIV/0!</v>
      </c>
      <c r="D42" s="2139" t="s">
        <v>2136</v>
      </c>
      <c r="E42" s="426" t="e">
        <f>R42</f>
        <v>#DIV/0!</v>
      </c>
      <c r="F42" s="2140"/>
      <c r="G42" s="425" t="e">
        <f>T42</f>
        <v>#DIV/0!</v>
      </c>
      <c r="H42" s="2140"/>
      <c r="I42" s="426" t="e">
        <f>V42</f>
        <v>#DIV/0!</v>
      </c>
      <c r="J42" s="2140"/>
      <c r="K42" s="2142">
        <f>F42+H42+J42</f>
        <v>0</v>
      </c>
      <c r="L42" s="2493"/>
      <c r="M42" s="2486"/>
      <c r="N42" s="2486"/>
      <c r="O42" s="2486"/>
      <c r="P42" s="3407" t="str">
        <f>A42</f>
        <v>比较价值（元/平方米）</v>
      </c>
      <c r="Q42" s="340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3"/>
      <c r="M43" s="2486"/>
      <c r="N43" s="2486"/>
      <c r="O43" s="2486"/>
      <c r="P43" s="3404" t="str">
        <f>A43</f>
        <v>估价对象XX用房的比较价值（楼面单价，元/平方米）</v>
      </c>
      <c r="Q43" s="3405"/>
      <c r="R43" s="3437" t="e">
        <f>ROUND(IF(D42="简单平均",AVERAGE(R42:W42),R42*F42+T42*H42+V42*J42),0)</f>
        <v>#DIV/0!</v>
      </c>
      <c r="S43" s="3437"/>
      <c r="T43" s="3437"/>
      <c r="U43" s="3437"/>
      <c r="V43" s="3437"/>
      <c r="W43" s="343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1879</v>
      </c>
      <c r="B50" s="605" t="s">
        <v>1880</v>
      </c>
      <c r="C50" s="1829" t="s">
        <v>1881</v>
      </c>
      <c r="D50" s="1830" t="s">
        <v>1882</v>
      </c>
      <c r="E50" s="606" t="s">
        <v>1883</v>
      </c>
      <c r="F50" s="607" t="s">
        <v>1884</v>
      </c>
      <c r="G50" s="3390" t="s">
        <v>1885</v>
      </c>
      <c r="H50" s="3438"/>
      <c r="I50" s="1264" t="s">
        <v>1921</v>
      </c>
      <c r="J50" s="1264">
        <f>项目基本情况!F35</f>
        <v>0</v>
      </c>
      <c r="K50" s="1832" t="s">
        <v>1887</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1888</v>
      </c>
      <c r="B51" s="609" t="e">
        <f>C43</f>
        <v>#DIV/0!</v>
      </c>
      <c r="C51" s="610">
        <v>1</v>
      </c>
      <c r="D51" s="890">
        <v>1</v>
      </c>
      <c r="E51" s="610">
        <f>'数据-汇总表'!E8+'数据-汇总表'!E9</f>
        <v>130018.37</v>
      </c>
      <c r="F51" s="611" t="e">
        <f t="shared" ref="F51:F60" si="15">ROUND(B51*E51/10000,0)</f>
        <v>#DIV/0!</v>
      </c>
      <c r="G51" s="3389"/>
      <c r="H51" s="340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1889</v>
      </c>
      <c r="B52" s="210" t="e">
        <f>ROUND($C$43*C52*D52,0)</f>
        <v>#DIV/0!</v>
      </c>
      <c r="C52" s="163">
        <f t="shared" ref="C52:C60" si="16">IF($C$50="北京市系数",I52,J52)</f>
        <v>0</v>
      </c>
      <c r="D52" s="891">
        <v>0.25</v>
      </c>
      <c r="E52" s="614"/>
      <c r="F52" s="611" t="e">
        <f t="shared" si="15"/>
        <v>#DIV/0!</v>
      </c>
      <c r="G52" s="2749" t="s">
        <v>1890</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1891</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1892</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1893</v>
      </c>
      <c r="B56" s="210" t="e">
        <f t="shared" si="17"/>
        <v>#DIV/0!</v>
      </c>
      <c r="C56" s="163">
        <f t="shared" si="16"/>
        <v>0</v>
      </c>
      <c r="D56" s="891">
        <v>0.25</v>
      </c>
      <c r="E56" s="209">
        <f>'数据-汇总表'!E11</f>
        <v>0</v>
      </c>
      <c r="F56" s="611" t="e">
        <f t="shared" si="15"/>
        <v>#DIV/0!</v>
      </c>
      <c r="G56" s="1833" t="s">
        <v>1894</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1897</v>
      </c>
      <c r="B58" s="210" t="e">
        <f t="shared" si="17"/>
        <v>#DIV/0!</v>
      </c>
      <c r="C58" s="163">
        <f t="shared" si="16"/>
        <v>0</v>
      </c>
      <c r="D58" s="891">
        <v>0.25</v>
      </c>
      <c r="E58" s="209">
        <f>'数据-汇总表'!E13</f>
        <v>25407.46</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1899</v>
      </c>
      <c r="B59" s="210" t="e">
        <f t="shared" si="17"/>
        <v>#DIV/0!</v>
      </c>
      <c r="C59" s="163">
        <f t="shared" si="16"/>
        <v>0</v>
      </c>
      <c r="D59" s="891">
        <v>0.25</v>
      </c>
      <c r="E59" s="209">
        <f>'数据-汇总表'!E14</f>
        <v>0</v>
      </c>
      <c r="F59" s="611" t="e">
        <f t="shared" si="15"/>
        <v>#DIV/0!</v>
      </c>
      <c r="G59" s="1833" t="s">
        <v>1890</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1900</v>
      </c>
      <c r="B60" s="210" t="e">
        <f t="shared" si="17"/>
        <v>#DIV/0!</v>
      </c>
      <c r="C60" s="163">
        <f t="shared" si="16"/>
        <v>0</v>
      </c>
      <c r="D60" s="891">
        <v>0.25</v>
      </c>
      <c r="E60" s="209">
        <f>'数据-汇总表'!E15</f>
        <v>0</v>
      </c>
      <c r="F60" s="611" t="e">
        <f t="shared" si="15"/>
        <v>#DIV/0!</v>
      </c>
      <c r="G60" s="1834" t="s">
        <v>1894</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1.75" thickBot="1">
      <c r="A64" s="658" t="s">
        <v>1796</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1902</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1714</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1679</v>
      </c>
      <c r="B68" s="444"/>
      <c r="C68" s="456" t="s">
        <v>1774</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1717</v>
      </c>
      <c r="B70" s="460" t="s">
        <v>1683</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1686</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1688</v>
      </c>
      <c r="B83" s="460" t="s">
        <v>1827</v>
      </c>
      <c r="C83" s="504" t="s">
        <v>1719</v>
      </c>
      <c r="D83" s="504" t="s">
        <v>1720</v>
      </c>
      <c r="E83" s="504" t="s">
        <v>1721</v>
      </c>
      <c r="F83" s="504" t="s">
        <v>1722</v>
      </c>
      <c r="G83" s="504" t="s">
        <v>1723</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1724</v>
      </c>
      <c r="C85" s="509" t="s">
        <v>1719</v>
      </c>
      <c r="D85" s="509" t="s">
        <v>1720</v>
      </c>
      <c r="E85" s="509" t="s">
        <v>1721</v>
      </c>
      <c r="F85" s="509" t="s">
        <v>1722</v>
      </c>
      <c r="G85" s="509" t="s">
        <v>1723</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1813</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1871</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1912</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1914</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1915</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46" t="s">
        <v>2082</v>
      </c>
      <c r="D1" s="3447"/>
      <c r="E1" s="3447"/>
      <c r="F1" s="3447"/>
      <c r="G1" s="3447"/>
      <c r="H1" s="3447"/>
      <c r="I1" s="3447"/>
      <c r="J1" s="3447"/>
      <c r="K1" s="3447"/>
      <c r="L1" s="3447"/>
      <c r="M1" s="3447"/>
      <c r="N1" s="3447"/>
      <c r="O1" s="3447"/>
      <c r="P1" s="3447"/>
      <c r="Q1" s="3447"/>
      <c r="R1" s="3447"/>
      <c r="S1" s="3448"/>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2091</v>
      </c>
      <c r="B17" s="1985"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7"/>
      <c r="E20" s="1254"/>
      <c r="F20" s="929" t="e">
        <f ca="1">SUMIF(INDIRECT("'"&amp;H20&amp;"'"&amp;"!A:A"),"承租人权益价值",INDIRECT("'"&amp;H20&amp;"'"&amp;"!c:c"))</f>
        <v>#REF!</v>
      </c>
      <c r="G20" s="929" t="s">
        <v>2095</v>
      </c>
      <c r="H20" s="1988"/>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906</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估价结果一览表（市场价值不需“结果表-1”）</v>
      </c>
      <c r="B3" s="3169"/>
      <c r="C3" s="3169"/>
      <c r="D3" s="3169"/>
      <c r="E3" s="3169"/>
    </row>
    <row r="4" spans="1:5" ht="19.5" thickBot="1">
      <c r="A4" s="1391"/>
      <c r="B4" s="3167" t="s">
        <v>915</v>
      </c>
      <c r="C4" s="3167"/>
      <c r="D4" s="3167"/>
      <c r="E4" s="1391"/>
    </row>
    <row r="5" spans="1:5" ht="16.5" thickTop="1">
      <c r="B5" s="3165" t="s">
        <v>907</v>
      </c>
      <c r="C5" s="1392" t="s">
        <v>908</v>
      </c>
      <c r="D5" s="797">
        <f ca="1">'结果表-住宅'!H101</f>
        <v>346733</v>
      </c>
    </row>
    <row r="6" spans="1:5" ht="15.75">
      <c r="B6" s="3165"/>
      <c r="C6" s="1392" t="s">
        <v>909</v>
      </c>
      <c r="D6" s="797" t="str">
        <f ca="1">NUMBERSTRING(INT(D5*10000),2)&amp;"元整"</f>
        <v>叁拾肆亿陆仟柒佰叁拾叁万元整</v>
      </c>
    </row>
    <row r="7" spans="1:5" ht="15.75">
      <c r="B7" s="3170"/>
      <c r="C7" s="1393" t="s">
        <v>910</v>
      </c>
      <c r="D7" s="798">
        <f ca="1">'结果表-住宅'!H102</f>
        <v>26668</v>
      </c>
    </row>
    <row r="8" spans="1:5" ht="15.75">
      <c r="B8" s="3171" t="str">
        <f>'结果表-住宅'!E103</f>
        <v>2.估价师知悉的法定优先受偿款</v>
      </c>
      <c r="C8" s="1394" t="s">
        <v>911</v>
      </c>
      <c r="D8" s="798">
        <f>'结果表-住宅'!H103</f>
        <v>0</v>
      </c>
    </row>
    <row r="9" spans="1:5" ht="15.75">
      <c r="B9" s="3173"/>
      <c r="C9" s="1392" t="s">
        <v>909</v>
      </c>
      <c r="D9" s="797" t="str">
        <f>NUMBERSTRING(INT(D8*10000),2)&amp;"元整"</f>
        <v>零元整</v>
      </c>
    </row>
    <row r="10" spans="1:5" ht="15">
      <c r="B10" s="1395" t="s">
        <v>914</v>
      </c>
      <c r="C10" s="1396" t="s">
        <v>912</v>
      </c>
      <c r="D10" s="799">
        <f>'结果表-住宅'!H104</f>
        <v>0</v>
      </c>
    </row>
    <row r="11" spans="1:5" ht="15">
      <c r="B11" s="1395" t="s">
        <v>916</v>
      </c>
      <c r="C11" s="1396" t="s">
        <v>917</v>
      </c>
      <c r="D11" s="799">
        <f>'结果表-住宅'!H105</f>
        <v>0</v>
      </c>
    </row>
    <row r="12" spans="1:5" ht="15">
      <c r="B12" s="1395" t="s">
        <v>918</v>
      </c>
      <c r="C12" s="1396" t="s">
        <v>917</v>
      </c>
      <c r="D12" s="799">
        <f>'结果表-住宅'!H106</f>
        <v>0</v>
      </c>
    </row>
    <row r="13" spans="1:5" ht="15.75">
      <c r="B13" s="3164" t="str">
        <f>'结果表-住宅'!E107</f>
        <v>3.房地产抵押价值</v>
      </c>
      <c r="C13" s="1397" t="s">
        <v>908</v>
      </c>
      <c r="D13" s="800">
        <f ca="1">'结果表-住宅'!H107</f>
        <v>346733</v>
      </c>
    </row>
    <row r="14" spans="1:5" ht="15.75">
      <c r="B14" s="3165"/>
      <c r="C14" s="1392" t="s">
        <v>909</v>
      </c>
      <c r="D14" s="797" t="str">
        <f ca="1">NUMBERSTRING(INT(D13*10000),2)&amp;"元整"</f>
        <v>叁拾肆亿陆仟柒佰叁拾叁万元整</v>
      </c>
    </row>
    <row r="15" spans="1:5" ht="15">
      <c r="B15" s="3170"/>
      <c r="C15" s="1393" t="s">
        <v>919</v>
      </c>
      <c r="D15" s="806">
        <f ca="1">'结果表-住宅'!H108</f>
        <v>26668</v>
      </c>
    </row>
    <row r="16" spans="1:5" ht="15">
      <c r="B16" s="3171" t="str">
        <f>'结果表-住宅'!E109</f>
        <v>——</v>
      </c>
      <c r="C16" s="1397" t="s">
        <v>920</v>
      </c>
      <c r="D16" s="1398" t="str">
        <f>'结果表-住宅'!H109</f>
        <v>——</v>
      </c>
    </row>
    <row r="17" spans="1:5" ht="15.75">
      <c r="B17" s="3172"/>
      <c r="C17" s="1392" t="s">
        <v>921</v>
      </c>
      <c r="D17" s="797" t="e">
        <f>NUMBERSTRING(INT(D16*10000),2)&amp;"元整"</f>
        <v>#VALUE!</v>
      </c>
    </row>
    <row r="18" spans="1:5" ht="15">
      <c r="B18" s="3173"/>
      <c r="C18" s="1393" t="s">
        <v>910</v>
      </c>
      <c r="D18" s="806" t="str">
        <f>'结果表-住宅'!H110</f>
        <v>——</v>
      </c>
    </row>
    <row r="19" spans="1:5" ht="15.75">
      <c r="B19" s="3164" t="str">
        <f>'结果表-住宅'!E111</f>
        <v>——</v>
      </c>
      <c r="C19" s="1397" t="s">
        <v>908</v>
      </c>
      <c r="D19" s="798" t="str">
        <f>'结果表-住宅'!H111</f>
        <v>——</v>
      </c>
    </row>
    <row r="20" spans="1:5" ht="15.75">
      <c r="B20" s="3165"/>
      <c r="C20" s="1392" t="s">
        <v>921</v>
      </c>
      <c r="D20" s="797" t="e">
        <f>NUMBERSTRING(INT(D19*10000),2)&amp;"元整"</f>
        <v>#VALUE!</v>
      </c>
    </row>
    <row r="21" spans="1:5" ht="15.75" thickBot="1">
      <c r="B21" s="3166"/>
      <c r="C21" s="1399" t="s">
        <v>919</v>
      </c>
      <c r="D21" s="807" t="str">
        <f>'结果表-住宅'!H112</f>
        <v>——</v>
      </c>
    </row>
    <row r="22" spans="1:5" ht="15" thickTop="1">
      <c r="B22" s="1400" t="s">
        <v>922</v>
      </c>
    </row>
    <row r="24" spans="1:5" ht="18.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3"/>
      <c r="G1" s="2543"/>
      <c r="H1" s="2543"/>
      <c r="I1" s="2543"/>
      <c r="J1" s="2543"/>
      <c r="K1" s="2543"/>
      <c r="L1" s="2543"/>
      <c r="M1" s="2543"/>
      <c r="N1" s="2543"/>
      <c r="O1" s="2543"/>
      <c r="P1" s="2543"/>
    </row>
    <row r="2" spans="1:16" ht="15.75">
      <c r="A2" s="1982" t="s">
        <v>2071</v>
      </c>
      <c r="B2" s="2386" t="e">
        <f ca="1">SUMIF(B6:B13,"&lt;&gt;#ref!",B6:B13)</f>
        <v>#DIV/0!</v>
      </c>
      <c r="C2" s="1982" t="s">
        <v>2072</v>
      </c>
      <c r="D2" s="1982" t="s">
        <v>2073</v>
      </c>
      <c r="E2" s="2396">
        <f ca="1">SUMIF(E6:E13,"&lt;&gt;#ref!",E6:E13)</f>
        <v>0</v>
      </c>
      <c r="F2" s="2543"/>
      <c r="G2" s="2543"/>
      <c r="H2" s="2543"/>
      <c r="I2" s="2543"/>
      <c r="J2" s="2543"/>
      <c r="K2" s="2543"/>
      <c r="L2" s="2543"/>
      <c r="M2" s="2543"/>
      <c r="N2" s="2543"/>
      <c r="O2" s="2543"/>
      <c r="P2" s="2543"/>
    </row>
    <row r="3" spans="1:16" ht="15.75">
      <c r="A3" s="1982" t="s">
        <v>2074</v>
      </c>
      <c r="B3" s="2386" t="e">
        <f ca="1">ROUND(B2*10000/E2,0)</f>
        <v>#DIV/0!</v>
      </c>
      <c r="C3" s="1982" t="s">
        <v>2080</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2075</v>
      </c>
      <c r="B5" s="2394" t="s">
        <v>2076</v>
      </c>
      <c r="C5" s="1983"/>
      <c r="D5" s="2543"/>
      <c r="E5" s="2395" t="s">
        <v>2077</v>
      </c>
      <c r="F5" s="2543"/>
      <c r="G5" s="2543"/>
      <c r="H5" s="2543"/>
      <c r="I5" s="2543"/>
      <c r="J5" s="2543"/>
      <c r="K5" s="2543"/>
      <c r="L5" s="2543"/>
      <c r="M5" s="2543"/>
      <c r="N5" s="2543"/>
      <c r="O5" s="2543"/>
      <c r="P5" s="2543"/>
    </row>
    <row r="6" spans="1:16" ht="15.75">
      <c r="A6" s="2393" t="s">
        <v>2078</v>
      </c>
      <c r="B6" s="2386" t="e">
        <f ca="1">SUMIF(INDIRECT("'"&amp;A6&amp;"'"&amp;"!A:A"),"总价",INDIRECT("'"&amp;A6&amp;"'"&amp;"!B:B"))</f>
        <v>#DIV/0!</v>
      </c>
      <c r="C6" s="1982" t="s">
        <v>2072</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2072</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2072</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2072</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2072</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2072</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2072</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2072</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L14" sqref="L1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1924</v>
      </c>
      <c r="B1" s="189"/>
      <c r="C1" s="193" t="s">
        <v>1925</v>
      </c>
      <c r="D1" s="333">
        <f>SUM(D33:D34,D37:D42)</f>
        <v>0</v>
      </c>
      <c r="E1" s="1840"/>
      <c r="F1" s="1840"/>
      <c r="G1" s="1840"/>
      <c r="H1" s="1840"/>
      <c r="I1" s="1840"/>
      <c r="J1" s="1840"/>
      <c r="K1" s="1056"/>
      <c r="L1" s="1841" t="s">
        <v>1926</v>
      </c>
      <c r="M1" s="810">
        <f>SUMPRODUCT((区片价!B5:B9=I2)*(区片价!C3:G3=E2)*(区片价!C5:G9))</f>
        <v>0</v>
      </c>
      <c r="N1" s="813">
        <f>SUMPRODUCT((因素修正幅度!B5:B9=I2)*(因素修正幅度!C3:G3=E2)*(因素修正幅度!C5:G9))</f>
        <v>0</v>
      </c>
      <c r="O1" s="1842"/>
      <c r="P1" s="1842"/>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4" t="s">
        <v>1933</v>
      </c>
      <c r="D2" s="162" t="s">
        <v>1934</v>
      </c>
      <c r="E2" s="3119"/>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0"/>
      <c r="K2" s="1056"/>
      <c r="L2" s="1845" t="s">
        <v>1937</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4" t="s">
        <v>1939</v>
      </c>
      <c r="D3" s="162" t="s">
        <v>1940</v>
      </c>
      <c r="E3" s="3117"/>
      <c r="F3" s="1846"/>
      <c r="G3" s="708">
        <f>IF(F3="宗地容积率",'数据-汇总表'!I4,IF(F3="估价对象容积率",'数据-汇总表'!I6,'数据-汇总表'!I7))</f>
        <v>0</v>
      </c>
      <c r="H3" s="162" t="s">
        <v>1941</v>
      </c>
      <c r="I3" s="729"/>
      <c r="J3" s="1840" t="s">
        <v>1942</v>
      </c>
      <c r="K3" s="1056"/>
      <c r="L3" s="1845" t="s">
        <v>1943</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5" t="s">
        <v>1944</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1945</v>
      </c>
      <c r="C5" s="709" t="e">
        <f>ROUND(IF(E2="商业",C6*C7*C17+C20,(IF(E2="住宅",C6*C13*C17+C20,IF(E2="办公",C6*C12*C17+C20,C6+C20)))),0)</f>
        <v>#DIV/0!</v>
      </c>
      <c r="D5" s="1252" t="e">
        <f>ROUND(C6*C17+C20,0)</f>
        <v>#DIV/0!</v>
      </c>
      <c r="E5" s="1252"/>
      <c r="F5" s="1849"/>
      <c r="G5" s="1850"/>
      <c r="H5" s="1850"/>
      <c r="I5" s="1850"/>
      <c r="J5" s="1851"/>
      <c r="K5" s="1852"/>
      <c r="L5" s="1845" t="s">
        <v>1946</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3"/>
      <c r="AD5" s="1854"/>
      <c r="AE5" s="1854"/>
      <c r="AF5" s="1854"/>
      <c r="AG5" s="1854"/>
      <c r="AH5" s="1854"/>
      <c r="AI5" s="1854"/>
      <c r="AJ5" s="1855"/>
    </row>
    <row r="6" spans="1:36" ht="15.75" thickBot="1">
      <c r="A6" s="1857" t="s">
        <v>1947</v>
      </c>
      <c r="B6" s="1858" t="s">
        <v>1948</v>
      </c>
      <c r="C6" s="710">
        <f>SUMIF(L1:L12,G2,M1:M12)</f>
        <v>0</v>
      </c>
      <c r="D6" s="1859"/>
      <c r="E6" s="1860"/>
      <c r="F6" s="1860"/>
      <c r="G6" s="1861"/>
      <c r="H6" s="1861"/>
      <c r="I6" s="1861"/>
      <c r="J6" s="1862"/>
      <c r="K6" s="1292"/>
      <c r="L6" s="1845" t="s">
        <v>1949</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3"/>
      <c r="AD6" s="1854"/>
      <c r="AE6" s="1854"/>
      <c r="AF6" s="1854"/>
      <c r="AG6" s="1854"/>
      <c r="AH6" s="1854"/>
      <c r="AI6" s="1854"/>
      <c r="AJ6" s="1855"/>
    </row>
    <row r="7" spans="1:36" ht="24.75" thickBot="1">
      <c r="A7" s="3011" t="s">
        <v>3226</v>
      </c>
      <c r="B7" s="1863" t="s">
        <v>1950</v>
      </c>
      <c r="C7" s="711" t="e">
        <f>IF(C8="不临65条商业街",1,ROUND(1+(1.6*E8+1.2*E9+0.8*E10+0.4*E11)*C9,4))</f>
        <v>#DIV/0!</v>
      </c>
      <c r="D7" s="1864" t="s">
        <v>1951</v>
      </c>
      <c r="E7" s="730"/>
      <c r="F7" s="1865"/>
      <c r="G7" s="1866"/>
      <c r="H7" s="1866"/>
      <c r="I7" s="1866"/>
      <c r="J7" s="1867"/>
      <c r="K7" s="1292"/>
      <c r="L7" s="1845" t="s">
        <v>1952</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08"/>
      <c r="B8" s="162" t="s">
        <v>1955</v>
      </c>
      <c r="C8" s="1868"/>
      <c r="D8" s="712" t="s">
        <v>112</v>
      </c>
      <c r="E8" s="713" t="e">
        <f>ROUND(C11/E7,4)</f>
        <v>#DIV/0!</v>
      </c>
      <c r="F8" s="1869" t="s">
        <v>1956</v>
      </c>
      <c r="G8" s="1870"/>
      <c r="H8" s="1870"/>
      <c r="I8" s="1870"/>
      <c r="J8" s="1871"/>
      <c r="K8" s="1056"/>
      <c r="L8" s="1845" t="s">
        <v>1957</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3" t="s">
        <v>1958</v>
      </c>
      <c r="X8" s="3454"/>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08"/>
      <c r="B9" s="162" t="s">
        <v>1971</v>
      </c>
      <c r="C9" s="714">
        <f>SUMIF(修正!C71:C138,C8,修正!E71:E138)</f>
        <v>0</v>
      </c>
      <c r="D9" s="163" t="s">
        <v>113</v>
      </c>
      <c r="E9" s="163" t="e">
        <f>ROUND(C11/E7,4)</f>
        <v>#DIV/0!</v>
      </c>
      <c r="F9" s="1869" t="s">
        <v>1972</v>
      </c>
      <c r="G9" s="1870"/>
      <c r="H9" s="1870"/>
      <c r="I9" s="1870"/>
      <c r="J9" s="1871"/>
      <c r="K9" s="1056"/>
      <c r="L9" s="1845" t="s">
        <v>1973</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5"/>
      <c r="X9" s="3063" t="s">
        <v>3257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1974</v>
      </c>
      <c r="C10" s="163">
        <f>SUMIF(修正!C71:C138,C8,修正!F71:F138)</f>
        <v>0</v>
      </c>
      <c r="D10" s="163" t="s">
        <v>114</v>
      </c>
      <c r="E10" s="163" t="e">
        <f>ROUND(C11/E7,4)</f>
        <v>#DIV/0!</v>
      </c>
      <c r="F10" s="1869" t="s">
        <v>1975</v>
      </c>
      <c r="G10" s="1870"/>
      <c r="H10" s="1870"/>
      <c r="I10" s="1870"/>
      <c r="J10" s="1871"/>
      <c r="K10" s="1056"/>
      <c r="L10" s="1845"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1977</v>
      </c>
      <c r="C11" s="715">
        <f>C10/4</f>
        <v>0</v>
      </c>
      <c r="D11" s="715" t="s">
        <v>115</v>
      </c>
      <c r="E11" s="715" t="e">
        <f>ROUND(C11/E7,4)</f>
        <v>#DIV/0!</v>
      </c>
      <c r="F11" s="1873" t="s">
        <v>1978</v>
      </c>
      <c r="G11" s="1874"/>
      <c r="H11" s="1874"/>
      <c r="I11" s="1874"/>
      <c r="J11" s="1875"/>
      <c r="K11" s="1056"/>
      <c r="L11" s="1845"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3227</v>
      </c>
      <c r="B12" s="3012" t="s">
        <v>3228</v>
      </c>
      <c r="C12" s="3013"/>
      <c r="D12" s="3014" t="s">
        <v>3229</v>
      </c>
      <c r="E12" s="3015" t="s">
        <v>3230</v>
      </c>
      <c r="F12" s="3016"/>
      <c r="G12" s="3017"/>
      <c r="H12" s="3017"/>
      <c r="I12" s="3017"/>
      <c r="J12" s="3018"/>
      <c r="K12" s="1056"/>
      <c r="L12" s="1794"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3231</v>
      </c>
      <c r="B13" s="1876" t="s">
        <v>1980</v>
      </c>
      <c r="C13" s="711">
        <f>ROUND(C16*D16*E16*F16*G16*H16*I16*J16,4)</f>
        <v>0</v>
      </c>
      <c r="D13" s="1877" t="s">
        <v>1981</v>
      </c>
      <c r="E13" s="1878"/>
      <c r="F13" s="1878"/>
      <c r="G13" s="1879"/>
      <c r="H13" s="1879"/>
      <c r="I13" s="1879"/>
      <c r="J13" s="1880"/>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1" t="s">
        <v>1983</v>
      </c>
      <c r="C14" s="1882" t="s">
        <v>1984</v>
      </c>
      <c r="D14" s="1261" t="s">
        <v>1985</v>
      </c>
      <c r="E14" s="27" t="s">
        <v>1986</v>
      </c>
      <c r="F14" s="3019" t="s">
        <v>3232</v>
      </c>
      <c r="G14" s="3019" t="s">
        <v>3232</v>
      </c>
      <c r="H14" s="3019" t="s">
        <v>3232</v>
      </c>
      <c r="I14" s="3019" t="s">
        <v>3232</v>
      </c>
      <c r="J14" s="3019" t="s">
        <v>3232</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3233</v>
      </c>
      <c r="G15" s="1926"/>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1987</v>
      </c>
      <c r="C16" s="3023"/>
      <c r="D16" s="3023"/>
      <c r="E16" s="3023"/>
      <c r="F16" s="3023">
        <v>1</v>
      </c>
      <c r="G16" s="3023">
        <v>1</v>
      </c>
      <c r="H16" s="3023">
        <v>1</v>
      </c>
      <c r="I16" s="3023">
        <v>1</v>
      </c>
      <c r="J16" s="3024">
        <v>1</v>
      </c>
      <c r="K16" s="1056"/>
      <c r="L16" s="1842"/>
      <c r="M16" s="1842"/>
      <c r="N16" s="1842"/>
      <c r="O16" s="1842"/>
      <c r="P16" s="1842"/>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3234</v>
      </c>
      <c r="B17" s="3026" t="s">
        <v>3235</v>
      </c>
      <c r="C17" s="3035">
        <f>ROUND(IF(OR(E2="工业",E2="公共服务"),1,IF(AND(E18=0,E19=0),1,IF(AND(E18=J24,E19=G19),0.8,IF(E19=0,1+E17*(-0.2),1+E17*G17*(-0.2))))),4)</f>
        <v>1</v>
      </c>
      <c r="D17" s="3027" t="s">
        <v>3236</v>
      </c>
      <c r="E17" s="3035" t="e">
        <f>ROUND(G18/I18,2)</f>
        <v>#DIV/0!</v>
      </c>
      <c r="F17" s="3027" t="s">
        <v>3239</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3237</v>
      </c>
      <c r="E18" s="2355"/>
      <c r="F18" s="3029" t="s">
        <v>3240</v>
      </c>
      <c r="G18" s="3033">
        <f>ROUND(1-(1/(POWER(1+G24,E18))),4)</f>
        <v>0</v>
      </c>
      <c r="H18" s="3029" t="s">
        <v>3242</v>
      </c>
      <c r="I18" s="3033">
        <f>ROUND(1-(1/(POWER(1+G24,J24))),4)</f>
        <v>0</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3238</v>
      </c>
      <c r="E19" s="3042"/>
      <c r="F19" s="3043" t="s">
        <v>3241</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60" t="s">
        <v>3243</v>
      </c>
      <c r="B20" s="159" t="s">
        <v>1992</v>
      </c>
      <c r="C20" s="3030" t="e">
        <f>ROUND(IF(F21="与级别开发程度一致",0,(G21-E21)/C21),0)</f>
        <v>#DIV/0!</v>
      </c>
      <c r="D20" s="3045" t="s">
        <v>1996</v>
      </c>
      <c r="E20" s="3046"/>
      <c r="F20" s="3466" t="s">
        <v>1993</v>
      </c>
      <c r="G20" s="3467"/>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15" thickBot="1">
      <c r="A21" s="3461"/>
      <c r="B21" s="2000" t="s">
        <v>1995</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1998</v>
      </c>
      <c r="C22" s="1996">
        <f>SUMIF(修正!C20:C51,E3,修正!E20:E51)</f>
        <v>0</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1999</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2000</v>
      </c>
      <c r="E23" s="717">
        <v>44197</v>
      </c>
      <c r="F23" s="1894" t="s">
        <v>2001</v>
      </c>
      <c r="G23" s="718">
        <f>'数据-取费表'!B2</f>
        <v>45741</v>
      </c>
      <c r="H23" s="3047" t="s">
        <v>3245</v>
      </c>
      <c r="I23" s="3048" t="str">
        <f>IF(H23="季度增幅（自定义）",SUMIF(N25:N28,E2,O25:O28),"")</f>
        <v/>
      </c>
      <c r="J23" s="3140" t="s">
        <v>3244</v>
      </c>
      <c r="K23" s="1061"/>
      <c r="L23" s="1895" t="s">
        <v>2002</v>
      </c>
      <c r="M23" s="1241">
        <f>ROUND(SUMIF(地价!B2:G2,E2,地价!B16:G16),0)</f>
        <v>0</v>
      </c>
      <c r="N23" s="1896" t="s">
        <v>2003</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2004</v>
      </c>
      <c r="C24" s="720" t="e">
        <f>ROUND(POWER(1+G24,J24-I24)*(POWER(1+G24,I24)-1)/(POWER(1+G24,J24)-1),4)</f>
        <v>#DIV/0!</v>
      </c>
      <c r="D24" s="1900" t="s">
        <v>2005</v>
      </c>
      <c r="E24" s="1248">
        <f>存贷款利率!E27/100</f>
        <v>4.3499999999999997E-2</v>
      </c>
      <c r="F24" s="1900" t="s">
        <v>1997</v>
      </c>
      <c r="G24" s="724">
        <f>SUMIF(M30:Q30,E2,M33:Q33)</f>
        <v>0</v>
      </c>
      <c r="H24" s="1900" t="s">
        <v>2006</v>
      </c>
      <c r="I24" s="725" t="e">
        <f>SUMIF('数据-取费表'!C6:C15,E2,'数据-取费表'!F6:F15)/COUNTIF('数据-取费表'!C6:C15,E2)</f>
        <v>#DIV/0!</v>
      </c>
      <c r="J24" s="726">
        <f>IF(E2="住宅",70,IF(E2="商业",40,50))</f>
        <v>50</v>
      </c>
      <c r="K24" s="1061"/>
      <c r="L24" s="1901" t="s">
        <v>2007</v>
      </c>
      <c r="M24" s="1242">
        <f>ROUND(SUMPRODUCT((地价!A4:A16=YEAR(G23)&amp;"-"&amp;ROUNDUP(MONTH(G23)/3,0))*(地价!B2:G2=E2)*(地价!B4:G16)),0)</f>
        <v>0</v>
      </c>
      <c r="N24" s="1902" t="s">
        <v>2008</v>
      </c>
      <c r="O24" s="1903" t="s">
        <v>2009</v>
      </c>
      <c r="P24" s="1904" t="s">
        <v>2010</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3324</v>
      </c>
      <c r="C25" s="461">
        <f>IF(B25="容积率修正",IF(G3&lt;10,D26,J26),C27)</f>
        <v>0</v>
      </c>
      <c r="D25" s="1907"/>
      <c r="E25" s="1907"/>
      <c r="F25" s="1907"/>
      <c r="G25" s="1907"/>
      <c r="H25" s="1907"/>
      <c r="I25" s="1907"/>
      <c r="J25" s="1908"/>
      <c r="K25" s="1061"/>
      <c r="L25" s="2551"/>
      <c r="M25" s="2551"/>
      <c r="N25" s="1909" t="s">
        <v>2011</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2012</v>
      </c>
      <c r="B26" s="1910" t="s">
        <v>2013</v>
      </c>
      <c r="C26" s="1910" t="s">
        <v>3246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3247</v>
      </c>
      <c r="J26" s="374" t="str">
        <f>IF(G3&gt;=10,D115,"——")</f>
        <v>——</v>
      </c>
      <c r="K26" s="1061"/>
      <c r="L26" s="2551"/>
      <c r="M26" s="2551"/>
      <c r="N26" s="1909" t="s">
        <v>2014</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2015</v>
      </c>
      <c r="B27" s="1911" t="s">
        <v>2016</v>
      </c>
      <c r="C27" s="791">
        <f>ROUND(IF(I3&lt;6,SUMPRODUCT((B106:B110=I3)*(C105:N105=G2)*(C106:N110)),SUMIF(C105:N105,G2,C112:N112)),4)</f>
        <v>0</v>
      </c>
      <c r="D27" s="1840"/>
      <c r="E27" s="1840"/>
      <c r="F27" s="1912"/>
      <c r="G27" s="1913"/>
      <c r="H27" s="1914"/>
      <c r="I27" s="1915"/>
      <c r="J27" s="1916"/>
      <c r="K27" s="1056"/>
      <c r="L27" s="1842"/>
      <c r="M27" s="1842"/>
      <c r="N27" s="1909" t="s">
        <v>2017</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2018</v>
      </c>
      <c r="C28" s="716">
        <f>SUMIF(A47:A101,E2,B47:B101)</f>
        <v>0</v>
      </c>
      <c r="D28" s="1892"/>
      <c r="E28" s="1917"/>
      <c r="F28" s="1917"/>
      <c r="G28" s="1917"/>
      <c r="H28" s="1917"/>
      <c r="I28" s="1917"/>
      <c r="J28" s="1918"/>
      <c r="K28" s="1061"/>
      <c r="L28" s="2551"/>
      <c r="M28" s="2551"/>
      <c r="N28" s="1919"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2020</v>
      </c>
      <c r="C29" s="721"/>
      <c r="D29" s="1866"/>
      <c r="E29" s="1866"/>
      <c r="F29" s="1921"/>
      <c r="G29" s="1866"/>
      <c r="H29" s="1866"/>
      <c r="I29" s="1866"/>
      <c r="J29" s="1867"/>
      <c r="K29" s="1056"/>
      <c r="L29" s="1842"/>
      <c r="M29" s="1842"/>
      <c r="N29" s="2548" t="s">
        <v>2021</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2022</v>
      </c>
      <c r="C30" s="2143" t="e">
        <f>IF(B25="容积率修正",E33+SUM(E37:E42),SUM(V2:V16)+SUM(E37:E42))</f>
        <v>#DIV/0!</v>
      </c>
      <c r="D30" s="1923"/>
      <c r="E30" s="1840"/>
      <c r="F30" s="1924"/>
      <c r="G30" s="1840"/>
      <c r="H30" s="1840"/>
      <c r="I30" s="1840"/>
      <c r="J30" s="1925"/>
      <c r="K30" s="1056"/>
      <c r="L30" s="3054" t="s">
        <v>1934</v>
      </c>
      <c r="M30" s="3055" t="s">
        <v>1988</v>
      </c>
      <c r="N30" s="3055" t="s">
        <v>1989</v>
      </c>
      <c r="O30" s="3055" t="s">
        <v>1990</v>
      </c>
      <c r="P30" s="3055" t="s">
        <v>1991</v>
      </c>
      <c r="Q30" s="3058" t="s">
        <v>3251</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2023</v>
      </c>
      <c r="C31" s="722" t="e">
        <f>E34+SUM(I37:I42)</f>
        <v>#DIV/0!</v>
      </c>
      <c r="D31" s="1927"/>
      <c r="E31" s="1928"/>
      <c r="F31" s="1929"/>
      <c r="G31" s="1928"/>
      <c r="H31" s="1928"/>
      <c r="I31" s="1928"/>
      <c r="J31" s="1930"/>
      <c r="K31" s="1056"/>
      <c r="L31" s="3056" t="s">
        <v>1994</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2024</v>
      </c>
      <c r="C32" s="1933" t="s">
        <v>2025</v>
      </c>
      <c r="D32" s="1933" t="s">
        <v>2026</v>
      </c>
      <c r="E32" s="1934" t="s">
        <v>2027</v>
      </c>
      <c r="F32" s="1935"/>
      <c r="G32" s="1879"/>
      <c r="H32" s="1879"/>
      <c r="I32" s="1879"/>
      <c r="J32" s="1880"/>
      <c r="K32" s="1056"/>
      <c r="L32" s="3057" t="s">
        <v>1997</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2028</v>
      </c>
      <c r="C33" s="167" t="e">
        <f>ROUND(C5*C22*C23*C24*C25*C28,0)</f>
        <v>#DIV/0!</v>
      </c>
      <c r="D33" s="1938"/>
      <c r="E33" s="727" t="e">
        <f>ROUND(C33*D33/10000,0)</f>
        <v>#DIV/0!</v>
      </c>
      <c r="F33" s="3049" t="s">
        <v>3249</v>
      </c>
      <c r="G33" s="1939"/>
      <c r="H33" s="1939"/>
      <c r="I33" s="1939"/>
      <c r="J33" s="1940"/>
      <c r="K33" s="1056"/>
      <c r="L33" s="3052" t="s">
        <v>3252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2029</v>
      </c>
      <c r="C34" s="179" t="e">
        <f>ROUND(IF(E2="工业",C33*M42,IF(B25="楼层修正",SUM(V2:V16)*M41*10000/D34,C33*M41)),0)</f>
        <v>#DIV/0!</v>
      </c>
      <c r="D34" s="1943"/>
      <c r="E34" s="727" t="e">
        <f>ROUND(IF(B25="楼层修正",SUM(V2:V16)*M40,C34*D34/10000),0)</f>
        <v>#DIV/0!</v>
      </c>
      <c r="F34" s="1944" t="s">
        <v>2030</v>
      </c>
      <c r="G34" s="1945"/>
      <c r="H34" s="1945"/>
      <c r="I34" s="1945"/>
      <c r="J34" s="1946"/>
      <c r="K34" s="1056"/>
      <c r="L34" s="3052" t="s">
        <v>3253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2031</v>
      </c>
      <c r="C35" s="3050" t="s">
        <v>3250</v>
      </c>
      <c r="D35" s="1879"/>
      <c r="E35" s="1949"/>
      <c r="F35" s="1949"/>
      <c r="G35" s="1877" t="s">
        <v>2032</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2025</v>
      </c>
      <c r="D36" s="433" t="s">
        <v>2026</v>
      </c>
      <c r="E36" s="433" t="s">
        <v>2027</v>
      </c>
      <c r="F36" s="333" t="s">
        <v>2033</v>
      </c>
      <c r="G36" s="1952" t="s">
        <v>2025</v>
      </c>
      <c r="H36" s="1952" t="s">
        <v>2026</v>
      </c>
      <c r="I36" s="1952" t="s">
        <v>2027</v>
      </c>
      <c r="J36" s="235"/>
      <c r="K36" s="1962" t="s">
        <v>3254</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64"/>
      <c r="B37" s="1953" t="s">
        <v>2034</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3255</v>
      </c>
      <c r="L37" s="1962">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65"/>
      <c r="B38" s="1882" t="s">
        <v>2035</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65"/>
      <c r="B39" s="1882" t="s">
        <v>3248</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2036</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2037</v>
      </c>
      <c r="M40" s="1956"/>
      <c r="Z40" s="1057"/>
      <c r="AA40" s="1057"/>
      <c r="AB40" s="1057"/>
      <c r="AC40" s="1057"/>
      <c r="AD40" s="1057"/>
      <c r="AE40" s="1057"/>
      <c r="AF40" s="1057"/>
      <c r="AG40" s="1057"/>
      <c r="AH40" s="1057"/>
      <c r="AI40" s="1057"/>
      <c r="AJ40" s="1057"/>
    </row>
    <row r="41" spans="1:37" s="1056" customFormat="1">
      <c r="A41" s="1954"/>
      <c r="B41" s="1882" t="s">
        <v>2038</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3256</v>
      </c>
      <c r="M41" s="1957">
        <v>0.25</v>
      </c>
      <c r="Z41" s="1057"/>
      <c r="AA41" s="1057"/>
      <c r="AB41" s="1057"/>
      <c r="AC41" s="1057"/>
      <c r="AD41" s="1057"/>
      <c r="AE41" s="1057"/>
      <c r="AF41" s="1057"/>
      <c r="AG41" s="1057"/>
      <c r="AH41" s="1057"/>
      <c r="AI41" s="1057"/>
      <c r="AJ41" s="1057"/>
    </row>
    <row r="42" spans="1:37" s="1056" customFormat="1" ht="13.5" thickBot="1">
      <c r="A42" s="1941"/>
      <c r="B42" s="1958" t="s">
        <v>2039</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1991</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2120</v>
      </c>
      <c r="C44" s="333" t="e">
        <f>ROUND(POWER(1+E44,H44-G44)*(POWER(1+E44,G44)-1)/(POWER(1+E44,H44)-1),4)</f>
        <v>#DIV/0!</v>
      </c>
      <c r="D44" s="163" t="s">
        <v>1997</v>
      </c>
      <c r="E44" s="1989">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2040</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2041</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2042</v>
      </c>
      <c r="B49" s="1262" t="s">
        <v>2043</v>
      </c>
      <c r="C49" s="1262" t="s">
        <v>2044</v>
      </c>
      <c r="D49" s="1262" t="s">
        <v>2045</v>
      </c>
      <c r="E49" s="701" t="s">
        <v>2046</v>
      </c>
      <c r="F49" s="1969" t="s">
        <v>2047</v>
      </c>
      <c r="G49" s="1262" t="s">
        <v>310</v>
      </c>
      <c r="H49" s="1970"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68" t="s">
        <v>2050</v>
      </c>
      <c r="B50" s="1971">
        <f>估价对象房地状况!C4</f>
        <v>0</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8" t="s">
        <v>2051</v>
      </c>
      <c r="B51" s="1262">
        <f>估价对象房地状况!C18</f>
        <v>0</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3258</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2052</v>
      </c>
      <c r="B53" s="1972" t="s">
        <v>2053</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2054</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2055</v>
      </c>
      <c r="B55" s="1973" t="s">
        <v>2056</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4" t="s">
        <v>2057</v>
      </c>
      <c r="B56" s="1240">
        <f>估价对象房地状况!C21</f>
        <v>0</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4" t="s">
        <v>2058</v>
      </c>
      <c r="B57" s="1262">
        <f>估价对象房地状况!C22</f>
        <v>0</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5" t="s">
        <v>2059</v>
      </c>
      <c r="B58" s="1976">
        <f>估价对象房地状况!C20</f>
        <v>0</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2060</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2042</v>
      </c>
      <c r="B60" s="1262"/>
      <c r="C60" s="1262" t="s">
        <v>2044</v>
      </c>
      <c r="D60" s="1262" t="s">
        <v>2045</v>
      </c>
      <c r="E60" s="701" t="s">
        <v>2046</v>
      </c>
      <c r="F60" s="1969" t="s">
        <v>2061</v>
      </c>
      <c r="G60" s="1262" t="s">
        <v>310</v>
      </c>
      <c r="H60" s="1970"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68" t="s">
        <v>2062</v>
      </c>
      <c r="B61" s="1971">
        <f>估价对象房地状况!C17</f>
        <v>0</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8" t="s">
        <v>2051</v>
      </c>
      <c r="B62" s="1262">
        <f>估价对象房地状况!C18</f>
        <v>0</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3258</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2052</v>
      </c>
      <c r="B64" s="1972" t="s">
        <v>2053</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2054</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2055</v>
      </c>
      <c r="B66" s="1973" t="s">
        <v>2056</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8" t="s">
        <v>2057</v>
      </c>
      <c r="B67" s="1240">
        <f>估价对象房地状况!C21</f>
        <v>0</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8" t="s">
        <v>2058</v>
      </c>
      <c r="B68" s="1240">
        <f>估价对象房地状况!C22</f>
        <v>0</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5" t="s">
        <v>2059</v>
      </c>
      <c r="B69" s="1977">
        <f>估价对象房地状况!C20</f>
        <v>0</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2063</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2042</v>
      </c>
      <c r="B71" s="1262"/>
      <c r="C71" s="1262" t="s">
        <v>2044</v>
      </c>
      <c r="D71" s="1262" t="s">
        <v>2045</v>
      </c>
      <c r="E71" s="701" t="s">
        <v>2046</v>
      </c>
      <c r="F71" s="1969" t="s">
        <v>2061</v>
      </c>
      <c r="G71" s="1262" t="s">
        <v>310</v>
      </c>
      <c r="H71" s="1970"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68" t="s">
        <v>2064</v>
      </c>
      <c r="B72" s="1971">
        <f>估价对象房地状况!C15</f>
        <v>0</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8" t="s">
        <v>2051</v>
      </c>
      <c r="B73" s="1262">
        <f>估价对象房地状况!C18</f>
        <v>0</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3258</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2065</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4">
      <c r="A76" s="1968" t="s">
        <v>2057</v>
      </c>
      <c r="B76" s="1240">
        <f>估价对象房地状况!C21</f>
        <v>0</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4">
      <c r="A77" s="1968" t="s">
        <v>2058</v>
      </c>
      <c r="B77" s="1240">
        <f>估价对象房地状况!C22</f>
        <v>0</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2055</v>
      </c>
      <c r="B78" s="1973" t="s">
        <v>2056</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4">
      <c r="A79" s="1968" t="s">
        <v>2059</v>
      </c>
      <c r="B79" s="1971">
        <f>估价对象房地状况!C20</f>
        <v>0</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2066</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2067</v>
      </c>
      <c r="B81" s="1966">
        <f>1+E83</f>
        <v>1</v>
      </c>
      <c r="C81" s="699"/>
      <c r="D81" s="699"/>
      <c r="E81" s="700"/>
      <c r="F81" s="1967"/>
      <c r="G81" s="3"/>
      <c r="H81" s="3"/>
      <c r="I81" s="3"/>
      <c r="J81" s="4"/>
      <c r="K81" s="4"/>
      <c r="L81" s="4"/>
      <c r="M81" s="4"/>
      <c r="N81" s="4"/>
      <c r="Z81" s="1843"/>
      <c r="AA81" s="1893"/>
      <c r="AG81" s="1058"/>
      <c r="AK81" s="1893"/>
    </row>
    <row r="82" spans="1:37" ht="24.75">
      <c r="A82" s="1968" t="s">
        <v>2042</v>
      </c>
      <c r="B82" s="1262"/>
      <c r="C82" s="1262" t="s">
        <v>2044</v>
      </c>
      <c r="D82" s="1262" t="s">
        <v>2045</v>
      </c>
      <c r="E82" s="701" t="s">
        <v>2046</v>
      </c>
      <c r="F82" s="1969" t="s">
        <v>2061</v>
      </c>
      <c r="G82" s="1262" t="s">
        <v>310</v>
      </c>
      <c r="H82" s="1970" t="s">
        <v>2048</v>
      </c>
      <c r="I82" s="1262" t="s">
        <v>2049</v>
      </c>
      <c r="J82" s="530" t="s">
        <v>1719</v>
      </c>
      <c r="K82" s="530" t="s">
        <v>1720</v>
      </c>
      <c r="L82" s="530" t="s">
        <v>1721</v>
      </c>
      <c r="M82" s="530" t="s">
        <v>1722</v>
      </c>
      <c r="N82" s="530" t="s">
        <v>1723</v>
      </c>
      <c r="Z82" s="1843"/>
      <c r="AA82" s="1893"/>
      <c r="AG82" s="1058"/>
      <c r="AK82" s="1893"/>
    </row>
    <row r="83" spans="1:37" ht="24">
      <c r="A83" s="1968" t="s">
        <v>2068</v>
      </c>
      <c r="B83" s="1262">
        <f>估价对象房地状况!G15</f>
        <v>0</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14.25">
      <c r="A84" s="1968" t="s">
        <v>2051</v>
      </c>
      <c r="B84" s="1262">
        <f>估价对象房地状况!G16</f>
        <v>0</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3259</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2065</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4">
      <c r="A87" s="1968" t="s">
        <v>2057</v>
      </c>
      <c r="B87" s="1240">
        <f>估价对象房地状况!G19</f>
        <v>0</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68" t="s">
        <v>2058</v>
      </c>
      <c r="B88" s="1240">
        <f>估价对象房地状况!G20</f>
        <v>0</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2055</v>
      </c>
      <c r="B89" s="1973" t="s">
        <v>2069</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5" thickBot="1">
      <c r="A90" s="1975" t="s">
        <v>2070</v>
      </c>
      <c r="B90" s="1980">
        <f>估价对象房地状况!G18</f>
        <v>0</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2601</v>
      </c>
      <c r="B91" s="3078">
        <f>1+E93</f>
        <v>1</v>
      </c>
      <c r="C91" s="3071"/>
      <c r="D91" s="3072"/>
      <c r="E91" s="1675"/>
      <c r="F91" s="1675"/>
      <c r="G91" s="3073"/>
      <c r="H91" s="3074"/>
      <c r="I91" s="3075"/>
      <c r="J91" s="3076"/>
      <c r="K91" s="3076"/>
      <c r="L91" s="3076"/>
      <c r="M91" s="3076"/>
      <c r="N91" s="3076"/>
    </row>
    <row r="92" spans="1:37" ht="24.75">
      <c r="A92" s="3079" t="s">
        <v>3260</v>
      </c>
      <c r="B92" s="2308"/>
      <c r="C92" s="2308" t="s">
        <v>3269</v>
      </c>
      <c r="D92" s="2308" t="s">
        <v>3270</v>
      </c>
      <c r="E92" s="3051" t="s">
        <v>3271</v>
      </c>
      <c r="F92" s="3081" t="s">
        <v>3272</v>
      </c>
      <c r="G92" s="2308" t="s">
        <v>3273</v>
      </c>
      <c r="H92" s="3088" t="s">
        <v>3276</v>
      </c>
      <c r="I92" s="2308" t="s">
        <v>3277</v>
      </c>
      <c r="J92" s="2148" t="s">
        <v>3278</v>
      </c>
      <c r="K92" s="2148" t="s">
        <v>3279</v>
      </c>
      <c r="L92" s="2148" t="s">
        <v>3280</v>
      </c>
      <c r="M92" s="2148" t="s">
        <v>3281</v>
      </c>
      <c r="N92" s="2148" t="s">
        <v>3282</v>
      </c>
    </row>
    <row r="93" spans="1:37" ht="24">
      <c r="A93" s="3069" t="s">
        <v>3261</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14.25">
      <c r="A94" s="3079" t="s">
        <v>3262</v>
      </c>
      <c r="B94" s="3070">
        <f>估价对象房地状况!C18</f>
        <v>0</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3258</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3263</v>
      </c>
      <c r="B96" s="3085" t="s">
        <v>3274</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3264</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3265</v>
      </c>
      <c r="B98" s="3086" t="s">
        <v>3275</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4">
      <c r="A99" s="3079" t="s">
        <v>3266</v>
      </c>
      <c r="B99" s="3070">
        <f>估价对象房地状况!C21</f>
        <v>0</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4">
      <c r="A100" s="3079" t="s">
        <v>3267</v>
      </c>
      <c r="B100" s="3070">
        <f>估价对象房地状况!C22</f>
        <v>0</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4.75" thickBot="1">
      <c r="A101" s="3080" t="s">
        <v>3268</v>
      </c>
      <c r="B101" s="3087">
        <f>估价对象房地状况!C20</f>
        <v>0</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2" t="s">
        <v>3283</v>
      </c>
      <c r="B103" s="3462"/>
      <c r="C103" s="3462"/>
      <c r="D103" s="3462"/>
      <c r="E103" s="3462"/>
      <c r="F103" s="3462"/>
      <c r="G103" s="3462"/>
      <c r="H103" s="3462"/>
      <c r="I103" s="3462"/>
      <c r="J103" s="3462"/>
      <c r="K103" s="1667"/>
      <c r="L103" s="1667"/>
      <c r="M103" s="1667"/>
      <c r="N103" s="1667"/>
    </row>
    <row r="104" spans="1:14">
      <c r="A104" s="3463" t="s">
        <v>3284</v>
      </c>
      <c r="B104" s="3463" t="s">
        <v>3285</v>
      </c>
      <c r="C104" s="3089" t="s">
        <v>3286</v>
      </c>
      <c r="D104" s="3090"/>
      <c r="E104" s="3090"/>
      <c r="F104" s="3090"/>
      <c r="G104" s="3090"/>
      <c r="H104" s="3090"/>
      <c r="I104" s="3090"/>
      <c r="J104" s="3091"/>
      <c r="K104" s="3092"/>
      <c r="L104" s="3092"/>
      <c r="M104" s="3092"/>
      <c r="N104" s="3092"/>
    </row>
    <row r="105" spans="1:14">
      <c r="A105" s="3463"/>
      <c r="B105" s="3463"/>
      <c r="C105" s="3093" t="s">
        <v>3287</v>
      </c>
      <c r="D105" s="3093" t="s">
        <v>3288</v>
      </c>
      <c r="E105" s="3093" t="s">
        <v>3289</v>
      </c>
      <c r="F105" s="3093" t="s">
        <v>3290</v>
      </c>
      <c r="G105" s="3093" t="s">
        <v>3291</v>
      </c>
      <c r="H105" s="3093" t="s">
        <v>3292</v>
      </c>
      <c r="I105" s="3093" t="s">
        <v>3293</v>
      </c>
      <c r="J105" s="3093" t="s">
        <v>3294</v>
      </c>
      <c r="K105" s="3093" t="s">
        <v>3295</v>
      </c>
      <c r="L105" s="3093" t="s">
        <v>3296</v>
      </c>
      <c r="M105" s="3093" t="s">
        <v>3297</v>
      </c>
      <c r="N105" s="3093" t="s">
        <v>3298</v>
      </c>
    </row>
    <row r="106" spans="1:14">
      <c r="A106" s="3449" t="s">
        <v>3299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0"/>
      <c r="B111" s="3093" t="s">
        <v>3257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2" t="s">
        <v>3300</v>
      </c>
      <c r="B113" s="3452"/>
      <c r="C113" s="3452"/>
      <c r="D113" s="3452"/>
      <c r="E113" s="3452"/>
      <c r="F113" s="3452"/>
      <c r="G113" s="3452"/>
      <c r="H113" s="3452"/>
      <c r="I113" s="3452"/>
      <c r="J113" s="3452"/>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3301</v>
      </c>
      <c r="B116" s="3113">
        <f>G3</f>
        <v>0</v>
      </c>
      <c r="C116" s="3098" t="s">
        <v>3302</v>
      </c>
      <c r="D116" s="3099">
        <f>SUMPRODUCT((A118:A122=F116)*(B117:M117=H116)*B118:M122)</f>
        <v>0</v>
      </c>
      <c r="E116" s="162" t="s">
        <v>3303</v>
      </c>
      <c r="F116" s="3100">
        <f>E2</f>
        <v>0</v>
      </c>
      <c r="G116" s="162" t="s">
        <v>3304</v>
      </c>
      <c r="H116" s="3100">
        <f>G2</f>
        <v>0</v>
      </c>
      <c r="I116" s="162"/>
      <c r="J116" s="3101"/>
      <c r="K116" s="3101"/>
      <c r="L116" s="3101"/>
      <c r="M116" s="3101"/>
      <c r="N116" s="3096"/>
    </row>
    <row r="117" spans="1:14">
      <c r="A117" s="3102"/>
      <c r="B117" s="3103" t="s">
        <v>3305</v>
      </c>
      <c r="C117" s="3103" t="s">
        <v>3306</v>
      </c>
      <c r="D117" s="3103" t="s">
        <v>3307</v>
      </c>
      <c r="E117" s="3104" t="s">
        <v>3308</v>
      </c>
      <c r="F117" s="3104" t="s">
        <v>3309</v>
      </c>
      <c r="G117" s="3104" t="s">
        <v>3310</v>
      </c>
      <c r="H117" s="3105" t="s">
        <v>3311</v>
      </c>
      <c r="I117" s="3105" t="s">
        <v>3312</v>
      </c>
      <c r="J117" s="3106" t="s">
        <v>3313</v>
      </c>
      <c r="K117" s="3106" t="s">
        <v>3314</v>
      </c>
      <c r="L117" s="3106" t="s">
        <v>3315</v>
      </c>
      <c r="M117" s="3107" t="s">
        <v>3316</v>
      </c>
      <c r="N117" s="3096"/>
    </row>
    <row r="118" spans="1:14">
      <c r="A118" s="3056" t="s">
        <v>3317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3318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3319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2583</v>
      </c>
      <c r="B1" s="2810" t="s">
        <v>2584</v>
      </c>
      <c r="C1" s="2810" t="s">
        <v>2585</v>
      </c>
      <c r="D1" s="2810" t="s">
        <v>2586</v>
      </c>
      <c r="E1" s="2810" t="s">
        <v>2587</v>
      </c>
      <c r="F1" s="2810" t="s">
        <v>2588</v>
      </c>
      <c r="G1" s="2810" t="s">
        <v>2589</v>
      </c>
      <c r="H1" s="2810" t="s">
        <v>2590</v>
      </c>
      <c r="I1" s="2810" t="s">
        <v>2591</v>
      </c>
      <c r="J1" s="2810" t="s">
        <v>2592</v>
      </c>
      <c r="K1" s="2810" t="s">
        <v>2593</v>
      </c>
      <c r="L1" s="2810" t="s">
        <v>2594</v>
      </c>
      <c r="M1" s="2811" t="s">
        <v>2595</v>
      </c>
    </row>
    <row r="2" spans="1:13" ht="19.5" customHeight="1">
      <c r="A2" s="2813" t="s">
        <v>2596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2598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2599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2608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2609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2612</v>
      </c>
      <c r="B18" s="2835"/>
      <c r="C18" s="2836"/>
      <c r="D18" s="2836"/>
      <c r="E18" s="2835"/>
      <c r="F18" s="2836"/>
      <c r="G18" s="2836"/>
    </row>
    <row r="19" spans="1:13" ht="19.5" customHeight="1" thickBot="1">
      <c r="A19" s="2833" t="s">
        <v>2613</v>
      </c>
      <c r="B19" s="2838" t="s">
        <v>2614</v>
      </c>
      <c r="C19" s="2838" t="s">
        <v>2615</v>
      </c>
      <c r="D19" s="2839"/>
      <c r="E19" s="2833" t="s">
        <v>2616</v>
      </c>
      <c r="F19" s="2840"/>
      <c r="G19" s="2840"/>
    </row>
    <row r="20" spans="1:13" ht="19.5" customHeight="1">
      <c r="A20" s="3475" t="s">
        <v>2596</v>
      </c>
      <c r="B20" s="3468" t="s">
        <v>2617</v>
      </c>
      <c r="C20" s="2841" t="s">
        <v>2428</v>
      </c>
      <c r="D20" s="2842"/>
      <c r="E20" s="2843">
        <v>1</v>
      </c>
      <c r="F20" s="2844" t="s">
        <v>2429</v>
      </c>
      <c r="G20" s="2844"/>
    </row>
    <row r="21" spans="1:13" ht="19.5" customHeight="1">
      <c r="A21" s="3476"/>
      <c r="B21" s="3469"/>
      <c r="C21" s="2845" t="s">
        <v>2430</v>
      </c>
      <c r="D21" s="2846"/>
      <c r="E21" s="2847">
        <v>1</v>
      </c>
      <c r="F21" s="2844" t="s">
        <v>2431</v>
      </c>
      <c r="G21" s="2844"/>
    </row>
    <row r="22" spans="1:13" ht="19.5" customHeight="1">
      <c r="A22" s="3476"/>
      <c r="B22" s="3469"/>
      <c r="C22" s="2845" t="s">
        <v>2432</v>
      </c>
      <c r="D22" s="2846"/>
      <c r="E22" s="2847">
        <v>0.9</v>
      </c>
      <c r="F22" s="2844" t="s">
        <v>2433</v>
      </c>
      <c r="G22" s="2844"/>
    </row>
    <row r="23" spans="1:13" ht="19.5" customHeight="1">
      <c r="A23" s="3476"/>
      <c r="B23" s="3469"/>
      <c r="C23" s="2845" t="s">
        <v>2434</v>
      </c>
      <c r="D23" s="2846"/>
      <c r="E23" s="2847">
        <v>0.9</v>
      </c>
      <c r="F23" s="2844" t="s">
        <v>2435</v>
      </c>
      <c r="G23" s="2844"/>
    </row>
    <row r="24" spans="1:13" ht="19.5" customHeight="1">
      <c r="A24" s="3476"/>
      <c r="B24" s="3469"/>
      <c r="C24" s="2845" t="s">
        <v>2436</v>
      </c>
      <c r="D24" s="2846"/>
      <c r="E24" s="2847">
        <v>0.8</v>
      </c>
      <c r="F24" s="2844" t="s">
        <v>2437</v>
      </c>
      <c r="G24" s="2844"/>
    </row>
    <row r="25" spans="1:13" ht="19.5" customHeight="1" thickBot="1">
      <c r="A25" s="3477"/>
      <c r="B25" s="3470"/>
      <c r="C25" s="2848" t="s">
        <v>2438</v>
      </c>
      <c r="D25" s="2849"/>
      <c r="E25" s="2850">
        <v>0.8</v>
      </c>
      <c r="F25" s="2844" t="s">
        <v>2439</v>
      </c>
      <c r="G25" s="2844"/>
    </row>
    <row r="26" spans="1:13" ht="19.5" customHeight="1" thickBot="1">
      <c r="A26" s="2851" t="s">
        <v>2618</v>
      </c>
      <c r="B26" s="2852" t="s">
        <v>2617</v>
      </c>
      <c r="C26" s="2853" t="s">
        <v>2619</v>
      </c>
      <c r="D26" s="2854"/>
      <c r="E26" s="2855">
        <v>1</v>
      </c>
      <c r="F26" s="2844" t="s">
        <v>2440</v>
      </c>
      <c r="G26" s="2844"/>
    </row>
    <row r="27" spans="1:13" ht="19.5" customHeight="1">
      <c r="A27" s="3471" t="s">
        <v>2620</v>
      </c>
      <c r="B27" s="3468" t="s">
        <v>2601</v>
      </c>
      <c r="C27" s="2841" t="s">
        <v>2441</v>
      </c>
      <c r="D27" s="2842"/>
      <c r="E27" s="2843">
        <v>1</v>
      </c>
      <c r="F27" s="2844" t="s">
        <v>2442</v>
      </c>
      <c r="G27" s="2844"/>
    </row>
    <row r="28" spans="1:13" ht="19.5" customHeight="1">
      <c r="A28" s="3472"/>
      <c r="B28" s="3469"/>
      <c r="C28" s="2845" t="s">
        <v>2443</v>
      </c>
      <c r="D28" s="2846"/>
      <c r="E28" s="2847">
        <v>1</v>
      </c>
      <c r="F28" s="2844" t="s">
        <v>2444</v>
      </c>
      <c r="G28" s="2844"/>
    </row>
    <row r="29" spans="1:13" ht="19.5" customHeight="1">
      <c r="A29" s="3472"/>
      <c r="B29" s="3469"/>
      <c r="C29" s="2845" t="s">
        <v>2445</v>
      </c>
      <c r="D29" s="2846"/>
      <c r="E29" s="2847">
        <v>0.8</v>
      </c>
      <c r="F29" s="2844" t="s">
        <v>2446</v>
      </c>
      <c r="G29" s="2844"/>
    </row>
    <row r="30" spans="1:13" ht="19.5" customHeight="1">
      <c r="A30" s="3472"/>
      <c r="B30" s="3469"/>
      <c r="C30" s="2845" t="s">
        <v>2447</v>
      </c>
      <c r="D30" s="2846"/>
      <c r="E30" s="2847">
        <v>0.8</v>
      </c>
      <c r="F30" s="2844" t="s">
        <v>2448</v>
      </c>
      <c r="G30" s="2844"/>
    </row>
    <row r="31" spans="1:13" ht="19.5" customHeight="1">
      <c r="A31" s="3472"/>
      <c r="B31" s="3469"/>
      <c r="C31" s="2845" t="s">
        <v>2449</v>
      </c>
      <c r="D31" s="2846"/>
      <c r="E31" s="2847">
        <v>0.8</v>
      </c>
      <c r="F31" s="2844" t="s">
        <v>2450</v>
      </c>
      <c r="G31" s="2844"/>
    </row>
    <row r="32" spans="1:13" ht="19.5" customHeight="1">
      <c r="A32" s="3472"/>
      <c r="B32" s="3469"/>
      <c r="C32" s="2845" t="s">
        <v>2451</v>
      </c>
      <c r="D32" s="2846"/>
      <c r="E32" s="2847">
        <v>0.7</v>
      </c>
      <c r="F32" s="2844" t="s">
        <v>2452</v>
      </c>
      <c r="G32" s="2844"/>
    </row>
    <row r="33" spans="1:7" ht="19.5" customHeight="1">
      <c r="A33" s="3472"/>
      <c r="B33" s="3469"/>
      <c r="C33" s="2845" t="s">
        <v>2453</v>
      </c>
      <c r="D33" s="2846"/>
      <c r="E33" s="2847">
        <v>0.8</v>
      </c>
      <c r="F33" s="2844" t="s">
        <v>2454</v>
      </c>
      <c r="G33" s="2844"/>
    </row>
    <row r="34" spans="1:7" ht="19.5" customHeight="1">
      <c r="A34" s="3472"/>
      <c r="B34" s="3469"/>
      <c r="C34" s="2845" t="s">
        <v>2455</v>
      </c>
      <c r="D34" s="2846"/>
      <c r="E34" s="2847">
        <v>0.6</v>
      </c>
      <c r="F34" s="2844" t="s">
        <v>2456</v>
      </c>
      <c r="G34" s="2844"/>
    </row>
    <row r="35" spans="1:7" ht="19.5" customHeight="1">
      <c r="A35" s="3472"/>
      <c r="B35" s="3469"/>
      <c r="C35" s="2845" t="s">
        <v>2457</v>
      </c>
      <c r="D35" s="2846"/>
      <c r="E35" s="2847">
        <v>0.2</v>
      </c>
      <c r="F35" s="2844" t="s">
        <v>2458</v>
      </c>
      <c r="G35" s="2844"/>
    </row>
    <row r="36" spans="1:7" ht="19.5" customHeight="1">
      <c r="A36" s="3472"/>
      <c r="B36" s="3469"/>
      <c r="C36" s="2845" t="s">
        <v>2459</v>
      </c>
      <c r="D36" s="2846"/>
      <c r="E36" s="2847">
        <v>0.2</v>
      </c>
      <c r="F36" s="2844" t="s">
        <v>2460</v>
      </c>
      <c r="G36" s="2844"/>
    </row>
    <row r="37" spans="1:7" ht="19.5" customHeight="1">
      <c r="A37" s="3472"/>
      <c r="B37" s="3474" t="s">
        <v>2621</v>
      </c>
      <c r="C37" s="2845" t="s">
        <v>2461</v>
      </c>
      <c r="D37" s="2846"/>
      <c r="E37" s="2847">
        <v>0.6</v>
      </c>
      <c r="F37" s="2844" t="s">
        <v>2462</v>
      </c>
      <c r="G37" s="2844"/>
    </row>
    <row r="38" spans="1:7" ht="19.5" customHeight="1">
      <c r="A38" s="3472"/>
      <c r="B38" s="3469"/>
      <c r="C38" s="2845" t="s">
        <v>2463</v>
      </c>
      <c r="D38" s="2846"/>
      <c r="E38" s="2847">
        <v>0.6</v>
      </c>
      <c r="F38" s="2844" t="s">
        <v>2464</v>
      </c>
      <c r="G38" s="2844"/>
    </row>
    <row r="39" spans="1:7" ht="19.5" customHeight="1" thickBot="1">
      <c r="A39" s="3473"/>
      <c r="B39" s="3470"/>
      <c r="C39" s="2848" t="s">
        <v>2465</v>
      </c>
      <c r="D39" s="2849"/>
      <c r="E39" s="2850">
        <v>0.6</v>
      </c>
      <c r="F39" s="2844" t="s">
        <v>2466</v>
      </c>
      <c r="G39" s="2844"/>
    </row>
    <row r="40" spans="1:7" ht="19.5" customHeight="1" thickBot="1">
      <c r="A40" s="2851" t="s">
        <v>2598</v>
      </c>
      <c r="B40" s="2852" t="s">
        <v>2598</v>
      </c>
      <c r="C40" s="2853" t="s">
        <v>2622</v>
      </c>
      <c r="D40" s="2854"/>
      <c r="E40" s="2855">
        <v>1</v>
      </c>
      <c r="F40" s="2844" t="s">
        <v>2467</v>
      </c>
      <c r="G40" s="2844"/>
    </row>
    <row r="41" spans="1:7" ht="19.5" customHeight="1">
      <c r="A41" s="3475" t="s">
        <v>2599</v>
      </c>
      <c r="B41" s="3468" t="s">
        <v>2623</v>
      </c>
      <c r="C41" s="2841" t="s">
        <v>2468</v>
      </c>
      <c r="D41" s="2842"/>
      <c r="E41" s="2843">
        <v>1</v>
      </c>
      <c r="F41" s="2844" t="s">
        <v>2469</v>
      </c>
      <c r="G41" s="2844"/>
    </row>
    <row r="42" spans="1:7" ht="19.5" customHeight="1">
      <c r="A42" s="3476"/>
      <c r="B42" s="3469"/>
      <c r="C42" s="2845" t="s">
        <v>2470</v>
      </c>
      <c r="D42" s="2846"/>
      <c r="E42" s="2847">
        <v>1</v>
      </c>
      <c r="F42" s="2844" t="s">
        <v>2471</v>
      </c>
      <c r="G42" s="2844"/>
    </row>
    <row r="43" spans="1:7" ht="19.5" customHeight="1">
      <c r="A43" s="3476"/>
      <c r="B43" s="3478"/>
      <c r="C43" s="2845" t="s">
        <v>2472</v>
      </c>
      <c r="D43" s="2846"/>
      <c r="E43" s="2847">
        <v>1.5</v>
      </c>
      <c r="F43" s="2844" t="s">
        <v>2473</v>
      </c>
      <c r="G43" s="2844"/>
    </row>
    <row r="44" spans="1:7" ht="19.5" customHeight="1">
      <c r="A44" s="3476"/>
      <c r="B44" s="2856" t="s">
        <v>2624</v>
      </c>
      <c r="C44" s="2845" t="s">
        <v>2625</v>
      </c>
      <c r="D44" s="2846"/>
      <c r="E44" s="2847">
        <v>2</v>
      </c>
      <c r="F44" s="2844" t="s">
        <v>2474</v>
      </c>
      <c r="G44" s="2844"/>
    </row>
    <row r="45" spans="1:7" ht="19.5" customHeight="1">
      <c r="A45" s="3476"/>
      <c r="B45" s="3474" t="s">
        <v>2626</v>
      </c>
      <c r="C45" s="2845" t="s">
        <v>2475</v>
      </c>
      <c r="D45" s="2846"/>
      <c r="E45" s="2847">
        <v>1</v>
      </c>
      <c r="F45" s="2844" t="s">
        <v>2476</v>
      </c>
      <c r="G45" s="2844"/>
    </row>
    <row r="46" spans="1:7" ht="19.5" customHeight="1">
      <c r="A46" s="3476"/>
      <c r="B46" s="3469"/>
      <c r="C46" s="2845" t="s">
        <v>2477</v>
      </c>
      <c r="D46" s="2846"/>
      <c r="E46" s="2847">
        <v>1</v>
      </c>
      <c r="F46" s="2844" t="s">
        <v>2478</v>
      </c>
      <c r="G46" s="2844"/>
    </row>
    <row r="47" spans="1:7" ht="19.5" customHeight="1">
      <c r="A47" s="3476"/>
      <c r="B47" s="3469"/>
      <c r="C47" s="2845" t="s">
        <v>2479</v>
      </c>
      <c r="D47" s="2846"/>
      <c r="E47" s="2847">
        <v>1</v>
      </c>
      <c r="F47" s="2844" t="s">
        <v>2480</v>
      </c>
      <c r="G47" s="2844"/>
    </row>
    <row r="48" spans="1:7" ht="19.5" customHeight="1">
      <c r="A48" s="3476"/>
      <c r="B48" s="3469"/>
      <c r="C48" s="2845" t="s">
        <v>2481</v>
      </c>
      <c r="D48" s="2846"/>
      <c r="E48" s="2847">
        <v>1</v>
      </c>
      <c r="F48" s="2844" t="s">
        <v>2482</v>
      </c>
      <c r="G48" s="2844"/>
    </row>
    <row r="49" spans="1:7" ht="19.5" customHeight="1">
      <c r="A49" s="3476"/>
      <c r="B49" s="3469"/>
      <c r="C49" s="2845" t="s">
        <v>2483</v>
      </c>
      <c r="D49" s="2846"/>
      <c r="E49" s="2847">
        <v>1</v>
      </c>
      <c r="F49" s="2844" t="s">
        <v>2484</v>
      </c>
      <c r="G49" s="2844"/>
    </row>
    <row r="50" spans="1:7" ht="19.5" customHeight="1">
      <c r="A50" s="3476"/>
      <c r="B50" s="3469"/>
      <c r="C50" s="2845" t="s">
        <v>2485</v>
      </c>
      <c r="D50" s="2846"/>
      <c r="E50" s="2847">
        <v>1</v>
      </c>
      <c r="F50" s="2844" t="s">
        <v>2486</v>
      </c>
      <c r="G50" s="2844"/>
    </row>
    <row r="51" spans="1:7" ht="19.5" customHeight="1" thickBot="1">
      <c r="A51" s="3477"/>
      <c r="B51" s="3470"/>
      <c r="C51" s="2848" t="s">
        <v>2487</v>
      </c>
      <c r="D51" s="2849"/>
      <c r="E51" s="2850">
        <v>1</v>
      </c>
      <c r="F51" s="2844" t="s">
        <v>2488</v>
      </c>
      <c r="G51" s="2844"/>
    </row>
    <row r="52" spans="1:7" ht="19.5" customHeight="1">
      <c r="A52" s="2857"/>
      <c r="B52" s="2857"/>
      <c r="C52" s="2857"/>
      <c r="D52" s="2857"/>
      <c r="E52" s="2857"/>
      <c r="F52" s="2857"/>
      <c r="G52" s="2857"/>
    </row>
    <row r="54" spans="1:7" ht="19.5" customHeight="1">
      <c r="A54" s="2858"/>
      <c r="B54" s="2830" t="s">
        <v>2627</v>
      </c>
      <c r="C54" s="2830" t="s">
        <v>2627</v>
      </c>
      <c r="D54" s="2830" t="s">
        <v>2627</v>
      </c>
      <c r="E54" s="2833" t="s">
        <v>2627</v>
      </c>
      <c r="F54" s="2833" t="s">
        <v>2628</v>
      </c>
      <c r="G54" s="2833" t="s">
        <v>2629</v>
      </c>
    </row>
    <row r="55" spans="1:7" ht="19.5" customHeight="1">
      <c r="A55" s="2859"/>
      <c r="B55" s="2833" t="s">
        <v>2596</v>
      </c>
      <c r="C55" s="2833" t="s">
        <v>2596</v>
      </c>
      <c r="D55" s="2833" t="s">
        <v>2596</v>
      </c>
      <c r="E55" s="2830" t="s">
        <v>2597</v>
      </c>
      <c r="F55" s="2830" t="s">
        <v>2599</v>
      </c>
      <c r="G55" s="2830" t="s">
        <v>2630</v>
      </c>
    </row>
    <row r="56" spans="1:7" ht="19.5" customHeight="1">
      <c r="A56" s="2860"/>
      <c r="B56" s="2830">
        <v>1</v>
      </c>
      <c r="C56" s="2830">
        <v>2</v>
      </c>
      <c r="D56" s="2830">
        <v>3</v>
      </c>
      <c r="E56" s="2861" t="s">
        <v>2631</v>
      </c>
      <c r="F56" s="2861" t="s">
        <v>2631</v>
      </c>
      <c r="G56" s="2861" t="s">
        <v>2631</v>
      </c>
    </row>
    <row r="57" spans="1:7" ht="19.5" customHeight="1">
      <c r="A57" s="2862" t="s">
        <v>2584</v>
      </c>
      <c r="B57" s="2830">
        <v>0.7</v>
      </c>
      <c r="C57" s="2830">
        <v>0.4</v>
      </c>
      <c r="D57" s="2830">
        <v>0.3</v>
      </c>
      <c r="E57" s="2861">
        <v>0.3</v>
      </c>
      <c r="F57" s="2830">
        <v>0.3</v>
      </c>
      <c r="G57" s="2830">
        <v>0.2</v>
      </c>
    </row>
    <row r="58" spans="1:7" ht="19.5" customHeight="1">
      <c r="A58" s="2862" t="s">
        <v>2585</v>
      </c>
      <c r="B58" s="2830">
        <v>0.7</v>
      </c>
      <c r="C58" s="2830">
        <v>0.4</v>
      </c>
      <c r="D58" s="2830">
        <v>0.3</v>
      </c>
      <c r="E58" s="2830">
        <v>0.3</v>
      </c>
      <c r="F58" s="2830">
        <v>0.3</v>
      </c>
      <c r="G58" s="2830">
        <v>0.2</v>
      </c>
    </row>
    <row r="59" spans="1:7" ht="19.5" customHeight="1">
      <c r="A59" s="2862" t="s">
        <v>2586</v>
      </c>
      <c r="B59" s="2830">
        <v>0.6</v>
      </c>
      <c r="C59" s="2830">
        <v>0.3</v>
      </c>
      <c r="D59" s="2830">
        <v>0.25</v>
      </c>
      <c r="E59" s="2830">
        <v>0.25</v>
      </c>
      <c r="F59" s="2830">
        <v>0.25</v>
      </c>
      <c r="G59" s="2830">
        <v>0.15</v>
      </c>
    </row>
    <row r="60" spans="1:7" ht="19.5" customHeight="1">
      <c r="A60" s="2862" t="s">
        <v>2587</v>
      </c>
      <c r="B60" s="2830">
        <v>0.6</v>
      </c>
      <c r="C60" s="2830">
        <v>0.3</v>
      </c>
      <c r="D60" s="2830">
        <v>0.25</v>
      </c>
      <c r="E60" s="2830">
        <v>0.25</v>
      </c>
      <c r="F60" s="2830">
        <v>0.25</v>
      </c>
      <c r="G60" s="2830">
        <v>0.15</v>
      </c>
    </row>
    <row r="61" spans="1:7" ht="19.5" customHeight="1">
      <c r="A61" s="2862" t="s">
        <v>2588</v>
      </c>
      <c r="B61" s="2830">
        <v>0.6</v>
      </c>
      <c r="C61" s="2830">
        <v>0.3</v>
      </c>
      <c r="D61" s="2830">
        <v>0.25</v>
      </c>
      <c r="E61" s="2830">
        <v>0.25</v>
      </c>
      <c r="F61" s="2830">
        <v>0.25</v>
      </c>
      <c r="G61" s="2830">
        <v>0.15</v>
      </c>
    </row>
    <row r="62" spans="1:7" ht="19.5" customHeight="1">
      <c r="A62" s="2862" t="s">
        <v>2589</v>
      </c>
      <c r="B62" s="2830">
        <v>0.6</v>
      </c>
      <c r="C62" s="2830">
        <v>0.3</v>
      </c>
      <c r="D62" s="2830">
        <v>0.25</v>
      </c>
      <c r="E62" s="2830">
        <v>0.25</v>
      </c>
      <c r="F62" s="2830">
        <v>0.25</v>
      </c>
      <c r="G62" s="2830">
        <v>0.15</v>
      </c>
    </row>
    <row r="63" spans="1:7" ht="19.5" customHeight="1">
      <c r="A63" s="2862" t="s">
        <v>2590</v>
      </c>
      <c r="B63" s="2830">
        <v>0.6</v>
      </c>
      <c r="C63" s="2830">
        <v>0.3</v>
      </c>
      <c r="D63" s="2830">
        <v>0.25</v>
      </c>
      <c r="E63" s="2830">
        <v>0.25</v>
      </c>
      <c r="F63" s="2830">
        <v>0.25</v>
      </c>
      <c r="G63" s="2830">
        <v>0.15</v>
      </c>
    </row>
    <row r="64" spans="1:7" ht="19.5" customHeight="1">
      <c r="A64" s="2862" t="s">
        <v>2591</v>
      </c>
      <c r="B64" s="2830">
        <v>0.5</v>
      </c>
      <c r="C64" s="2830">
        <v>0.2</v>
      </c>
      <c r="D64" s="2830">
        <v>0.2</v>
      </c>
      <c r="E64" s="2830">
        <v>0.2</v>
      </c>
      <c r="F64" s="2830">
        <v>0.2</v>
      </c>
      <c r="G64" s="2830">
        <v>0.1</v>
      </c>
    </row>
    <row r="65" spans="1:7" ht="19.5" customHeight="1">
      <c r="A65" s="2862" t="s">
        <v>2592</v>
      </c>
      <c r="B65" s="2830">
        <v>0.5</v>
      </c>
      <c r="C65" s="2830">
        <v>0.2</v>
      </c>
      <c r="D65" s="2830">
        <v>0.2</v>
      </c>
      <c r="E65" s="2830">
        <v>0.2</v>
      </c>
      <c r="F65" s="2830">
        <v>0.2</v>
      </c>
      <c r="G65" s="2830">
        <v>0.1</v>
      </c>
    </row>
    <row r="66" spans="1:7" ht="19.5" customHeight="1">
      <c r="A66" s="2862" t="s">
        <v>2593</v>
      </c>
      <c r="B66" s="2830">
        <v>0.5</v>
      </c>
      <c r="C66" s="2830">
        <v>0.2</v>
      </c>
      <c r="D66" s="2830">
        <v>0.2</v>
      </c>
      <c r="E66" s="2830">
        <v>0.2</v>
      </c>
      <c r="F66" s="2830">
        <v>0.2</v>
      </c>
      <c r="G66" s="2830">
        <v>0.1</v>
      </c>
    </row>
    <row r="67" spans="1:7" ht="19.5" customHeight="1">
      <c r="A67" s="2862" t="s">
        <v>2594</v>
      </c>
      <c r="B67" s="2830">
        <v>0.5</v>
      </c>
      <c r="C67" s="2830">
        <v>0.2</v>
      </c>
      <c r="D67" s="2830">
        <v>0.2</v>
      </c>
      <c r="E67" s="2830">
        <v>0.2</v>
      </c>
      <c r="F67" s="2830">
        <v>0.2</v>
      </c>
      <c r="G67" s="2830">
        <v>0.1</v>
      </c>
    </row>
    <row r="68" spans="1:7" ht="19.5" customHeight="1">
      <c r="A68" s="2862" t="s">
        <v>2595</v>
      </c>
      <c r="B68" s="2830">
        <v>0.5</v>
      </c>
      <c r="C68" s="2830">
        <v>0.2</v>
      </c>
      <c r="D68" s="2830">
        <v>0.2</v>
      </c>
      <c r="E68" s="2830">
        <v>0.2</v>
      </c>
      <c r="F68" s="2830">
        <v>0.2</v>
      </c>
      <c r="G68" s="2830">
        <v>0.1</v>
      </c>
    </row>
    <row r="70" spans="1:7" ht="19.5" customHeight="1">
      <c r="A70" s="2844"/>
      <c r="B70" s="2863"/>
      <c r="C70" s="2863"/>
      <c r="D70" s="2863" t="s">
        <v>2632</v>
      </c>
      <c r="E70" s="2863"/>
      <c r="F70" s="2863"/>
    </row>
    <row r="71" spans="1:7" ht="19.5" customHeight="1">
      <c r="A71" s="2856" t="s">
        <v>2633</v>
      </c>
      <c r="B71" s="2856" t="s">
        <v>2634</v>
      </c>
      <c r="C71" s="2856" t="s">
        <v>2635</v>
      </c>
      <c r="D71" s="2856" t="s">
        <v>2636</v>
      </c>
      <c r="E71" s="2856" t="s">
        <v>2637</v>
      </c>
      <c r="F71" s="2856" t="s">
        <v>2638</v>
      </c>
    </row>
    <row r="72" spans="1:7" ht="13.5">
      <c r="A72" s="2856"/>
      <c r="B72" s="2856"/>
      <c r="C72" s="2856" t="s">
        <v>2639</v>
      </c>
      <c r="D72" s="2856"/>
      <c r="E72" s="2856" t="s">
        <v>2610</v>
      </c>
      <c r="F72" s="2856" t="s">
        <v>2610</v>
      </c>
    </row>
    <row r="73" spans="1:7" ht="13.5">
      <c r="A73" s="2856">
        <v>1</v>
      </c>
      <c r="B73" s="3474" t="s">
        <v>2640</v>
      </c>
      <c r="C73" s="2830" t="s">
        <v>2641</v>
      </c>
      <c r="D73" s="2830" t="s">
        <v>2642</v>
      </c>
      <c r="E73" s="2856">
        <v>0.2</v>
      </c>
      <c r="F73" s="2856">
        <v>25</v>
      </c>
    </row>
    <row r="74" spans="1:7" ht="24">
      <c r="A74" s="2856">
        <v>2</v>
      </c>
      <c r="B74" s="3469"/>
      <c r="C74" s="2830" t="s">
        <v>2643</v>
      </c>
      <c r="D74" s="2830" t="s">
        <v>2644</v>
      </c>
      <c r="E74" s="2856">
        <v>0.2</v>
      </c>
      <c r="F74" s="2856">
        <v>25</v>
      </c>
    </row>
    <row r="75" spans="1:7" ht="24">
      <c r="A75" s="2856">
        <v>3</v>
      </c>
      <c r="B75" s="3469"/>
      <c r="C75" s="2830" t="s">
        <v>2645</v>
      </c>
      <c r="D75" s="2830" t="s">
        <v>2646</v>
      </c>
      <c r="E75" s="2856">
        <v>0.2</v>
      </c>
      <c r="F75" s="2856">
        <v>25</v>
      </c>
    </row>
    <row r="76" spans="1:7" ht="13.5">
      <c r="A76" s="2856">
        <v>4</v>
      </c>
      <c r="B76" s="3469"/>
      <c r="C76" s="2830" t="s">
        <v>2647</v>
      </c>
      <c r="D76" s="2830" t="s">
        <v>2648</v>
      </c>
      <c r="E76" s="2856">
        <v>0.15</v>
      </c>
      <c r="F76" s="2856">
        <v>20</v>
      </c>
    </row>
    <row r="77" spans="1:7" ht="24">
      <c r="A77" s="2856">
        <v>5</v>
      </c>
      <c r="B77" s="3469"/>
      <c r="C77" s="2830" t="s">
        <v>2649</v>
      </c>
      <c r="D77" s="2830" t="s">
        <v>2650</v>
      </c>
      <c r="E77" s="2856">
        <v>0.15</v>
      </c>
      <c r="F77" s="2856">
        <v>20</v>
      </c>
    </row>
    <row r="78" spans="1:7" ht="24">
      <c r="A78" s="2856">
        <v>6</v>
      </c>
      <c r="B78" s="3469"/>
      <c r="C78" s="2830" t="s">
        <v>2651</v>
      </c>
      <c r="D78" s="2830" t="s">
        <v>2652</v>
      </c>
      <c r="E78" s="2856">
        <v>0.15</v>
      </c>
      <c r="F78" s="2856">
        <v>20</v>
      </c>
    </row>
    <row r="79" spans="1:7" ht="24">
      <c r="A79" s="2856">
        <v>7</v>
      </c>
      <c r="B79" s="3469"/>
      <c r="C79" s="2830" t="s">
        <v>2653</v>
      </c>
      <c r="D79" s="2830" t="s">
        <v>2654</v>
      </c>
      <c r="E79" s="2856">
        <v>0.15</v>
      </c>
      <c r="F79" s="2856">
        <v>20</v>
      </c>
    </row>
    <row r="80" spans="1:7" ht="24">
      <c r="A80" s="2856">
        <v>8</v>
      </c>
      <c r="B80" s="3469"/>
      <c r="C80" s="2830" t="s">
        <v>2655</v>
      </c>
      <c r="D80" s="2830" t="s">
        <v>2656</v>
      </c>
      <c r="E80" s="2856">
        <v>0.1</v>
      </c>
      <c r="F80" s="2856">
        <v>15</v>
      </c>
    </row>
    <row r="81" spans="1:6" ht="24">
      <c r="A81" s="2856">
        <v>9</v>
      </c>
      <c r="B81" s="3469"/>
      <c r="C81" s="2830" t="s">
        <v>2657</v>
      </c>
      <c r="D81" s="2830" t="s">
        <v>2658</v>
      </c>
      <c r="E81" s="2856">
        <v>0.1</v>
      </c>
      <c r="F81" s="2856">
        <v>15</v>
      </c>
    </row>
    <row r="82" spans="1:6" ht="24">
      <c r="A82" s="2856">
        <v>10</v>
      </c>
      <c r="B82" s="3469"/>
      <c r="C82" s="2830" t="s">
        <v>2659</v>
      </c>
      <c r="D82" s="2830" t="s">
        <v>2660</v>
      </c>
      <c r="E82" s="2856">
        <v>0.1</v>
      </c>
      <c r="F82" s="2856">
        <v>15</v>
      </c>
    </row>
    <row r="83" spans="1:6" ht="24">
      <c r="A83" s="2856">
        <v>11</v>
      </c>
      <c r="B83" s="3469"/>
      <c r="C83" s="2830" t="s">
        <v>2661</v>
      </c>
      <c r="D83" s="2830" t="s">
        <v>2662</v>
      </c>
      <c r="E83" s="2856">
        <v>0.1</v>
      </c>
      <c r="F83" s="2856">
        <v>15</v>
      </c>
    </row>
    <row r="84" spans="1:6" ht="24">
      <c r="A84" s="2856">
        <v>12</v>
      </c>
      <c r="B84" s="3469"/>
      <c r="C84" s="2830" t="s">
        <v>2663</v>
      </c>
      <c r="D84" s="2830" t="s">
        <v>2664</v>
      </c>
      <c r="E84" s="2856">
        <v>0.1</v>
      </c>
      <c r="F84" s="2856">
        <v>15</v>
      </c>
    </row>
    <row r="85" spans="1:6" ht="13.5">
      <c r="A85" s="2856">
        <v>13</v>
      </c>
      <c r="B85" s="3469"/>
      <c r="C85" s="2830" t="s">
        <v>2665</v>
      </c>
      <c r="D85" s="2830" t="s">
        <v>2666</v>
      </c>
      <c r="E85" s="2856">
        <v>0.1</v>
      </c>
      <c r="F85" s="2856">
        <v>15</v>
      </c>
    </row>
    <row r="86" spans="1:6" ht="13.5">
      <c r="A86" s="2856">
        <v>14</v>
      </c>
      <c r="B86" s="3469"/>
      <c r="C86" s="2830" t="s">
        <v>2667</v>
      </c>
      <c r="D86" s="2830" t="s">
        <v>2668</v>
      </c>
      <c r="E86" s="2856">
        <v>0.1</v>
      </c>
      <c r="F86" s="2856">
        <v>15</v>
      </c>
    </row>
    <row r="87" spans="1:6" ht="13.5">
      <c r="A87" s="2856">
        <v>15</v>
      </c>
      <c r="B87" s="3469"/>
      <c r="C87" s="2830" t="s">
        <v>2669</v>
      </c>
      <c r="D87" s="2830" t="s">
        <v>2670</v>
      </c>
      <c r="E87" s="2856">
        <v>0.1</v>
      </c>
      <c r="F87" s="2856">
        <v>15</v>
      </c>
    </row>
    <row r="88" spans="1:6" ht="24">
      <c r="A88" s="2856">
        <v>16</v>
      </c>
      <c r="B88" s="3469"/>
      <c r="C88" s="2830" t="s">
        <v>2671</v>
      </c>
      <c r="D88" s="2830" t="s">
        <v>2672</v>
      </c>
      <c r="E88" s="2856">
        <v>0.1</v>
      </c>
      <c r="F88" s="2856">
        <v>15</v>
      </c>
    </row>
    <row r="89" spans="1:6" ht="24">
      <c r="A89" s="2856">
        <v>17</v>
      </c>
      <c r="B89" s="3478"/>
      <c r="C89" s="2830" t="s">
        <v>2673</v>
      </c>
      <c r="D89" s="2830" t="s">
        <v>2674</v>
      </c>
      <c r="E89" s="2856">
        <v>0.1</v>
      </c>
      <c r="F89" s="2856">
        <v>15</v>
      </c>
    </row>
    <row r="90" spans="1:6" ht="13.5">
      <c r="A90" s="2856">
        <v>18</v>
      </c>
      <c r="B90" s="3474" t="s">
        <v>2675</v>
      </c>
      <c r="C90" s="2830" t="s">
        <v>2676</v>
      </c>
      <c r="D90" s="2830" t="s">
        <v>2677</v>
      </c>
      <c r="E90" s="2856">
        <v>0.2</v>
      </c>
      <c r="F90" s="2856">
        <v>25</v>
      </c>
    </row>
    <row r="91" spans="1:6" ht="24">
      <c r="A91" s="2856">
        <v>19</v>
      </c>
      <c r="B91" s="3469"/>
      <c r="C91" s="2830" t="s">
        <v>2678</v>
      </c>
      <c r="D91" s="2830" t="s">
        <v>2679</v>
      </c>
      <c r="E91" s="2856">
        <v>0.2</v>
      </c>
      <c r="F91" s="2856">
        <v>25</v>
      </c>
    </row>
    <row r="92" spans="1:6" ht="13.5">
      <c r="A92" s="2856">
        <v>20</v>
      </c>
      <c r="B92" s="3469"/>
      <c r="C92" s="2830" t="s">
        <v>2680</v>
      </c>
      <c r="D92" s="2830" t="s">
        <v>2681</v>
      </c>
      <c r="E92" s="2856">
        <v>0.15</v>
      </c>
      <c r="F92" s="2856">
        <v>20</v>
      </c>
    </row>
    <row r="93" spans="1:6" ht="13.5">
      <c r="A93" s="2856">
        <v>21</v>
      </c>
      <c r="B93" s="3469"/>
      <c r="C93" s="2830" t="s">
        <v>2682</v>
      </c>
      <c r="D93" s="2830" t="s">
        <v>2683</v>
      </c>
      <c r="E93" s="2856">
        <v>0.15</v>
      </c>
      <c r="F93" s="2856">
        <v>20</v>
      </c>
    </row>
    <row r="94" spans="1:6" ht="13.5">
      <c r="A94" s="2856">
        <v>22</v>
      </c>
      <c r="B94" s="3469"/>
      <c r="C94" s="2830" t="s">
        <v>2684</v>
      </c>
      <c r="D94" s="2830" t="s">
        <v>2685</v>
      </c>
      <c r="E94" s="2856">
        <v>0.15</v>
      </c>
      <c r="F94" s="2856">
        <v>20</v>
      </c>
    </row>
    <row r="95" spans="1:6" ht="36">
      <c r="A95" s="2856">
        <v>23</v>
      </c>
      <c r="B95" s="3469"/>
      <c r="C95" s="2830" t="s">
        <v>2686</v>
      </c>
      <c r="D95" s="2830" t="s">
        <v>2687</v>
      </c>
      <c r="E95" s="2856">
        <v>0.15</v>
      </c>
      <c r="F95" s="2856">
        <v>20</v>
      </c>
    </row>
    <row r="96" spans="1:6" ht="13.5">
      <c r="A96" s="2856">
        <v>24</v>
      </c>
      <c r="B96" s="3469"/>
      <c r="C96" s="2830" t="s">
        <v>2688</v>
      </c>
      <c r="D96" s="2830" t="s">
        <v>2689</v>
      </c>
      <c r="E96" s="2856">
        <v>0.1</v>
      </c>
      <c r="F96" s="2856">
        <v>15</v>
      </c>
    </row>
    <row r="97" spans="1:6" ht="13.5">
      <c r="A97" s="2856">
        <v>25</v>
      </c>
      <c r="B97" s="3469"/>
      <c r="C97" s="2830" t="s">
        <v>2690</v>
      </c>
      <c r="D97" s="2830" t="s">
        <v>2691</v>
      </c>
      <c r="E97" s="2856">
        <v>0.1</v>
      </c>
      <c r="F97" s="2856">
        <v>15</v>
      </c>
    </row>
    <row r="98" spans="1:6" ht="24">
      <c r="A98" s="2856">
        <v>26</v>
      </c>
      <c r="B98" s="3469"/>
      <c r="C98" s="2830" t="s">
        <v>2692</v>
      </c>
      <c r="D98" s="2830" t="s">
        <v>2693</v>
      </c>
      <c r="E98" s="2856">
        <v>0.1</v>
      </c>
      <c r="F98" s="2856">
        <v>15</v>
      </c>
    </row>
    <row r="99" spans="1:6" ht="24">
      <c r="A99" s="2856">
        <v>27</v>
      </c>
      <c r="B99" s="3469"/>
      <c r="C99" s="2830" t="s">
        <v>2694</v>
      </c>
      <c r="D99" s="2830" t="s">
        <v>2695</v>
      </c>
      <c r="E99" s="2856">
        <v>0.1</v>
      </c>
      <c r="F99" s="2856">
        <v>15</v>
      </c>
    </row>
    <row r="100" spans="1:6" ht="13.5">
      <c r="A100" s="2856">
        <v>28</v>
      </c>
      <c r="B100" s="3469"/>
      <c r="C100" s="2830" t="s">
        <v>2696</v>
      </c>
      <c r="D100" s="2830" t="s">
        <v>2697</v>
      </c>
      <c r="E100" s="2856">
        <v>0.1</v>
      </c>
      <c r="F100" s="2856">
        <v>15</v>
      </c>
    </row>
    <row r="101" spans="1:6" ht="13.5">
      <c r="A101" s="2856">
        <v>29</v>
      </c>
      <c r="B101" s="3469"/>
      <c r="C101" s="2830" t="s">
        <v>2698</v>
      </c>
      <c r="D101" s="2830" t="s">
        <v>2699</v>
      </c>
      <c r="E101" s="2856">
        <v>0.1</v>
      </c>
      <c r="F101" s="2856">
        <v>15</v>
      </c>
    </row>
    <row r="102" spans="1:6" ht="13.5">
      <c r="A102" s="2856">
        <v>30</v>
      </c>
      <c r="B102" s="3469"/>
      <c r="C102" s="2830" t="s">
        <v>2700</v>
      </c>
      <c r="D102" s="2830" t="s">
        <v>2701</v>
      </c>
      <c r="E102" s="2856">
        <v>0.1</v>
      </c>
      <c r="F102" s="2856">
        <v>15</v>
      </c>
    </row>
    <row r="103" spans="1:6" ht="24">
      <c r="A103" s="2856">
        <v>31</v>
      </c>
      <c r="B103" s="3469"/>
      <c r="C103" s="2830" t="s">
        <v>2702</v>
      </c>
      <c r="D103" s="2830" t="s">
        <v>2703</v>
      </c>
      <c r="E103" s="2856">
        <v>0.1</v>
      </c>
      <c r="F103" s="2856">
        <v>15</v>
      </c>
    </row>
    <row r="104" spans="1:6" ht="24">
      <c r="A104" s="2856">
        <v>32</v>
      </c>
      <c r="B104" s="3469"/>
      <c r="C104" s="2830" t="s">
        <v>2704</v>
      </c>
      <c r="D104" s="2830" t="s">
        <v>2705</v>
      </c>
      <c r="E104" s="2856">
        <v>0.1</v>
      </c>
      <c r="F104" s="2856">
        <v>15</v>
      </c>
    </row>
    <row r="105" spans="1:6" ht="24">
      <c r="A105" s="2856">
        <v>33</v>
      </c>
      <c r="B105" s="3469"/>
      <c r="C105" s="2830" t="s">
        <v>2706</v>
      </c>
      <c r="D105" s="2830" t="s">
        <v>2707</v>
      </c>
      <c r="E105" s="2856">
        <v>0.1</v>
      </c>
      <c r="F105" s="2856">
        <v>15</v>
      </c>
    </row>
    <row r="106" spans="1:6" ht="24">
      <c r="A106" s="2856">
        <v>34</v>
      </c>
      <c r="B106" s="3478"/>
      <c r="C106" s="2830" t="s">
        <v>2708</v>
      </c>
      <c r="D106" s="2830" t="s">
        <v>2709</v>
      </c>
      <c r="E106" s="2856">
        <v>0.1</v>
      </c>
      <c r="F106" s="2856">
        <v>15</v>
      </c>
    </row>
    <row r="107" spans="1:6" ht="24">
      <c r="A107" s="2856">
        <v>35</v>
      </c>
      <c r="B107" s="3474" t="s">
        <v>2710</v>
      </c>
      <c r="C107" s="2856" t="s">
        <v>2711</v>
      </c>
      <c r="D107" s="2830" t="s">
        <v>2712</v>
      </c>
      <c r="E107" s="2856">
        <v>0.15</v>
      </c>
      <c r="F107" s="2856">
        <v>20</v>
      </c>
    </row>
    <row r="108" spans="1:6" ht="13.5">
      <c r="A108" s="2856">
        <v>36</v>
      </c>
      <c r="B108" s="3469"/>
      <c r="C108" s="2856" t="s">
        <v>2713</v>
      </c>
      <c r="D108" s="2830" t="s">
        <v>2714</v>
      </c>
      <c r="E108" s="2856">
        <v>0.15</v>
      </c>
      <c r="F108" s="2856">
        <v>20</v>
      </c>
    </row>
    <row r="109" spans="1:6" ht="13.5">
      <c r="A109" s="2856">
        <v>37</v>
      </c>
      <c r="B109" s="3469"/>
      <c r="C109" s="2856" t="s">
        <v>2715</v>
      </c>
      <c r="D109" s="2830" t="s">
        <v>2716</v>
      </c>
      <c r="E109" s="2856">
        <v>0.15</v>
      </c>
      <c r="F109" s="2856">
        <v>20</v>
      </c>
    </row>
    <row r="110" spans="1:6" ht="13.5">
      <c r="A110" s="2856">
        <v>38</v>
      </c>
      <c r="B110" s="3469"/>
      <c r="C110" s="2856" t="s">
        <v>2717</v>
      </c>
      <c r="D110" s="2830" t="s">
        <v>2718</v>
      </c>
      <c r="E110" s="2856">
        <v>0.1</v>
      </c>
      <c r="F110" s="2856">
        <v>15</v>
      </c>
    </row>
    <row r="111" spans="1:6" ht="24">
      <c r="A111" s="2856">
        <v>39</v>
      </c>
      <c r="B111" s="3469"/>
      <c r="C111" s="2856" t="s">
        <v>2719</v>
      </c>
      <c r="D111" s="2830" t="s">
        <v>2720</v>
      </c>
      <c r="E111" s="2856">
        <v>0.1</v>
      </c>
      <c r="F111" s="2856">
        <v>15</v>
      </c>
    </row>
    <row r="112" spans="1:6" ht="24">
      <c r="A112" s="2856">
        <v>40</v>
      </c>
      <c r="B112" s="3478"/>
      <c r="C112" s="2856" t="s">
        <v>2721</v>
      </c>
      <c r="D112" s="2830" t="s">
        <v>2722</v>
      </c>
      <c r="E112" s="2856">
        <v>0.1</v>
      </c>
      <c r="F112" s="2856">
        <v>15</v>
      </c>
    </row>
    <row r="113" spans="1:6" ht="13.5">
      <c r="A113" s="2856">
        <v>41</v>
      </c>
      <c r="B113" s="3479" t="s">
        <v>2723</v>
      </c>
      <c r="C113" s="2856" t="s">
        <v>2724</v>
      </c>
      <c r="D113" s="2830" t="s">
        <v>2725</v>
      </c>
      <c r="E113" s="2856">
        <v>0.1</v>
      </c>
      <c r="F113" s="2856">
        <v>15</v>
      </c>
    </row>
    <row r="114" spans="1:6" ht="13.5">
      <c r="A114" s="2856">
        <v>42</v>
      </c>
      <c r="B114" s="3479"/>
      <c r="C114" s="2856" t="s">
        <v>2726</v>
      </c>
      <c r="D114" s="2830" t="s">
        <v>2727</v>
      </c>
      <c r="E114" s="2856">
        <v>0.1</v>
      </c>
      <c r="F114" s="2856">
        <v>15</v>
      </c>
    </row>
    <row r="115" spans="1:6" ht="24">
      <c r="A115" s="2856">
        <v>43</v>
      </c>
      <c r="B115" s="3479"/>
      <c r="C115" s="2856" t="s">
        <v>2728</v>
      </c>
      <c r="D115" s="2830" t="s">
        <v>2729</v>
      </c>
      <c r="E115" s="2856">
        <v>0.1</v>
      </c>
      <c r="F115" s="2856">
        <v>15</v>
      </c>
    </row>
    <row r="116" spans="1:6" ht="13.5">
      <c r="A116" s="2856">
        <v>44</v>
      </c>
      <c r="B116" s="3474" t="s">
        <v>2730</v>
      </c>
      <c r="C116" s="2856" t="s">
        <v>2731</v>
      </c>
      <c r="D116" s="2830" t="s">
        <v>2732</v>
      </c>
      <c r="E116" s="2856">
        <v>0.1</v>
      </c>
      <c r="F116" s="2856">
        <v>15</v>
      </c>
    </row>
    <row r="117" spans="1:6" ht="24">
      <c r="A117" s="2856">
        <v>45</v>
      </c>
      <c r="B117" s="3478"/>
      <c r="C117" s="2830" t="s">
        <v>2733</v>
      </c>
      <c r="D117" s="2830" t="s">
        <v>2734</v>
      </c>
      <c r="E117" s="2856">
        <v>0.1</v>
      </c>
      <c r="F117" s="2856">
        <v>15</v>
      </c>
    </row>
    <row r="118" spans="1:6" ht="24">
      <c r="A118" s="2856">
        <v>46</v>
      </c>
      <c r="B118" s="3474" t="s">
        <v>2735</v>
      </c>
      <c r="C118" s="2856" t="s">
        <v>2736</v>
      </c>
      <c r="D118" s="2830" t="s">
        <v>2737</v>
      </c>
      <c r="E118" s="2856">
        <v>0.1</v>
      </c>
      <c r="F118" s="2856">
        <v>15</v>
      </c>
    </row>
    <row r="119" spans="1:6" ht="24">
      <c r="A119" s="2856">
        <v>47</v>
      </c>
      <c r="B119" s="3478"/>
      <c r="C119" s="2856" t="s">
        <v>2738</v>
      </c>
      <c r="D119" s="2830" t="s">
        <v>2739</v>
      </c>
      <c r="E119" s="2856">
        <v>0.1</v>
      </c>
      <c r="F119" s="2856">
        <v>15</v>
      </c>
    </row>
    <row r="120" spans="1:6" ht="13.5">
      <c r="A120" s="2856">
        <v>48</v>
      </c>
      <c r="B120" s="3474" t="s">
        <v>2740</v>
      </c>
      <c r="C120" s="2856" t="s">
        <v>2741</v>
      </c>
      <c r="D120" s="2830" t="s">
        <v>2742</v>
      </c>
      <c r="E120" s="2856">
        <v>0.1</v>
      </c>
      <c r="F120" s="2856">
        <v>15</v>
      </c>
    </row>
    <row r="121" spans="1:6" ht="13.5">
      <c r="A121" s="2856">
        <v>49</v>
      </c>
      <c r="B121" s="3478"/>
      <c r="C121" s="2856" t="s">
        <v>2743</v>
      </c>
      <c r="D121" s="2830" t="s">
        <v>2744</v>
      </c>
      <c r="E121" s="2856">
        <v>0.1</v>
      </c>
      <c r="F121" s="2856">
        <v>15</v>
      </c>
    </row>
    <row r="122" spans="1:6" ht="24">
      <c r="A122" s="2856">
        <v>50</v>
      </c>
      <c r="B122" s="3479" t="s">
        <v>2745</v>
      </c>
      <c r="C122" s="2856" t="s">
        <v>2746</v>
      </c>
      <c r="D122" s="2830" t="s">
        <v>2747</v>
      </c>
      <c r="E122" s="2856">
        <v>0.1</v>
      </c>
      <c r="F122" s="2856">
        <v>15</v>
      </c>
    </row>
    <row r="123" spans="1:6" ht="24">
      <c r="A123" s="2856">
        <v>51</v>
      </c>
      <c r="B123" s="3479"/>
      <c r="C123" s="2856" t="s">
        <v>2748</v>
      </c>
      <c r="D123" s="2830" t="s">
        <v>2749</v>
      </c>
      <c r="E123" s="2856">
        <v>0.1</v>
      </c>
      <c r="F123" s="2856">
        <v>15</v>
      </c>
    </row>
    <row r="124" spans="1:6" ht="24">
      <c r="A124" s="2856">
        <v>52</v>
      </c>
      <c r="B124" s="3479" t="s">
        <v>2750</v>
      </c>
      <c r="C124" s="2856" t="s">
        <v>2751</v>
      </c>
      <c r="D124" s="2830" t="s">
        <v>2752</v>
      </c>
      <c r="E124" s="2856">
        <v>0.1</v>
      </c>
      <c r="F124" s="2856">
        <v>15</v>
      </c>
    </row>
    <row r="125" spans="1:6" ht="24">
      <c r="A125" s="2856">
        <v>53</v>
      </c>
      <c r="B125" s="3479"/>
      <c r="C125" s="2856" t="s">
        <v>2753</v>
      </c>
      <c r="D125" s="2830" t="s">
        <v>2754</v>
      </c>
      <c r="E125" s="2856">
        <v>0.1</v>
      </c>
      <c r="F125" s="2856">
        <v>15</v>
      </c>
    </row>
    <row r="126" spans="1:6" ht="13.5">
      <c r="A126" s="2856">
        <v>54</v>
      </c>
      <c r="B126" s="2856" t="s">
        <v>2755</v>
      </c>
      <c r="C126" s="2856" t="s">
        <v>2756</v>
      </c>
      <c r="D126" s="2830" t="s">
        <v>2757</v>
      </c>
      <c r="E126" s="2856">
        <v>0.1</v>
      </c>
      <c r="F126" s="2856">
        <v>15</v>
      </c>
    </row>
    <row r="127" spans="1:6" ht="13.5">
      <c r="A127" s="2856">
        <v>55</v>
      </c>
      <c r="B127" s="3479" t="s">
        <v>2758</v>
      </c>
      <c r="C127" s="2856" t="s">
        <v>2759</v>
      </c>
      <c r="D127" s="2830" t="s">
        <v>2760</v>
      </c>
      <c r="E127" s="2856">
        <v>0.1</v>
      </c>
      <c r="F127" s="2856">
        <v>15</v>
      </c>
    </row>
    <row r="128" spans="1:6" ht="13.5">
      <c r="A128" s="2856">
        <v>56</v>
      </c>
      <c r="B128" s="3479"/>
      <c r="C128" s="2856" t="s">
        <v>2761</v>
      </c>
      <c r="D128" s="2830" t="s">
        <v>2762</v>
      </c>
      <c r="E128" s="2856">
        <v>0.1</v>
      </c>
      <c r="F128" s="2856">
        <v>15</v>
      </c>
    </row>
    <row r="129" spans="1:6" ht="24">
      <c r="A129" s="2856">
        <v>57</v>
      </c>
      <c r="B129" s="3479"/>
      <c r="C129" s="2856" t="s">
        <v>2763</v>
      </c>
      <c r="D129" s="2830" t="s">
        <v>2764</v>
      </c>
      <c r="E129" s="2856">
        <v>0.1</v>
      </c>
      <c r="F129" s="2856">
        <v>15</v>
      </c>
    </row>
    <row r="130" spans="1:6" ht="24">
      <c r="A130" s="2856">
        <v>58</v>
      </c>
      <c r="B130" s="3479" t="s">
        <v>2765</v>
      </c>
      <c r="C130" s="2856" t="s">
        <v>2766</v>
      </c>
      <c r="D130" s="2830" t="s">
        <v>2767</v>
      </c>
      <c r="E130" s="2856">
        <v>0.1</v>
      </c>
      <c r="F130" s="2856">
        <v>15</v>
      </c>
    </row>
    <row r="131" spans="1:6" ht="13.5">
      <c r="A131" s="2856">
        <v>59</v>
      </c>
      <c r="B131" s="3479"/>
      <c r="C131" s="2856" t="s">
        <v>2768</v>
      </c>
      <c r="D131" s="2830" t="s">
        <v>2769</v>
      </c>
      <c r="E131" s="2856">
        <v>0.1</v>
      </c>
      <c r="F131" s="2856">
        <v>15</v>
      </c>
    </row>
    <row r="132" spans="1:6" ht="13.5">
      <c r="A132" s="2856">
        <v>60</v>
      </c>
      <c r="B132" s="3474" t="s">
        <v>2770</v>
      </c>
      <c r="C132" s="2856" t="s">
        <v>2771</v>
      </c>
      <c r="D132" s="2830" t="s">
        <v>2772</v>
      </c>
      <c r="E132" s="2856">
        <v>0.1</v>
      </c>
      <c r="F132" s="2856">
        <v>15</v>
      </c>
    </row>
    <row r="133" spans="1:6" ht="13.5">
      <c r="A133" s="2856">
        <v>61</v>
      </c>
      <c r="B133" s="3478"/>
      <c r="C133" s="2856" t="s">
        <v>2773</v>
      </c>
      <c r="D133" s="2830" t="s">
        <v>2774</v>
      </c>
      <c r="E133" s="2856">
        <v>0.1</v>
      </c>
      <c r="F133" s="2856">
        <v>15</v>
      </c>
    </row>
    <row r="134" spans="1:6" ht="24">
      <c r="A134" s="2856">
        <v>62</v>
      </c>
      <c r="B134" s="2856" t="s">
        <v>2775</v>
      </c>
      <c r="C134" s="2856" t="s">
        <v>2776</v>
      </c>
      <c r="D134" s="2830" t="s">
        <v>2777</v>
      </c>
      <c r="E134" s="2856">
        <v>0.1</v>
      </c>
      <c r="F134" s="2856">
        <v>15</v>
      </c>
    </row>
    <row r="135" spans="1:6" ht="13.5">
      <c r="A135" s="2856">
        <v>63</v>
      </c>
      <c r="B135" s="3479" t="s">
        <v>2778</v>
      </c>
      <c r="C135" s="2856" t="s">
        <v>2779</v>
      </c>
      <c r="D135" s="2830" t="s">
        <v>2780</v>
      </c>
      <c r="E135" s="2856">
        <v>0.1</v>
      </c>
      <c r="F135" s="2856">
        <v>15</v>
      </c>
    </row>
    <row r="136" spans="1:6" ht="13.5">
      <c r="A136" s="2856">
        <v>64</v>
      </c>
      <c r="B136" s="3479"/>
      <c r="C136" s="2856" t="s">
        <v>2781</v>
      </c>
      <c r="D136" s="2830" t="s">
        <v>2782</v>
      </c>
      <c r="E136" s="2856">
        <v>0.1</v>
      </c>
      <c r="F136" s="2856">
        <v>15</v>
      </c>
    </row>
    <row r="137" spans="1:6" ht="13.5">
      <c r="A137" s="2856">
        <v>65</v>
      </c>
      <c r="B137" s="2856" t="s">
        <v>2783</v>
      </c>
      <c r="C137" s="2856" t="s">
        <v>2784</v>
      </c>
      <c r="D137" s="2830" t="s">
        <v>2785</v>
      </c>
      <c r="E137" s="2856">
        <v>0.1</v>
      </c>
      <c r="F137" s="2856">
        <v>15</v>
      </c>
    </row>
    <row r="138" spans="1:6" ht="13.5">
      <c r="A138" s="2856"/>
      <c r="B138" s="2856"/>
      <c r="C138" s="2856"/>
      <c r="D138" s="2856"/>
      <c r="E138" s="2856" t="s">
        <v>2786</v>
      </c>
      <c r="F138" s="2856"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2787</v>
      </c>
      <c r="B1" s="2864"/>
      <c r="C1" s="2864"/>
      <c r="D1" s="2864"/>
      <c r="E1" s="2864"/>
      <c r="F1" s="2864"/>
      <c r="G1" s="2864"/>
      <c r="H1" s="2864"/>
      <c r="I1" s="2864"/>
      <c r="J1" s="2864"/>
      <c r="K1" s="2864"/>
      <c r="L1" s="2864"/>
      <c r="M1" s="2864"/>
      <c r="N1" s="707"/>
    </row>
    <row r="2" spans="1:20">
      <c r="A2" s="2865" t="s">
        <v>2788</v>
      </c>
      <c r="B2" s="2866" t="s">
        <v>2584</v>
      </c>
      <c r="C2" s="2866" t="s">
        <v>2585</v>
      </c>
      <c r="D2" s="2866" t="s">
        <v>2586</v>
      </c>
      <c r="E2" s="2866" t="s">
        <v>2587</v>
      </c>
      <c r="F2" s="2866" t="s">
        <v>2588</v>
      </c>
      <c r="G2" s="2866" t="s">
        <v>2589</v>
      </c>
      <c r="H2" s="2867" t="s">
        <v>2590</v>
      </c>
      <c r="I2" s="2867" t="s">
        <v>2591</v>
      </c>
      <c r="J2" s="2868" t="s">
        <v>2592</v>
      </c>
      <c r="K2" s="2868" t="s">
        <v>2593</v>
      </c>
      <c r="L2" s="2868" t="s">
        <v>2594</v>
      </c>
      <c r="M2" s="2869" t="s">
        <v>2595</v>
      </c>
      <c r="Q2" s="2879" t="s">
        <v>2793</v>
      </c>
      <c r="R2" s="2879" t="s">
        <v>2794</v>
      </c>
      <c r="S2" s="2879" t="s">
        <v>2795</v>
      </c>
      <c r="T2" s="2879" t="s">
        <v>2796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2789</v>
      </c>
      <c r="B93" s="2864"/>
      <c r="C93" s="2864"/>
      <c r="D93" s="2864"/>
      <c r="E93" s="2864"/>
      <c r="F93" s="2864"/>
      <c r="G93" s="2864"/>
      <c r="H93" s="2864"/>
      <c r="I93" s="2864"/>
      <c r="J93" s="2864"/>
      <c r="K93" s="2864"/>
      <c r="L93" s="2864"/>
      <c r="M93" s="2864"/>
    </row>
    <row r="94" spans="1:20">
      <c r="A94" s="2865" t="s">
        <v>2788</v>
      </c>
      <c r="B94" s="2866" t="s">
        <v>2584</v>
      </c>
      <c r="C94" s="2866" t="s">
        <v>2585</v>
      </c>
      <c r="D94" s="2866" t="s">
        <v>2586</v>
      </c>
      <c r="E94" s="2866" t="s">
        <v>2587</v>
      </c>
      <c r="F94" s="2866" t="s">
        <v>2588</v>
      </c>
      <c r="G94" s="2866" t="s">
        <v>2589</v>
      </c>
      <c r="H94" s="2867" t="s">
        <v>2590</v>
      </c>
      <c r="I94" s="2867" t="s">
        <v>2591</v>
      </c>
      <c r="J94" s="2868" t="s">
        <v>2592</v>
      </c>
      <c r="K94" s="2868" t="s">
        <v>2593</v>
      </c>
      <c r="L94" s="2868" t="s">
        <v>2594</v>
      </c>
      <c r="M94" s="2869" t="s">
        <v>2595</v>
      </c>
      <c r="N94">
        <f>SUMPRODUCT((A95:A184=ROUNDDOWN(基准地价修正!G3,1))*(B94:M94=基准地价修正!G2)*(B95:M184))</f>
        <v>0</v>
      </c>
      <c r="Q94" s="2879" t="s">
        <v>2793</v>
      </c>
      <c r="R94" s="2879" t="s">
        <v>2794</v>
      </c>
      <c r="S94" s="2879" t="s">
        <v>2795</v>
      </c>
      <c r="T94" s="2879" t="s">
        <v>2796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2790</v>
      </c>
      <c r="B185" s="2864"/>
      <c r="C185" s="2864"/>
      <c r="D185" s="2864"/>
      <c r="E185" s="2864"/>
      <c r="F185" s="2864"/>
      <c r="G185" s="2864"/>
      <c r="H185" s="2864"/>
      <c r="I185" s="2864"/>
      <c r="J185" s="2864"/>
      <c r="K185" s="2864"/>
      <c r="L185" s="2864"/>
      <c r="M185" s="2864"/>
    </row>
    <row r="186" spans="1:20">
      <c r="A186" s="2865" t="s">
        <v>2788</v>
      </c>
      <c r="B186" s="2866" t="s">
        <v>2584</v>
      </c>
      <c r="C186" s="2866" t="s">
        <v>2585</v>
      </c>
      <c r="D186" s="2866" t="s">
        <v>2586</v>
      </c>
      <c r="E186" s="2866" t="s">
        <v>2587</v>
      </c>
      <c r="F186" s="2866" t="s">
        <v>2588</v>
      </c>
      <c r="G186" s="2866" t="s">
        <v>2589</v>
      </c>
      <c r="H186" s="2867" t="s">
        <v>2590</v>
      </c>
      <c r="I186" s="2867" t="s">
        <v>2591</v>
      </c>
      <c r="J186" s="2868" t="s">
        <v>2592</v>
      </c>
      <c r="K186" s="2868" t="s">
        <v>2593</v>
      </c>
      <c r="L186" s="2868" t="s">
        <v>2594</v>
      </c>
      <c r="M186" s="2869" t="s">
        <v>2595</v>
      </c>
      <c r="Q186" s="2879" t="s">
        <v>2793</v>
      </c>
      <c r="R186" s="2879" t="s">
        <v>2794</v>
      </c>
      <c r="S186" s="2879" t="s">
        <v>2795</v>
      </c>
      <c r="T186" s="2879" t="s">
        <v>2796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2791</v>
      </c>
      <c r="B277" s="2864"/>
      <c r="C277" s="2864"/>
      <c r="D277" s="2864"/>
      <c r="E277" s="2864"/>
      <c r="F277" s="2864"/>
      <c r="G277" s="2864"/>
      <c r="H277" s="2864"/>
      <c r="I277" s="2864"/>
      <c r="J277" s="2864"/>
      <c r="K277" s="2864"/>
      <c r="L277" s="2864"/>
      <c r="M277" s="2864"/>
    </row>
    <row r="278" spans="1:21">
      <c r="A278" s="2865" t="s">
        <v>2788</v>
      </c>
      <c r="B278" s="2866" t="s">
        <v>2584</v>
      </c>
      <c r="C278" s="2866" t="s">
        <v>2585</v>
      </c>
      <c r="D278" s="2866" t="s">
        <v>2586</v>
      </c>
      <c r="E278" s="2866" t="s">
        <v>2587</v>
      </c>
      <c r="F278" s="2866" t="s">
        <v>2588</v>
      </c>
      <c r="G278" s="2866" t="s">
        <v>2589</v>
      </c>
      <c r="H278" s="2867" t="s">
        <v>2590</v>
      </c>
      <c r="I278" s="2867" t="s">
        <v>2591</v>
      </c>
      <c r="J278" s="2868" t="s">
        <v>2592</v>
      </c>
      <c r="K278" s="2868" t="s">
        <v>2593</v>
      </c>
      <c r="L278" s="2868" t="s">
        <v>2594</v>
      </c>
      <c r="M278" s="2869" t="s">
        <v>2595</v>
      </c>
      <c r="Q278" s="2879" t="s">
        <v>2793</v>
      </c>
      <c r="R278" s="2879" t="s">
        <v>2794</v>
      </c>
      <c r="S278" s="2879" t="s">
        <v>2797</v>
      </c>
      <c r="T278" s="2879" t="s">
        <v>2798</v>
      </c>
      <c r="U278" s="2879" t="s">
        <v>2796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2792</v>
      </c>
      <c r="B369" s="2877"/>
      <c r="C369" s="2877"/>
      <c r="D369" s="2877"/>
      <c r="E369" s="2877"/>
      <c r="F369" s="2877"/>
      <c r="G369" s="2877"/>
      <c r="H369" s="2877"/>
      <c r="I369" s="2877"/>
      <c r="J369" s="2877"/>
      <c r="K369" s="2877"/>
      <c r="L369" s="2877"/>
      <c r="M369" s="2877"/>
    </row>
    <row r="370" spans="1:20">
      <c r="A370" s="2865" t="s">
        <v>2788</v>
      </c>
      <c r="B370" s="2866" t="s">
        <v>2584</v>
      </c>
      <c r="C370" s="2866" t="s">
        <v>2585</v>
      </c>
      <c r="D370" s="2866" t="s">
        <v>2586</v>
      </c>
      <c r="E370" s="2866" t="s">
        <v>2587</v>
      </c>
      <c r="F370" s="2866" t="s">
        <v>2588</v>
      </c>
      <c r="G370" s="2866" t="s">
        <v>2589</v>
      </c>
      <c r="H370" s="2867" t="s">
        <v>2590</v>
      </c>
      <c r="I370" s="2867" t="s">
        <v>2591</v>
      </c>
      <c r="J370" s="2868" t="s">
        <v>2592</v>
      </c>
      <c r="K370" s="2868" t="s">
        <v>2593</v>
      </c>
      <c r="L370" s="2868" t="s">
        <v>2594</v>
      </c>
      <c r="M370" s="2869" t="s">
        <v>2595</v>
      </c>
      <c r="N370">
        <f>SUMPRODUCT((A371:A460=ROUNDDOWN(基准地价修正!G3,1))*(B370:M370=基准地价修正!G2)*(B371:M460))</f>
        <v>0</v>
      </c>
      <c r="Q370" s="2879" t="s">
        <v>2793</v>
      </c>
      <c r="R370" s="2879" t="s">
        <v>2794</v>
      </c>
      <c r="S370" s="2879" t="s">
        <v>2795</v>
      </c>
      <c r="T370" s="2879" t="s">
        <v>2796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154380</v>
      </c>
      <c r="C2" s="2" t="s">
        <v>106</v>
      </c>
      <c r="D2" s="191"/>
      <c r="E2" s="191"/>
      <c r="F2" s="191"/>
      <c r="G2" s="191"/>
    </row>
    <row r="3" spans="1:7" s="192" customFormat="1" ht="18" customHeight="1" thickBot="1">
      <c r="A3" s="195" t="s">
        <v>58</v>
      </c>
      <c r="B3" s="196">
        <f ca="1">ROUND(B2*10000/'数据-汇总表'!E3,0)</f>
        <v>9933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1950</v>
      </c>
      <c r="D9" s="795">
        <f>'数据-汇总表'!E5</f>
        <v>130018.37</v>
      </c>
      <c r="E9" s="217">
        <f>'数据-取费表'!B27</f>
        <v>150</v>
      </c>
      <c r="F9" s="213"/>
      <c r="G9" s="218"/>
    </row>
    <row r="10" spans="1:7" s="206" customFormat="1" ht="13.5" customHeight="1">
      <c r="A10" s="733" t="s">
        <v>356</v>
      </c>
      <c r="B10" s="216" t="s">
        <v>67</v>
      </c>
      <c r="C10" s="217">
        <f>ROUND(D10*E10/10000,0)</f>
        <v>483</v>
      </c>
      <c r="D10" s="795">
        <f>'数据-汇总表'!E6</f>
        <v>25407.459999999992</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3109</v>
      </c>
      <c r="D19" s="204">
        <f>'数据-汇总表'!E3</f>
        <v>155425.82999999999</v>
      </c>
      <c r="E19" s="203">
        <f>'数据-取费表'!B31</f>
        <v>200</v>
      </c>
      <c r="F19" s="223"/>
      <c r="G19" s="1" t="s">
        <v>436</v>
      </c>
    </row>
    <row r="20" spans="1:7" s="206" customFormat="1" ht="13.5" customHeight="1">
      <c r="A20" s="731" t="s">
        <v>419</v>
      </c>
      <c r="B20" s="202" t="s">
        <v>77</v>
      </c>
      <c r="C20" s="224">
        <f>ROUND((C5+C19)*F20,0)</f>
        <v>474</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0</v>
      </c>
      <c r="D22" s="227">
        <f ca="1">C26</f>
        <v>0</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f>C28</f>
        <v>0</v>
      </c>
      <c r="D27" s="227">
        <f>C29</f>
        <v>0</v>
      </c>
      <c r="E27" s="228" t="s">
        <v>99</v>
      </c>
      <c r="F27" s="238">
        <f>'数据-取费表'!Q16</f>
        <v>0.13</v>
      </c>
      <c r="G27" s="239" t="s">
        <v>431</v>
      </c>
    </row>
    <row r="28" spans="1:7" s="206" customFormat="1" ht="13.5" customHeight="1">
      <c r="A28" s="734" t="s">
        <v>349</v>
      </c>
      <c r="B28" s="240" t="s">
        <v>424</v>
      </c>
      <c r="C28" s="241">
        <f>ROUND((C5+C19+C20)*F27*'数据-取费表'!B21/'数据-取费表'!B20,0)</f>
        <v>0</v>
      </c>
      <c r="D28" s="227"/>
      <c r="E28" s="228"/>
      <c r="F28" s="238"/>
      <c r="G28" s="239"/>
    </row>
    <row r="29" spans="1:7" s="206" customFormat="1" ht="13.5" customHeight="1">
      <c r="A29" s="734" t="s">
        <v>347</v>
      </c>
      <c r="B29" s="240" t="s">
        <v>425</v>
      </c>
      <c r="C29" s="230">
        <f>ROUND(C21*F27*'数据-取费表'!B21/'数据-取费表'!B20,4)</f>
        <v>0</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26392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101356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88174</v>
      </c>
      <c r="D34" s="209"/>
      <c r="E34" s="212"/>
      <c r="F34" s="249">
        <f>IF('数据-取费表'!B24=0,1,'数据-取费表'!N16)</f>
        <v>1</v>
      </c>
      <c r="G34" s="211" t="s">
        <v>89</v>
      </c>
    </row>
    <row r="35" spans="1:7" ht="13.5" customHeight="1">
      <c r="A35" s="734" t="s">
        <v>351</v>
      </c>
      <c r="B35" s="207" t="s">
        <v>33</v>
      </c>
      <c r="C35" s="212">
        <f>ROUND(C34*F35,0)</f>
        <v>4409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3901</v>
      </c>
      <c r="D36" s="212"/>
      <c r="E36" s="212"/>
      <c r="F36" s="251">
        <f>'数据-取费表'!B34</f>
        <v>0.05</v>
      </c>
      <c r="G36" s="252" t="s">
        <v>35</v>
      </c>
    </row>
    <row r="37" spans="1:7" s="250" customFormat="1" ht="13.5" customHeight="1">
      <c r="A37" s="734" t="s">
        <v>353</v>
      </c>
      <c r="B37" s="207" t="s">
        <v>91</v>
      </c>
      <c r="C37" s="241">
        <f>ROUND(E37*D37*F34/10000,0)</f>
        <v>3109</v>
      </c>
      <c r="D37" s="209">
        <f>'数据-汇总表'!E3</f>
        <v>155425.82999999999</v>
      </c>
      <c r="E37" s="241">
        <f>'数据-取费表'!B35</f>
        <v>200</v>
      </c>
      <c r="F37" s="251"/>
      <c r="G37" s="253" t="s">
        <v>92</v>
      </c>
    </row>
    <row r="38" spans="1:7" ht="13.5" customHeight="1">
      <c r="A38" s="734" t="s">
        <v>354</v>
      </c>
      <c r="B38" s="207" t="s">
        <v>36</v>
      </c>
      <c r="C38" s="212">
        <f>ROUND(C34*F38,0)</f>
        <v>1763</v>
      </c>
      <c r="D38" s="212"/>
      <c r="E38" s="212"/>
      <c r="F38" s="251">
        <f>'数据-取费表'!B36</f>
        <v>0.02</v>
      </c>
      <c r="G38" s="211" t="s">
        <v>90</v>
      </c>
    </row>
    <row r="39" spans="1:7" s="206" customFormat="1" ht="13.5" customHeight="1">
      <c r="A39" s="731" t="s">
        <v>338</v>
      </c>
      <c r="B39" s="202" t="s">
        <v>77</v>
      </c>
      <c r="C39" s="224">
        <f>ROUND(C33*F20,0)</f>
        <v>2027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0</v>
      </c>
      <c r="D44" s="230"/>
      <c r="E44" s="230"/>
      <c r="F44" s="231"/>
      <c r="G44" s="3347"/>
    </row>
    <row r="45" spans="1:7" s="206" customFormat="1" ht="13.5" customHeight="1">
      <c r="A45" s="731" t="s">
        <v>341</v>
      </c>
      <c r="B45" s="236" t="s">
        <v>85</v>
      </c>
      <c r="C45" s="237">
        <f>C46</f>
        <v>13440</v>
      </c>
      <c r="D45" s="227">
        <f>C47</f>
        <v>3.8999999999999998E-3</v>
      </c>
      <c r="E45" s="228" t="s">
        <v>102</v>
      </c>
      <c r="F45" s="238"/>
      <c r="G45" s="239" t="s">
        <v>434</v>
      </c>
    </row>
    <row r="46" spans="1:7" s="206" customFormat="1" ht="13.5" customHeight="1">
      <c r="A46" s="734" t="s">
        <v>349</v>
      </c>
      <c r="B46" s="240" t="s">
        <v>427</v>
      </c>
      <c r="C46" s="241">
        <f>ROUND((C33+C39)*F27,0)</f>
        <v>13440</v>
      </c>
      <c r="D46" s="255"/>
      <c r="E46" s="228"/>
      <c r="F46" s="238"/>
      <c r="G46" s="239"/>
    </row>
    <row r="47" spans="1:7" s="206" customFormat="1" ht="13.5" customHeight="1">
      <c r="A47" s="734" t="s">
        <v>347</v>
      </c>
      <c r="B47" s="240" t="s">
        <v>429</v>
      </c>
      <c r="C47" s="230">
        <f>ROUND(C40*F27,4)</f>
        <v>3.8999999999999998E-3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127988</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127988</v>
      </c>
      <c r="D51" s="224"/>
      <c r="E51" s="224"/>
      <c r="F51" s="256"/>
      <c r="G51" s="226" t="s">
        <v>37</v>
      </c>
    </row>
    <row r="52" spans="1:7" s="200" customFormat="1" ht="16.5" thickBot="1">
      <c r="A52" s="257" t="s">
        <v>38</v>
      </c>
      <c r="B52" s="258"/>
      <c r="C52" s="259">
        <f ca="1">C31+C51</f>
        <v>154380</v>
      </c>
      <c r="D52" s="258"/>
      <c r="E52" s="258"/>
      <c r="F52" s="258"/>
      <c r="G52" s="260"/>
    </row>
    <row r="55" spans="1:7" ht="15">
      <c r="B55" s="262" t="s">
        <v>39</v>
      </c>
      <c r="C55" s="263"/>
    </row>
    <row r="56" spans="1:7">
      <c r="B56" s="265" t="s">
        <v>40</v>
      </c>
      <c r="C56" s="266">
        <f ca="1">ROUND(C51/C52,3)</f>
        <v>0.82899999999999996</v>
      </c>
    </row>
    <row r="57" spans="1:7">
      <c r="B57" s="265" t="s">
        <v>41</v>
      </c>
      <c r="C57" s="267">
        <f ca="1">1-C56</f>
        <v>0.17100000000000004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L14" sqref="L14"/>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2" t="s">
        <v>2828</v>
      </c>
      <c r="B1" s="3482"/>
      <c r="C1" s="3482"/>
      <c r="D1" s="3482"/>
      <c r="E1" s="3482"/>
      <c r="F1" s="3482"/>
      <c r="G1" s="3483"/>
      <c r="I1" s="2937" t="s">
        <v>2829</v>
      </c>
      <c r="J1" s="2938" t="s">
        <v>2830</v>
      </c>
      <c r="K1" s="2938" t="s">
        <v>2831</v>
      </c>
      <c r="L1" s="2938" t="s">
        <v>2832</v>
      </c>
      <c r="M1" s="2938" t="s">
        <v>2833</v>
      </c>
      <c r="N1" s="2938" t="s">
        <v>2834</v>
      </c>
      <c r="O1" s="2938" t="s">
        <v>2835</v>
      </c>
      <c r="P1" s="2938" t="s">
        <v>2836</v>
      </c>
      <c r="Q1" s="2938" t="s">
        <v>2837</v>
      </c>
      <c r="R1" s="2938" t="s">
        <v>2838</v>
      </c>
      <c r="S1" s="2938" t="s">
        <v>2839</v>
      </c>
      <c r="T1" s="2939" t="s">
        <v>2840</v>
      </c>
    </row>
    <row r="2" spans="1:20" ht="12" thickBot="1">
      <c r="A2" s="2940" t="s">
        <v>2841</v>
      </c>
      <c r="B2" s="2940"/>
      <c r="C2" s="2940"/>
      <c r="D2" s="2940"/>
      <c r="E2" s="2940"/>
      <c r="F2" s="2940"/>
      <c r="G2" s="2941" t="s">
        <v>2842</v>
      </c>
      <c r="I2" s="2942" t="s">
        <v>2843</v>
      </c>
      <c r="J2" s="2942" t="s">
        <v>2844</v>
      </c>
      <c r="K2" s="2942" t="s">
        <v>2845</v>
      </c>
      <c r="L2" s="2942" t="s">
        <v>2846</v>
      </c>
      <c r="M2" s="2942" t="s">
        <v>2847</v>
      </c>
      <c r="N2" s="2942" t="s">
        <v>2848</v>
      </c>
      <c r="O2" s="2942" t="s">
        <v>2849</v>
      </c>
      <c r="P2" s="2942" t="s">
        <v>2850</v>
      </c>
      <c r="Q2" s="2942" t="s">
        <v>2851</v>
      </c>
      <c r="R2" s="2942" t="s">
        <v>2852</v>
      </c>
      <c r="S2" s="2942" t="s">
        <v>2853</v>
      </c>
      <c r="T2" s="2942" t="s">
        <v>2854</v>
      </c>
    </row>
    <row r="3" spans="1:20" s="2948" customFormat="1">
      <c r="A3" s="3480" t="s">
        <v>2855</v>
      </c>
      <c r="B3" s="2943"/>
      <c r="C3" s="2944" t="s">
        <v>2800</v>
      </c>
      <c r="D3" s="2944" t="s">
        <v>2856</v>
      </c>
      <c r="E3" s="2944" t="s">
        <v>2802</v>
      </c>
      <c r="F3" s="2944" t="s">
        <v>2857</v>
      </c>
      <c r="G3" s="2944" t="s">
        <v>2620</v>
      </c>
      <c r="H3" s="2945"/>
      <c r="I3" s="2946" t="s">
        <v>2858</v>
      </c>
      <c r="J3" s="2947" t="s">
        <v>128</v>
      </c>
      <c r="K3" s="2947" t="s">
        <v>129</v>
      </c>
      <c r="L3" s="2946" t="s">
        <v>130</v>
      </c>
      <c r="M3" s="2946" t="s">
        <v>131</v>
      </c>
      <c r="N3" s="2946" t="s">
        <v>132</v>
      </c>
      <c r="O3" s="2946" t="s">
        <v>133</v>
      </c>
      <c r="P3" s="2946" t="s">
        <v>134</v>
      </c>
      <c r="Q3" s="2946" t="s">
        <v>135</v>
      </c>
      <c r="R3" s="2946" t="s">
        <v>136</v>
      </c>
      <c r="S3" s="2946" t="s">
        <v>2859</v>
      </c>
      <c r="T3" s="2946" t="s">
        <v>2860</v>
      </c>
    </row>
    <row r="4" spans="1:20" s="2948" customFormat="1" ht="12" thickBot="1">
      <c r="A4" s="3481"/>
      <c r="B4" s="2949" t="s">
        <v>2861</v>
      </c>
      <c r="C4" s="2949" t="s">
        <v>2862</v>
      </c>
      <c r="D4" s="2949" t="s">
        <v>2862</v>
      </c>
      <c r="E4" s="2949" t="s">
        <v>2862</v>
      </c>
      <c r="F4" s="2950" t="s">
        <v>2862</v>
      </c>
      <c r="G4" s="2950" t="s">
        <v>2862</v>
      </c>
      <c r="H4" s="2945"/>
      <c r="I4" s="2947" t="s">
        <v>137</v>
      </c>
      <c r="J4" s="2947" t="s">
        <v>111</v>
      </c>
      <c r="K4" s="2947" t="s">
        <v>138</v>
      </c>
      <c r="L4" s="2946" t="s">
        <v>139</v>
      </c>
      <c r="M4" s="2946" t="s">
        <v>140</v>
      </c>
      <c r="N4" s="2946" t="s">
        <v>141</v>
      </c>
      <c r="O4" s="2946" t="s">
        <v>142</v>
      </c>
      <c r="P4" s="2946" t="s">
        <v>143</v>
      </c>
      <c r="Q4" s="2946" t="s">
        <v>2863</v>
      </c>
      <c r="R4" s="2946" t="s">
        <v>2864</v>
      </c>
      <c r="S4" s="2946" t="s">
        <v>2865</v>
      </c>
      <c r="T4" s="2946" t="s">
        <v>2866</v>
      </c>
    </row>
    <row r="5" spans="1:20">
      <c r="A5" s="2951" t="s">
        <v>2829</v>
      </c>
      <c r="B5" s="2942" t="s">
        <v>2843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2867</v>
      </c>
      <c r="R5" s="2946" t="s">
        <v>2868</v>
      </c>
      <c r="S5" s="2946" t="s">
        <v>153</v>
      </c>
      <c r="T5" s="2946" t="s">
        <v>2869</v>
      </c>
    </row>
    <row r="6" spans="1:20" ht="12" thickBot="1">
      <c r="A6" s="2946" t="s">
        <v>144</v>
      </c>
      <c r="B6" s="2946" t="s">
        <v>2858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2870</v>
      </c>
      <c r="Q6" s="2946" t="s">
        <v>2871</v>
      </c>
      <c r="R6" s="2946" t="s">
        <v>161</v>
      </c>
      <c r="S6" s="2946" t="s">
        <v>2872</v>
      </c>
      <c r="T6" s="2946" t="s">
        <v>2873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2874</v>
      </c>
      <c r="Q7" s="2946" t="s">
        <v>2875</v>
      </c>
      <c r="R7" s="2946" t="s">
        <v>2876</v>
      </c>
      <c r="S7" s="2946" t="s">
        <v>2877</v>
      </c>
      <c r="T7" s="2946" t="s">
        <v>2878</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2879</v>
      </c>
      <c r="Q8" s="2946" t="s">
        <v>174</v>
      </c>
      <c r="R8" s="2946" t="s">
        <v>2880</v>
      </c>
      <c r="S8" s="2946" t="s">
        <v>2881</v>
      </c>
      <c r="T8" s="2953" t="s">
        <v>2882</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2883</v>
      </c>
      <c r="Q9" s="2946" t="s">
        <v>182</v>
      </c>
      <c r="R9" s="2946" t="s">
        <v>183</v>
      </c>
      <c r="S9" s="2946" t="s">
        <v>200</v>
      </c>
    </row>
    <row r="10" spans="1:20">
      <c r="A10" s="2951" t="s">
        <v>184</v>
      </c>
      <c r="B10" s="2942" t="s">
        <v>2844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2885</v>
      </c>
      <c r="P11" s="2946" t="s">
        <v>191</v>
      </c>
      <c r="Q11" s="2946" t="s">
        <v>199</v>
      </c>
      <c r="R11" s="2946" t="s">
        <v>2886</v>
      </c>
      <c r="S11" s="2946" t="s">
        <v>2887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2888</v>
      </c>
      <c r="P12" s="2946" t="s">
        <v>2889</v>
      </c>
      <c r="Q12" s="2946" t="s">
        <v>2890</v>
      </c>
      <c r="R12" s="2946" t="s">
        <v>2891</v>
      </c>
      <c r="S12" s="2946" t="s">
        <v>2892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2894</v>
      </c>
      <c r="K14" s="2947" t="s">
        <v>215</v>
      </c>
      <c r="L14" s="2946" t="s">
        <v>216</v>
      </c>
      <c r="M14" s="2946" t="s">
        <v>217</v>
      </c>
      <c r="N14" s="2946" t="s">
        <v>218</v>
      </c>
      <c r="O14" s="2946" t="s">
        <v>240</v>
      </c>
      <c r="P14" s="2946" t="s">
        <v>213</v>
      </c>
      <c r="Q14" s="2946" t="s">
        <v>2895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2896</v>
      </c>
      <c r="P15" s="2946" t="s">
        <v>2897</v>
      </c>
      <c r="Q15" s="2946" t="s">
        <v>242</v>
      </c>
      <c r="R15" s="2946" t="s">
        <v>2898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2899</v>
      </c>
      <c r="P16" s="2946" t="s">
        <v>227</v>
      </c>
      <c r="Q16" s="2946" t="s">
        <v>250</v>
      </c>
      <c r="R16" s="2946" t="s">
        <v>207</v>
      </c>
      <c r="S16" s="2946" t="s">
        <v>2900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2901</v>
      </c>
      <c r="P17" s="2946" t="s">
        <v>2902</v>
      </c>
      <c r="Q17" s="2946" t="s">
        <v>256</v>
      </c>
      <c r="R17" s="2946" t="s">
        <v>2903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2904</v>
      </c>
      <c r="P18" s="2946" t="s">
        <v>241</v>
      </c>
      <c r="Q18" s="2946" t="s">
        <v>2905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2906</v>
      </c>
      <c r="P19" s="2946" t="s">
        <v>249</v>
      </c>
      <c r="Q19" s="2946" t="s">
        <v>2907</v>
      </c>
      <c r="R19" s="2946" t="s">
        <v>265</v>
      </c>
      <c r="S19" s="2946" t="s">
        <v>2908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2909</v>
      </c>
      <c r="P20" s="2946" t="s">
        <v>2910</v>
      </c>
      <c r="Q20" s="2946" t="s">
        <v>290</v>
      </c>
      <c r="R20" s="2946" t="s">
        <v>2911</v>
      </c>
      <c r="S20" s="2946" t="s">
        <v>277</v>
      </c>
    </row>
    <row r="21" spans="1:19" ht="14.25" customHeight="1" thickBot="1">
      <c r="A21" s="2946" t="s">
        <v>184</v>
      </c>
      <c r="B21" s="2947" t="s">
        <v>208</v>
      </c>
      <c r="C21" s="2946">
        <v>32370</v>
      </c>
      <c r="D21" s="2946">
        <v>26730</v>
      </c>
      <c r="E21" s="2946">
        <v>26640</v>
      </c>
      <c r="F21" s="2946"/>
      <c r="G21" s="2946">
        <v>19440</v>
      </c>
      <c r="J21" s="2953" t="s">
        <v>2912</v>
      </c>
      <c r="K21" s="2947" t="s">
        <v>267</v>
      </c>
      <c r="L21" s="2946" t="s">
        <v>268</v>
      </c>
      <c r="M21" s="2946" t="s">
        <v>269</v>
      </c>
      <c r="N21" s="2946" t="s">
        <v>270</v>
      </c>
      <c r="O21" s="2946" t="s">
        <v>264</v>
      </c>
      <c r="P21" s="2946" t="s">
        <v>283</v>
      </c>
      <c r="Q21" s="2946" t="s">
        <v>293</v>
      </c>
      <c r="R21" s="2946" t="s">
        <v>2913</v>
      </c>
      <c r="S21" s="2953" t="s">
        <v>2914</v>
      </c>
    </row>
    <row r="22" spans="1:19" ht="14.25" customHeight="1">
      <c r="A22" s="2946" t="s">
        <v>184</v>
      </c>
      <c r="B22" s="2947" t="s">
        <v>2894</v>
      </c>
      <c r="C22" s="2946">
        <v>29830</v>
      </c>
      <c r="D22" s="2946">
        <v>27600</v>
      </c>
      <c r="E22" s="2946">
        <v>28150</v>
      </c>
      <c r="F22" s="2946"/>
      <c r="G22" s="2946">
        <v>20080</v>
      </c>
      <c r="K22" s="2947" t="s">
        <v>2915</v>
      </c>
      <c r="L22" s="2946" t="s">
        <v>272</v>
      </c>
      <c r="M22" s="2946" t="s">
        <v>273</v>
      </c>
      <c r="N22" s="2946" t="s">
        <v>274</v>
      </c>
      <c r="O22" s="2946" t="s">
        <v>2916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2917</v>
      </c>
      <c r="L23" s="2946" t="s">
        <v>278</v>
      </c>
      <c r="M23" s="2946" t="s">
        <v>279</v>
      </c>
      <c r="N23" s="2946" t="s">
        <v>2918</v>
      </c>
      <c r="O23" s="2946" t="s">
        <v>2919</v>
      </c>
      <c r="P23" s="2946" t="s">
        <v>289</v>
      </c>
      <c r="Q23" s="2946" t="s">
        <v>298</v>
      </c>
      <c r="R23" s="2946" t="s">
        <v>2920</v>
      </c>
    </row>
    <row r="24" spans="1:19" ht="14.25" customHeight="1">
      <c r="A24" s="2946" t="s">
        <v>184</v>
      </c>
      <c r="B24" s="2947" t="s">
        <v>230</v>
      </c>
      <c r="C24" s="2946">
        <v>27930</v>
      </c>
      <c r="D24" s="2946">
        <v>32260</v>
      </c>
      <c r="E24" s="2946">
        <v>32120</v>
      </c>
      <c r="F24" s="2946"/>
      <c r="G24" s="2946">
        <v>23470</v>
      </c>
      <c r="K24" s="2947" t="s">
        <v>2921</v>
      </c>
      <c r="L24" s="2946" t="s">
        <v>281</v>
      </c>
      <c r="M24" s="2946" t="s">
        <v>282</v>
      </c>
      <c r="N24" s="2946" t="s">
        <v>2922</v>
      </c>
      <c r="O24" s="2946" t="s">
        <v>285</v>
      </c>
      <c r="P24" s="2946" t="s">
        <v>2923</v>
      </c>
      <c r="Q24" s="2955" t="s">
        <v>2924</v>
      </c>
      <c r="R24" s="2946" t="s">
        <v>2925</v>
      </c>
    </row>
    <row r="25" spans="1:19" ht="14.25" customHeight="1">
      <c r="A25" s="2946" t="s">
        <v>184</v>
      </c>
      <c r="B25" s="2947" t="s">
        <v>235</v>
      </c>
      <c r="C25" s="2946">
        <v>32230</v>
      </c>
      <c r="D25" s="2946">
        <v>29640</v>
      </c>
      <c r="E25" s="2946">
        <v>29510</v>
      </c>
      <c r="F25" s="2946"/>
      <c r="G25" s="2946">
        <v>21560</v>
      </c>
      <c r="K25" s="2947" t="s">
        <v>2926</v>
      </c>
      <c r="L25" s="2946" t="s">
        <v>2927</v>
      </c>
      <c r="M25" s="2946" t="s">
        <v>284</v>
      </c>
      <c r="N25" s="2946" t="s">
        <v>292</v>
      </c>
      <c r="O25" s="2946" t="s">
        <v>288</v>
      </c>
      <c r="P25" s="2946" t="s">
        <v>275</v>
      </c>
      <c r="Q25" s="2955" t="s">
        <v>271</v>
      </c>
      <c r="R25" s="2946" t="s">
        <v>2928</v>
      </c>
    </row>
    <row r="26" spans="1:19" ht="14.25" customHeight="1" thickBot="1">
      <c r="A26" s="2946" t="s">
        <v>184</v>
      </c>
      <c r="B26" s="2947" t="s">
        <v>244</v>
      </c>
      <c r="C26" s="2946">
        <v>31690</v>
      </c>
      <c r="D26" s="2946">
        <v>27650</v>
      </c>
      <c r="E26" s="2946">
        <v>28200</v>
      </c>
      <c r="F26" s="2946"/>
      <c r="G26" s="2946">
        <v>20110</v>
      </c>
      <c r="K26" s="2952" t="s">
        <v>2929</v>
      </c>
      <c r="L26" s="2946" t="s">
        <v>2930</v>
      </c>
      <c r="M26" s="2946" t="s">
        <v>287</v>
      </c>
      <c r="N26" s="2946" t="s">
        <v>294</v>
      </c>
      <c r="O26" s="2946" t="s">
        <v>2931</v>
      </c>
      <c r="P26" s="2946" t="s">
        <v>2932</v>
      </c>
      <c r="Q26" s="2955" t="s">
        <v>276</v>
      </c>
      <c r="R26" s="2946" t="s">
        <v>2933</v>
      </c>
    </row>
    <row r="27" spans="1:19" ht="14.25" customHeight="1">
      <c r="A27" s="2946" t="s">
        <v>184</v>
      </c>
      <c r="B27" s="2947" t="s">
        <v>251</v>
      </c>
      <c r="C27" s="2946">
        <v>29610</v>
      </c>
      <c r="D27" s="2946">
        <v>27770</v>
      </c>
      <c r="E27" s="2946">
        <v>28300</v>
      </c>
      <c r="F27" s="2946"/>
      <c r="G27" s="2946">
        <v>20210</v>
      </c>
      <c r="L27" s="2946" t="s">
        <v>2934</v>
      </c>
      <c r="M27" s="2946" t="s">
        <v>291</v>
      </c>
      <c r="N27" s="2946" t="s">
        <v>297</v>
      </c>
      <c r="O27" s="2946" t="s">
        <v>2935</v>
      </c>
      <c r="P27" s="2946" t="s">
        <v>2936</v>
      </c>
      <c r="Q27" s="2946" t="s">
        <v>2937</v>
      </c>
      <c r="R27" s="2946" t="s">
        <v>2938</v>
      </c>
    </row>
    <row r="28" spans="1:19" ht="14.25" customHeight="1">
      <c r="A28" s="2946" t="s">
        <v>184</v>
      </c>
      <c r="B28" s="2947" t="s">
        <v>259</v>
      </c>
      <c r="C28" s="2946"/>
      <c r="D28" s="2946">
        <v>31520</v>
      </c>
      <c r="E28" s="2946">
        <v>31410</v>
      </c>
      <c r="F28" s="2946"/>
      <c r="G28" s="2946">
        <v>22940</v>
      </c>
      <c r="L28" s="2946" t="s">
        <v>2939</v>
      </c>
      <c r="M28" s="2946" t="s">
        <v>2940</v>
      </c>
      <c r="N28" s="2946" t="s">
        <v>2941</v>
      </c>
      <c r="O28" s="2946" t="s">
        <v>2942</v>
      </c>
      <c r="P28" s="2946" t="s">
        <v>2943</v>
      </c>
      <c r="Q28" s="2946" t="s">
        <v>2944</v>
      </c>
      <c r="R28" s="2946" t="s">
        <v>2945</v>
      </c>
    </row>
    <row r="29" spans="1:19" ht="14.25" customHeight="1" thickBot="1">
      <c r="A29" s="2954" t="s">
        <v>184</v>
      </c>
      <c r="B29" s="2956" t="s">
        <v>2912</v>
      </c>
      <c r="C29" s="2957"/>
      <c r="D29" s="2957">
        <v>29460</v>
      </c>
      <c r="E29" s="2957">
        <v>28640</v>
      </c>
      <c r="F29" s="2957"/>
      <c r="G29" s="2957">
        <v>21430</v>
      </c>
      <c r="L29" s="2946" t="s">
        <v>2946</v>
      </c>
      <c r="M29" s="2946" t="s">
        <v>2947</v>
      </c>
      <c r="N29" s="2946" t="s">
        <v>2948</v>
      </c>
      <c r="O29" s="2946" t="s">
        <v>2949</v>
      </c>
      <c r="P29" s="2946" t="s">
        <v>2950</v>
      </c>
      <c r="Q29" s="2946" t="s">
        <v>2951</v>
      </c>
      <c r="R29" s="2946" t="s">
        <v>280</v>
      </c>
    </row>
    <row r="30" spans="1:19" ht="14.25" customHeight="1">
      <c r="A30" s="2951" t="s">
        <v>296</v>
      </c>
      <c r="B30" s="2942" t="s">
        <v>2845</v>
      </c>
      <c r="C30" s="2942">
        <v>26890</v>
      </c>
      <c r="D30" s="2942">
        <v>26770</v>
      </c>
      <c r="E30" s="2942">
        <v>25700</v>
      </c>
      <c r="F30" s="2942">
        <v>8180</v>
      </c>
      <c r="G30" s="2958">
        <v>18740</v>
      </c>
      <c r="L30" s="2946" t="s">
        <v>2952</v>
      </c>
      <c r="M30" s="2946" t="s">
        <v>2953</v>
      </c>
      <c r="N30" s="2946" t="s">
        <v>2954</v>
      </c>
      <c r="O30" s="2946" t="s">
        <v>2955</v>
      </c>
      <c r="P30" s="2946" t="s">
        <v>2956</v>
      </c>
      <c r="Q30" s="2946" t="s">
        <v>2957</v>
      </c>
      <c r="R30" s="2946" t="s">
        <v>2958</v>
      </c>
    </row>
    <row r="31" spans="1:19" ht="14.25" customHeight="1">
      <c r="A31" s="2946" t="s">
        <v>296</v>
      </c>
      <c r="B31" s="2947" t="s">
        <v>129</v>
      </c>
      <c r="C31" s="2946">
        <v>24550</v>
      </c>
      <c r="D31" s="2946">
        <v>23990</v>
      </c>
      <c r="E31" s="2946">
        <v>22930</v>
      </c>
      <c r="F31" s="2946">
        <v>7470</v>
      </c>
      <c r="G31" s="2959">
        <v>16790</v>
      </c>
      <c r="L31" s="2946" t="s">
        <v>2959</v>
      </c>
      <c r="M31" s="2946" t="s">
        <v>2960</v>
      </c>
      <c r="N31" s="2946" t="s">
        <v>2961</v>
      </c>
      <c r="O31" s="2946" t="s">
        <v>2962</v>
      </c>
      <c r="P31" s="2946" t="s">
        <v>2963</v>
      </c>
      <c r="Q31" s="2946" t="s">
        <v>2964</v>
      </c>
      <c r="R31" s="2946" t="s">
        <v>2965</v>
      </c>
    </row>
    <row r="32" spans="1:19" ht="14.25" customHeight="1" thickBot="1">
      <c r="A32" s="2946" t="s">
        <v>296</v>
      </c>
      <c r="B32" s="2947" t="s">
        <v>138</v>
      </c>
      <c r="C32" s="2946">
        <v>27210</v>
      </c>
      <c r="D32" s="2946">
        <v>23240</v>
      </c>
      <c r="E32" s="2946">
        <v>23260</v>
      </c>
      <c r="F32" s="2946">
        <v>7130</v>
      </c>
      <c r="G32" s="2959">
        <v>16270</v>
      </c>
      <c r="L32" s="2946" t="s">
        <v>2966</v>
      </c>
      <c r="M32" s="2946" t="s">
        <v>2967</v>
      </c>
      <c r="N32" s="2946" t="s">
        <v>300</v>
      </c>
      <c r="O32" s="2946" t="s">
        <v>2968</v>
      </c>
      <c r="P32" s="2946" t="s">
        <v>299</v>
      </c>
      <c r="Q32" s="2946" t="s">
        <v>2969</v>
      </c>
      <c r="R32" s="2953" t="s">
        <v>2970</v>
      </c>
    </row>
    <row r="33" spans="1:17" ht="14.25" customHeight="1" thickBot="1">
      <c r="A33" s="2946" t="s">
        <v>296</v>
      </c>
      <c r="B33" s="2947" t="s">
        <v>147</v>
      </c>
      <c r="C33" s="2946">
        <v>27300</v>
      </c>
      <c r="D33" s="2946">
        <v>22980</v>
      </c>
      <c r="E33" s="2946">
        <v>24260</v>
      </c>
      <c r="F33" s="2946">
        <v>5860</v>
      </c>
      <c r="G33" s="2959">
        <v>16090</v>
      </c>
      <c r="L33" s="2953" t="s">
        <v>2971</v>
      </c>
      <c r="M33" s="2946" t="s">
        <v>2972</v>
      </c>
      <c r="N33" s="2946" t="s">
        <v>301</v>
      </c>
      <c r="O33" s="2946" t="s">
        <v>2973</v>
      </c>
      <c r="P33" s="2946" t="s">
        <v>2974</v>
      </c>
      <c r="Q33" s="2946" t="s">
        <v>2975</v>
      </c>
    </row>
    <row r="34" spans="1:17" ht="14.25" customHeight="1">
      <c r="A34" s="2946" t="s">
        <v>296</v>
      </c>
      <c r="B34" s="2947" t="s">
        <v>156</v>
      </c>
      <c r="C34" s="2946">
        <v>23090</v>
      </c>
      <c r="D34" s="2946">
        <v>23390</v>
      </c>
      <c r="E34" s="2946">
        <v>23510</v>
      </c>
      <c r="F34" s="2946">
        <v>6700</v>
      </c>
      <c r="G34" s="2959">
        <v>16370</v>
      </c>
      <c r="M34" s="2946" t="s">
        <v>2976</v>
      </c>
      <c r="N34" s="2946" t="s">
        <v>302</v>
      </c>
      <c r="O34" s="2946" t="s">
        <v>2977</v>
      </c>
      <c r="P34" s="2946" t="s">
        <v>2978</v>
      </c>
      <c r="Q34" s="2946" t="s">
        <v>2979</v>
      </c>
    </row>
    <row r="35" spans="1:17" ht="14.25" customHeight="1">
      <c r="A35" s="2946" t="s">
        <v>296</v>
      </c>
      <c r="B35" s="2947" t="s">
        <v>163</v>
      </c>
      <c r="C35" s="2946">
        <v>27270</v>
      </c>
      <c r="D35" s="2946">
        <v>24270</v>
      </c>
      <c r="E35" s="2946">
        <v>24950</v>
      </c>
      <c r="F35" s="2946">
        <v>6600</v>
      </c>
      <c r="G35" s="2959">
        <v>16990</v>
      </c>
      <c r="M35" s="2946" t="s">
        <v>2980</v>
      </c>
      <c r="N35" s="2946" t="s">
        <v>2981</v>
      </c>
      <c r="O35" s="2946" t="s">
        <v>2982</v>
      </c>
      <c r="P35" s="2946" t="s">
        <v>2983</v>
      </c>
      <c r="Q35" s="2946" t="s">
        <v>2984</v>
      </c>
    </row>
    <row r="36" spans="1:17" ht="14.25" customHeight="1">
      <c r="A36" s="2946" t="s">
        <v>296</v>
      </c>
      <c r="B36" s="2947" t="s">
        <v>169</v>
      </c>
      <c r="C36" s="2946">
        <v>23490</v>
      </c>
      <c r="D36" s="2946">
        <v>23020</v>
      </c>
      <c r="E36" s="2946">
        <v>25230</v>
      </c>
      <c r="F36" s="2946">
        <v>6780</v>
      </c>
      <c r="G36" s="2959">
        <v>16120</v>
      </c>
      <c r="M36" s="2946" t="s">
        <v>2985</v>
      </c>
      <c r="N36" s="2946" t="s">
        <v>2986</v>
      </c>
      <c r="O36" s="2946" t="s">
        <v>2987</v>
      </c>
      <c r="P36" s="2946" t="s">
        <v>2988</v>
      </c>
      <c r="Q36" s="2946" t="s">
        <v>2989</v>
      </c>
    </row>
    <row r="37" spans="1:17" ht="14.25" customHeight="1">
      <c r="A37" s="2946" t="s">
        <v>296</v>
      </c>
      <c r="B37" s="2947" t="s">
        <v>176</v>
      </c>
      <c r="C37" s="2946">
        <v>24380</v>
      </c>
      <c r="D37" s="2946">
        <v>22240</v>
      </c>
      <c r="E37" s="2946">
        <v>25980</v>
      </c>
      <c r="F37" s="2946">
        <v>8160</v>
      </c>
      <c r="G37" s="2959">
        <v>15570</v>
      </c>
      <c r="M37" s="2946" t="s">
        <v>2990</v>
      </c>
      <c r="N37" s="2946" t="s">
        <v>2991</v>
      </c>
      <c r="O37" s="2946" t="s">
        <v>2992</v>
      </c>
      <c r="P37" s="2946" t="s">
        <v>2993</v>
      </c>
      <c r="Q37" s="2946" t="s">
        <v>2994</v>
      </c>
    </row>
    <row r="38" spans="1:17" ht="14.25" customHeight="1">
      <c r="A38" s="2946" t="s">
        <v>296</v>
      </c>
      <c r="B38" s="2947" t="s">
        <v>186</v>
      </c>
      <c r="C38" s="2946">
        <v>23120</v>
      </c>
      <c r="D38" s="2946">
        <v>24630</v>
      </c>
      <c r="E38" s="2946">
        <v>25030</v>
      </c>
      <c r="F38" s="2946">
        <v>7710</v>
      </c>
      <c r="G38" s="2959">
        <v>17240</v>
      </c>
      <c r="M38" s="2946" t="s">
        <v>2995</v>
      </c>
      <c r="N38" s="2946" t="s">
        <v>2996</v>
      </c>
      <c r="O38" s="2946" t="s">
        <v>2997</v>
      </c>
      <c r="P38" s="2946" t="s">
        <v>2998</v>
      </c>
      <c r="Q38" s="2946" t="s">
        <v>2999</v>
      </c>
    </row>
    <row r="39" spans="1:17" ht="14.25" customHeight="1">
      <c r="A39" s="2946" t="s">
        <v>296</v>
      </c>
      <c r="B39" s="2947" t="s">
        <v>195</v>
      </c>
      <c r="C39" s="2946">
        <v>22330</v>
      </c>
      <c r="D39" s="2946">
        <v>21140</v>
      </c>
      <c r="E39" s="2946">
        <v>23970</v>
      </c>
      <c r="F39" s="2946">
        <v>7940</v>
      </c>
      <c r="G39" s="2959">
        <v>14790</v>
      </c>
      <c r="M39" s="2946" t="s">
        <v>3000</v>
      </c>
      <c r="N39" s="2946" t="s">
        <v>3001</v>
      </c>
      <c r="O39" s="2946" t="s">
        <v>3002</v>
      </c>
      <c r="P39" s="2946" t="s">
        <v>3003</v>
      </c>
      <c r="Q39" s="2946" t="s">
        <v>3004</v>
      </c>
    </row>
    <row r="40" spans="1:17" ht="14.25" customHeight="1">
      <c r="A40" s="2946" t="s">
        <v>296</v>
      </c>
      <c r="B40" s="2947" t="s">
        <v>202</v>
      </c>
      <c r="C40" s="2946">
        <v>24740</v>
      </c>
      <c r="D40" s="2946">
        <v>24690</v>
      </c>
      <c r="E40" s="2946">
        <v>22610</v>
      </c>
      <c r="F40" s="2946"/>
      <c r="G40" s="2959">
        <v>17280</v>
      </c>
      <c r="M40" s="2946" t="s">
        <v>3005</v>
      </c>
      <c r="N40" s="2946" t="s">
        <v>3006</v>
      </c>
      <c r="O40" s="2946" t="s">
        <v>3007</v>
      </c>
      <c r="P40" s="2946" t="s">
        <v>3008</v>
      </c>
      <c r="Q40" s="2946" t="s">
        <v>3009</v>
      </c>
    </row>
    <row r="41" spans="1:17" ht="14.25" customHeight="1" thickBot="1">
      <c r="A41" s="2946" t="s">
        <v>296</v>
      </c>
      <c r="B41" s="2947" t="s">
        <v>209</v>
      </c>
      <c r="C41" s="2946">
        <v>21220</v>
      </c>
      <c r="D41" s="2946">
        <v>21120</v>
      </c>
      <c r="E41" s="2946">
        <v>22590</v>
      </c>
      <c r="F41" s="2946"/>
      <c r="G41" s="2959">
        <v>14780</v>
      </c>
      <c r="M41" s="2953" t="s">
        <v>3010</v>
      </c>
      <c r="N41" s="2946" t="s">
        <v>3011</v>
      </c>
      <c r="O41" s="2946" t="s">
        <v>3012</v>
      </c>
      <c r="P41" s="2946" t="s">
        <v>3013</v>
      </c>
      <c r="Q41" s="2946" t="s">
        <v>3014</v>
      </c>
    </row>
    <row r="42" spans="1:17" ht="14.25" customHeight="1">
      <c r="A42" s="2946" t="s">
        <v>296</v>
      </c>
      <c r="B42" s="2947" t="s">
        <v>215</v>
      </c>
      <c r="C42" s="2946">
        <v>24800</v>
      </c>
      <c r="D42" s="2946">
        <v>22280</v>
      </c>
      <c r="E42" s="2946">
        <v>24350</v>
      </c>
      <c r="F42" s="2946"/>
      <c r="G42" s="2959">
        <v>15590</v>
      </c>
      <c r="N42" s="2946" t="s">
        <v>3015</v>
      </c>
      <c r="O42" s="2946" t="s">
        <v>3016</v>
      </c>
      <c r="P42" s="2946" t="s">
        <v>3017</v>
      </c>
      <c r="Q42" s="2946" t="s">
        <v>3018</v>
      </c>
    </row>
    <row r="43" spans="1:17" ht="14.25" customHeight="1">
      <c r="A43" s="2946" t="s">
        <v>3019</v>
      </c>
      <c r="B43" s="2947" t="s">
        <v>223</v>
      </c>
      <c r="C43" s="2946">
        <v>21210</v>
      </c>
      <c r="D43" s="2946">
        <v>21160</v>
      </c>
      <c r="E43" s="2946">
        <v>22650</v>
      </c>
      <c r="F43" s="2946"/>
      <c r="G43" s="2959">
        <v>14800</v>
      </c>
      <c r="N43" s="2946" t="s">
        <v>3020</v>
      </c>
      <c r="O43" s="2946" t="s">
        <v>3021</v>
      </c>
      <c r="P43" s="2946" t="s">
        <v>3022</v>
      </c>
      <c r="Q43" s="2946" t="s">
        <v>3023</v>
      </c>
    </row>
    <row r="44" spans="1:17" ht="14.25" customHeight="1" thickBot="1">
      <c r="A44" s="2946" t="s">
        <v>296</v>
      </c>
      <c r="B44" s="2947" t="s">
        <v>231</v>
      </c>
      <c r="C44" s="2946">
        <v>22370</v>
      </c>
      <c r="D44" s="2946">
        <v>23140</v>
      </c>
      <c r="E44" s="2946">
        <v>25090</v>
      </c>
      <c r="F44" s="2946"/>
      <c r="G44" s="2959">
        <v>16190</v>
      </c>
      <c r="N44" s="2946" t="s">
        <v>3024</v>
      </c>
      <c r="O44" s="2946" t="s">
        <v>3025</v>
      </c>
      <c r="P44" s="2953" t="s">
        <v>3026</v>
      </c>
      <c r="Q44" s="2946" t="s">
        <v>3027</v>
      </c>
    </row>
    <row r="45" spans="1:17" ht="14.25" customHeight="1" thickBot="1">
      <c r="A45" s="2946" t="s">
        <v>296</v>
      </c>
      <c r="B45" s="2947" t="s">
        <v>236</v>
      </c>
      <c r="C45" s="2946">
        <v>21240</v>
      </c>
      <c r="D45" s="2946">
        <v>27050</v>
      </c>
      <c r="E45" s="2946">
        <v>28000</v>
      </c>
      <c r="F45" s="2946"/>
      <c r="G45" s="2959">
        <v>18940</v>
      </c>
      <c r="N45" s="2946" t="s">
        <v>3028</v>
      </c>
      <c r="O45" s="2953" t="s">
        <v>3029</v>
      </c>
      <c r="Q45" s="2946" t="s">
        <v>3030</v>
      </c>
    </row>
    <row r="46" spans="1:17" ht="14.25" customHeight="1">
      <c r="A46" s="2946" t="s">
        <v>296</v>
      </c>
      <c r="B46" s="2947" t="s">
        <v>245</v>
      </c>
      <c r="C46" s="2946">
        <v>23240</v>
      </c>
      <c r="D46" s="2946">
        <v>23000</v>
      </c>
      <c r="E46" s="2946">
        <v>24980</v>
      </c>
      <c r="F46" s="2946"/>
      <c r="G46" s="2959">
        <v>16100</v>
      </c>
      <c r="N46" s="2946" t="s">
        <v>3031</v>
      </c>
      <c r="Q46" s="2946" t="s">
        <v>3032</v>
      </c>
    </row>
    <row r="47" spans="1:17" ht="14.25" customHeight="1">
      <c r="A47" s="2946" t="s">
        <v>296</v>
      </c>
      <c r="B47" s="2947" t="s">
        <v>252</v>
      </c>
      <c r="C47" s="2946">
        <v>27150</v>
      </c>
      <c r="D47" s="2946">
        <v>23310</v>
      </c>
      <c r="E47" s="2946">
        <v>25150</v>
      </c>
      <c r="F47" s="2946"/>
      <c r="G47" s="2959">
        <v>16310</v>
      </c>
      <c r="N47" s="2946" t="s">
        <v>3033</v>
      </c>
      <c r="Q47" s="2946" t="s">
        <v>3034</v>
      </c>
    </row>
    <row r="48" spans="1:17" ht="14.25" customHeight="1">
      <c r="A48" s="2946" t="s">
        <v>296</v>
      </c>
      <c r="B48" s="2947" t="s">
        <v>260</v>
      </c>
      <c r="C48" s="2946">
        <v>23100</v>
      </c>
      <c r="D48" s="2946">
        <v>21110</v>
      </c>
      <c r="E48" s="2946">
        <v>23080</v>
      </c>
      <c r="F48" s="2946"/>
      <c r="G48" s="2959">
        <v>14780</v>
      </c>
      <c r="N48" s="2946" t="s">
        <v>3035</v>
      </c>
      <c r="Q48" s="2946" t="s">
        <v>3036</v>
      </c>
    </row>
    <row r="49" spans="1:17" ht="14.25" customHeight="1">
      <c r="A49" s="2946" t="s">
        <v>296</v>
      </c>
      <c r="B49" s="2947" t="s">
        <v>267</v>
      </c>
      <c r="C49" s="2946">
        <v>23400</v>
      </c>
      <c r="D49" s="2946">
        <v>22920</v>
      </c>
      <c r="E49" s="2946">
        <v>24900</v>
      </c>
      <c r="F49" s="2946"/>
      <c r="G49" s="2959">
        <v>16040</v>
      </c>
      <c r="N49" s="2946" t="s">
        <v>3037</v>
      </c>
      <c r="Q49" s="2946" t="s">
        <v>3038</v>
      </c>
    </row>
    <row r="50" spans="1:17" ht="14.25" customHeight="1">
      <c r="A50" s="2946" t="s">
        <v>296</v>
      </c>
      <c r="B50" s="2947" t="s">
        <v>2915</v>
      </c>
      <c r="C50" s="2946">
        <v>21200</v>
      </c>
      <c r="D50" s="2946">
        <v>26540</v>
      </c>
      <c r="E50" s="2946">
        <v>23200</v>
      </c>
      <c r="F50" s="2946"/>
      <c r="G50" s="2959">
        <v>18580</v>
      </c>
      <c r="N50" s="2946" t="s">
        <v>3039</v>
      </c>
      <c r="Q50" s="2947" t="s">
        <v>3040</v>
      </c>
    </row>
    <row r="51" spans="1:17" ht="14.25" customHeight="1" thickBot="1">
      <c r="A51" s="2946" t="s">
        <v>296</v>
      </c>
      <c r="B51" s="2947" t="s">
        <v>2917</v>
      </c>
      <c r="C51" s="2946">
        <v>23000</v>
      </c>
      <c r="D51" s="2946">
        <v>23460</v>
      </c>
      <c r="E51" s="2946">
        <v>25290</v>
      </c>
      <c r="F51" s="2946"/>
      <c r="G51" s="2959">
        <v>16420</v>
      </c>
      <c r="N51" s="2946" t="s">
        <v>3041</v>
      </c>
      <c r="Q51" s="2953" t="s">
        <v>3042</v>
      </c>
    </row>
    <row r="52" spans="1:17" ht="14.25" customHeight="1">
      <c r="A52" s="2946" t="s">
        <v>296</v>
      </c>
      <c r="B52" s="2947" t="s">
        <v>2921</v>
      </c>
      <c r="C52" s="2946">
        <v>26660</v>
      </c>
      <c r="D52" s="2946">
        <v>22350</v>
      </c>
      <c r="E52" s="2946">
        <v>22920</v>
      </c>
      <c r="F52" s="2946"/>
      <c r="G52" s="2959">
        <v>15640</v>
      </c>
      <c r="N52" s="2946" t="s">
        <v>3043</v>
      </c>
    </row>
    <row r="53" spans="1:17" ht="14.25" customHeight="1">
      <c r="A53" s="2946" t="s">
        <v>296</v>
      </c>
      <c r="B53" s="2947" t="s">
        <v>2926</v>
      </c>
      <c r="C53" s="2946">
        <v>23580</v>
      </c>
      <c r="D53" s="2946"/>
      <c r="E53" s="2946">
        <v>24280</v>
      </c>
      <c r="F53" s="2946"/>
      <c r="G53" s="2959"/>
      <c r="N53" s="2946" t="s">
        <v>3044</v>
      </c>
    </row>
    <row r="54" spans="1:17" ht="14.25" customHeight="1" thickBot="1">
      <c r="A54" s="2960" t="s">
        <v>296</v>
      </c>
      <c r="B54" s="2952" t="s">
        <v>2929</v>
      </c>
      <c r="C54" s="2953">
        <v>22460</v>
      </c>
      <c r="D54" s="2953"/>
      <c r="E54" s="2953"/>
      <c r="F54" s="2953"/>
      <c r="G54" s="2961"/>
      <c r="N54" s="2946" t="s">
        <v>3045</v>
      </c>
    </row>
    <row r="55" spans="1:17" ht="14.25" customHeight="1">
      <c r="A55" s="2951" t="s">
        <v>110</v>
      </c>
      <c r="B55" s="2942" t="s">
        <v>3046</v>
      </c>
      <c r="C55" s="2946">
        <v>21970</v>
      </c>
      <c r="D55" s="2946">
        <v>20370</v>
      </c>
      <c r="E55" s="2946">
        <v>20180</v>
      </c>
      <c r="F55" s="2946">
        <v>5730</v>
      </c>
      <c r="G55" s="2946">
        <v>13820</v>
      </c>
      <c r="N55" s="2946" t="s">
        <v>3047</v>
      </c>
    </row>
    <row r="56" spans="1:17" ht="14.25" customHeight="1">
      <c r="A56" s="2946" t="s">
        <v>110</v>
      </c>
      <c r="B56" s="2946" t="s">
        <v>130</v>
      </c>
      <c r="C56" s="2946">
        <v>20470</v>
      </c>
      <c r="D56" s="2946">
        <v>20700</v>
      </c>
      <c r="E56" s="2946">
        <v>20380</v>
      </c>
      <c r="F56" s="2946">
        <v>4760</v>
      </c>
      <c r="G56" s="2946">
        <v>14050</v>
      </c>
      <c r="N56" s="2946" t="s">
        <v>3048</v>
      </c>
    </row>
    <row r="57" spans="1:17" ht="14.25" customHeight="1">
      <c r="A57" s="2946" t="s">
        <v>110</v>
      </c>
      <c r="B57" s="2946" t="s">
        <v>139</v>
      </c>
      <c r="C57" s="2946">
        <v>20790</v>
      </c>
      <c r="D57" s="2946">
        <v>21370</v>
      </c>
      <c r="E57" s="2946">
        <v>20890</v>
      </c>
      <c r="F57" s="2946">
        <v>4910</v>
      </c>
      <c r="G57" s="2946">
        <v>14510</v>
      </c>
      <c r="N57" s="2946" t="s">
        <v>3049</v>
      </c>
    </row>
    <row r="58" spans="1:17" ht="14.25" customHeight="1">
      <c r="A58" s="2946" t="s">
        <v>110</v>
      </c>
      <c r="B58" s="2946" t="s">
        <v>148</v>
      </c>
      <c r="C58" s="2946">
        <v>21460</v>
      </c>
      <c r="D58" s="2946">
        <v>20920</v>
      </c>
      <c r="E58" s="2946">
        <v>23410</v>
      </c>
      <c r="F58" s="2946">
        <v>5100</v>
      </c>
      <c r="G58" s="2946">
        <v>14200</v>
      </c>
      <c r="N58" s="2946" t="s">
        <v>3050</v>
      </c>
    </row>
    <row r="59" spans="1:17" ht="14.25" customHeight="1">
      <c r="A59" s="2946" t="s">
        <v>110</v>
      </c>
      <c r="B59" s="2946" t="s">
        <v>157</v>
      </c>
      <c r="C59" s="2946">
        <v>21000</v>
      </c>
      <c r="D59" s="2946">
        <v>21550</v>
      </c>
      <c r="E59" s="2946">
        <v>21150</v>
      </c>
      <c r="F59" s="2946">
        <v>5250</v>
      </c>
      <c r="G59" s="2946">
        <v>14630</v>
      </c>
      <c r="N59" s="2946" t="s">
        <v>3051</v>
      </c>
    </row>
    <row r="60" spans="1:17" ht="14.25" customHeight="1">
      <c r="A60" s="2946" t="s">
        <v>110</v>
      </c>
      <c r="B60" s="2946" t="s">
        <v>164</v>
      </c>
      <c r="C60" s="2946">
        <v>21640</v>
      </c>
      <c r="D60" s="2946">
        <v>21260</v>
      </c>
      <c r="E60" s="2946">
        <v>24040</v>
      </c>
      <c r="F60" s="2946">
        <v>4470</v>
      </c>
      <c r="G60" s="2946">
        <v>14430</v>
      </c>
      <c r="N60" s="2946" t="s">
        <v>3052</v>
      </c>
    </row>
    <row r="61" spans="1:17" ht="14.25" customHeight="1">
      <c r="A61" s="2946" t="s">
        <v>110</v>
      </c>
      <c r="B61" s="2946" t="s">
        <v>170</v>
      </c>
      <c r="C61" s="2946">
        <v>21330</v>
      </c>
      <c r="D61" s="2946">
        <v>18640</v>
      </c>
      <c r="E61" s="2946">
        <v>21190</v>
      </c>
      <c r="F61" s="2946">
        <v>4180</v>
      </c>
      <c r="G61" s="2946">
        <v>12650</v>
      </c>
      <c r="N61" s="2946" t="s">
        <v>3053</v>
      </c>
    </row>
    <row r="62" spans="1:17" ht="14.25" customHeight="1">
      <c r="A62" s="2946" t="s">
        <v>110</v>
      </c>
      <c r="B62" s="2946" t="s">
        <v>177</v>
      </c>
      <c r="C62" s="2946">
        <v>18710</v>
      </c>
      <c r="D62" s="2946">
        <v>19400</v>
      </c>
      <c r="E62" s="2946">
        <v>23750</v>
      </c>
      <c r="F62" s="2946">
        <v>4860</v>
      </c>
      <c r="G62" s="2946">
        <v>13170</v>
      </c>
      <c r="N62" s="2946" t="s">
        <v>3054</v>
      </c>
    </row>
    <row r="63" spans="1:17" ht="14.25" customHeight="1">
      <c r="A63" s="2946" t="s">
        <v>110</v>
      </c>
      <c r="B63" s="2946" t="s">
        <v>187</v>
      </c>
      <c r="C63" s="2946">
        <v>19480</v>
      </c>
      <c r="D63" s="2946">
        <v>16830</v>
      </c>
      <c r="E63" s="2946">
        <v>21590</v>
      </c>
      <c r="F63" s="2946">
        <v>4560</v>
      </c>
      <c r="G63" s="2946">
        <v>11420</v>
      </c>
      <c r="N63" s="2946" t="s">
        <v>3055</v>
      </c>
    </row>
    <row r="64" spans="1:17" ht="14.25" customHeight="1" thickBot="1">
      <c r="A64" s="2946" t="s">
        <v>110</v>
      </c>
      <c r="B64" s="2946" t="s">
        <v>196</v>
      </c>
      <c r="C64" s="2946">
        <v>16920</v>
      </c>
      <c r="D64" s="2946">
        <v>19190</v>
      </c>
      <c r="E64" s="2946">
        <v>22200</v>
      </c>
      <c r="F64" s="2946">
        <v>4390</v>
      </c>
      <c r="G64" s="2946">
        <v>13030</v>
      </c>
      <c r="N64" s="2953" t="s">
        <v>3056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2927</v>
      </c>
      <c r="C78" s="2946">
        <v>19820</v>
      </c>
      <c r="D78" s="2946">
        <v>19780</v>
      </c>
      <c r="E78" s="2946">
        <v>18560</v>
      </c>
      <c r="F78" s="2946"/>
      <c r="G78" s="2946">
        <v>13430</v>
      </c>
    </row>
    <row r="79" spans="1:7" s="2780" customFormat="1" ht="14.25" customHeight="1">
      <c r="A79" s="2946" t="s">
        <v>110</v>
      </c>
      <c r="B79" s="2946" t="s">
        <v>2930</v>
      </c>
      <c r="C79" s="2946">
        <v>21660</v>
      </c>
      <c r="D79" s="2946">
        <v>18000</v>
      </c>
      <c r="E79" s="2946">
        <v>22570</v>
      </c>
      <c r="F79" s="2946"/>
      <c r="G79" s="2946">
        <v>12220</v>
      </c>
    </row>
    <row r="80" spans="1:7" s="2780" customFormat="1" ht="14.25" customHeight="1">
      <c r="A80" s="2946" t="s">
        <v>110</v>
      </c>
      <c r="B80" s="2946" t="s">
        <v>2934</v>
      </c>
      <c r="C80" s="2946">
        <v>19850</v>
      </c>
      <c r="D80" s="2946"/>
      <c r="E80" s="2946">
        <v>21700</v>
      </c>
      <c r="F80" s="2946"/>
      <c r="G80" s="2946"/>
    </row>
    <row r="81" spans="1:7" s="2780" customFormat="1" ht="14.25" customHeight="1">
      <c r="A81" s="2946" t="s">
        <v>110</v>
      </c>
      <c r="B81" s="2946" t="s">
        <v>2939</v>
      </c>
      <c r="C81" s="2946">
        <v>18080</v>
      </c>
      <c r="D81" s="2946"/>
      <c r="E81" s="2946">
        <v>20900</v>
      </c>
      <c r="F81" s="2946"/>
      <c r="G81" s="2946"/>
    </row>
    <row r="82" spans="1:7" s="2780" customFormat="1" ht="14.25" customHeight="1">
      <c r="A82" s="2946" t="s">
        <v>110</v>
      </c>
      <c r="B82" s="2946" t="s">
        <v>2946</v>
      </c>
      <c r="C82" s="2946"/>
      <c r="D82" s="2946"/>
      <c r="E82" s="2946">
        <v>20840</v>
      </c>
      <c r="F82" s="2946"/>
      <c r="G82" s="2946"/>
    </row>
    <row r="83" spans="1:7" s="2780" customFormat="1" ht="14.25" customHeight="1">
      <c r="A83" s="2946" t="s">
        <v>110</v>
      </c>
      <c r="B83" s="2946" t="s">
        <v>3057</v>
      </c>
      <c r="C83" s="2946"/>
      <c r="D83" s="2946"/>
      <c r="E83" s="2946"/>
      <c r="F83" s="2946">
        <v>4770</v>
      </c>
      <c r="G83" s="2946"/>
    </row>
    <row r="84" spans="1:7" s="2780" customFormat="1" ht="14.25" customHeight="1">
      <c r="A84" s="2946" t="s">
        <v>110</v>
      </c>
      <c r="B84" s="2946" t="s">
        <v>3058</v>
      </c>
      <c r="C84" s="2946"/>
      <c r="D84" s="2946"/>
      <c r="E84" s="2946"/>
      <c r="F84" s="2946">
        <v>4600</v>
      </c>
      <c r="G84" s="2946"/>
    </row>
    <row r="85" spans="1:7" s="2780" customFormat="1" ht="14.25" customHeight="1">
      <c r="A85" s="2946" t="s">
        <v>110</v>
      </c>
      <c r="B85" s="2946" t="s">
        <v>3059</v>
      </c>
      <c r="C85" s="2946"/>
      <c r="D85" s="2946"/>
      <c r="E85" s="2946"/>
      <c r="F85" s="2946">
        <v>4680</v>
      </c>
      <c r="G85" s="2946"/>
    </row>
    <row r="86" spans="1:7" s="2780" customFormat="1" ht="14.25" customHeight="1" thickBot="1">
      <c r="A86" s="2954" t="s">
        <v>110</v>
      </c>
      <c r="B86" s="2956" t="s">
        <v>3060</v>
      </c>
      <c r="C86" s="2957">
        <v>16610</v>
      </c>
      <c r="D86" s="2957">
        <v>16540</v>
      </c>
      <c r="E86" s="2957">
        <v>18850</v>
      </c>
      <c r="F86" s="2957"/>
      <c r="G86" s="2957">
        <v>11220</v>
      </c>
    </row>
    <row r="87" spans="1:7" s="2780" customFormat="1" ht="14.25" customHeight="1">
      <c r="A87" s="2951" t="s">
        <v>303</v>
      </c>
      <c r="B87" s="2942" t="s">
        <v>3061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2940</v>
      </c>
      <c r="C113" s="2946">
        <v>15520</v>
      </c>
      <c r="D113" s="2946">
        <v>15450</v>
      </c>
      <c r="E113" s="2946"/>
      <c r="F113" s="2946"/>
      <c r="G113" s="2959">
        <v>10210</v>
      </c>
    </row>
    <row r="114" spans="1:7" s="2780" customFormat="1" ht="14.25" customHeight="1">
      <c r="A114" s="2946" t="s">
        <v>303</v>
      </c>
      <c r="B114" s="2946" t="s">
        <v>2947</v>
      </c>
      <c r="C114" s="2946">
        <v>13110</v>
      </c>
      <c r="D114" s="2946">
        <v>13050</v>
      </c>
      <c r="E114" s="2946"/>
      <c r="F114" s="2946"/>
      <c r="G114" s="2959">
        <v>8620</v>
      </c>
    </row>
    <row r="115" spans="1:7" s="2780" customFormat="1" ht="14.25" customHeight="1">
      <c r="A115" s="2946" t="s">
        <v>303</v>
      </c>
      <c r="B115" s="2946" t="s">
        <v>2953</v>
      </c>
      <c r="C115" s="2946">
        <v>12460</v>
      </c>
      <c r="D115" s="2946">
        <v>12390</v>
      </c>
      <c r="E115" s="2946"/>
      <c r="F115" s="2946"/>
      <c r="G115" s="2959">
        <v>8190</v>
      </c>
    </row>
    <row r="116" spans="1:7" s="2780" customFormat="1" ht="14.25" customHeight="1">
      <c r="A116" s="2946" t="s">
        <v>303</v>
      </c>
      <c r="B116" s="2946" t="s">
        <v>2960</v>
      </c>
      <c r="C116" s="2946">
        <v>13580</v>
      </c>
      <c r="D116" s="2946">
        <v>13520</v>
      </c>
      <c r="E116" s="2946"/>
      <c r="F116" s="2946"/>
      <c r="G116" s="2959">
        <v>8930</v>
      </c>
    </row>
    <row r="117" spans="1:7" s="2780" customFormat="1" ht="14.25" customHeight="1">
      <c r="A117" s="2946" t="s">
        <v>303</v>
      </c>
      <c r="B117" s="2946" t="s">
        <v>2967</v>
      </c>
      <c r="C117" s="2946">
        <v>17120</v>
      </c>
      <c r="D117" s="2946">
        <v>17040</v>
      </c>
      <c r="E117" s="2946"/>
      <c r="F117" s="2946"/>
      <c r="G117" s="2959">
        <v>11260</v>
      </c>
    </row>
    <row r="118" spans="1:7" s="2780" customFormat="1" ht="14.25" customHeight="1">
      <c r="A118" s="2946" t="s">
        <v>303</v>
      </c>
      <c r="B118" s="2946" t="s">
        <v>2972</v>
      </c>
      <c r="C118" s="2946">
        <v>14860</v>
      </c>
      <c r="D118" s="2946">
        <v>14790</v>
      </c>
      <c r="E118" s="2946"/>
      <c r="F118" s="2946"/>
      <c r="G118" s="2959">
        <v>9780</v>
      </c>
    </row>
    <row r="119" spans="1:7" s="2780" customFormat="1" ht="14.25" customHeight="1">
      <c r="A119" s="2946" t="s">
        <v>303</v>
      </c>
      <c r="B119" s="2946" t="s">
        <v>2976</v>
      </c>
      <c r="C119" s="2946">
        <v>16470</v>
      </c>
      <c r="D119" s="2946">
        <v>16400</v>
      </c>
      <c r="E119" s="2946"/>
      <c r="F119" s="2946"/>
      <c r="G119" s="2959">
        <v>10840</v>
      </c>
    </row>
    <row r="120" spans="1:7" s="2780" customFormat="1" ht="14.25" customHeight="1">
      <c r="A120" s="2946" t="s">
        <v>303</v>
      </c>
      <c r="B120" s="2946" t="s">
        <v>3062</v>
      </c>
      <c r="C120" s="2946"/>
      <c r="D120" s="2946"/>
      <c r="E120" s="2946"/>
      <c r="F120" s="2946">
        <v>4160</v>
      </c>
      <c r="G120" s="2959"/>
    </row>
    <row r="121" spans="1:7" s="2780" customFormat="1" ht="14.25" customHeight="1">
      <c r="A121" s="2946" t="s">
        <v>303</v>
      </c>
      <c r="B121" s="2946" t="s">
        <v>3063</v>
      </c>
      <c r="C121" s="2946"/>
      <c r="D121" s="2946"/>
      <c r="E121" s="2946"/>
      <c r="F121" s="2946">
        <v>3880</v>
      </c>
      <c r="G121" s="2959"/>
    </row>
    <row r="122" spans="1:7" s="2780" customFormat="1" ht="14.25" customHeight="1">
      <c r="A122" s="2946" t="s">
        <v>303</v>
      </c>
      <c r="B122" s="2946" t="s">
        <v>3064</v>
      </c>
      <c r="C122" s="2946">
        <v>13750</v>
      </c>
      <c r="D122" s="2946">
        <v>13680</v>
      </c>
      <c r="E122" s="2946">
        <v>16460</v>
      </c>
      <c r="F122" s="2946">
        <v>2880</v>
      </c>
      <c r="G122" s="2959">
        <v>9040</v>
      </c>
    </row>
    <row r="123" spans="1:7" s="2780" customFormat="1" ht="14.25" customHeight="1">
      <c r="A123" s="2946" t="s">
        <v>303</v>
      </c>
      <c r="B123" s="2946" t="s">
        <v>2995</v>
      </c>
      <c r="C123" s="2946">
        <v>13590</v>
      </c>
      <c r="D123" s="2946">
        <v>13520</v>
      </c>
      <c r="E123" s="2946">
        <v>16290</v>
      </c>
      <c r="F123" s="2946">
        <v>2790</v>
      </c>
      <c r="G123" s="2959">
        <v>8930</v>
      </c>
    </row>
    <row r="124" spans="1:7" s="2780" customFormat="1" ht="14.25" customHeight="1">
      <c r="A124" s="2946" t="s">
        <v>303</v>
      </c>
      <c r="B124" s="2946" t="s">
        <v>3000</v>
      </c>
      <c r="C124" s="2946">
        <v>13400</v>
      </c>
      <c r="D124" s="2946">
        <v>13320</v>
      </c>
      <c r="E124" s="2946">
        <v>16100</v>
      </c>
      <c r="F124" s="2946">
        <v>2320</v>
      </c>
      <c r="G124" s="2959">
        <v>8800</v>
      </c>
    </row>
    <row r="125" spans="1:7" s="2780" customFormat="1" ht="14.25" customHeight="1">
      <c r="A125" s="2946" t="s">
        <v>303</v>
      </c>
      <c r="B125" s="2946" t="s">
        <v>3005</v>
      </c>
      <c r="C125" s="2946">
        <v>12860</v>
      </c>
      <c r="D125" s="2946">
        <v>12790</v>
      </c>
      <c r="E125" s="2946">
        <v>15370</v>
      </c>
      <c r="F125" s="2946">
        <v>2280</v>
      </c>
      <c r="G125" s="2959">
        <v>8450</v>
      </c>
    </row>
    <row r="126" spans="1:7" s="2780" customFormat="1" ht="14.25" customHeight="1" thickBot="1">
      <c r="A126" s="2960" t="s">
        <v>303</v>
      </c>
      <c r="B126" s="2953" t="s">
        <v>3010</v>
      </c>
      <c r="C126" s="2953">
        <v>12960</v>
      </c>
      <c r="D126" s="2953">
        <v>12890</v>
      </c>
      <c r="E126" s="2953">
        <v>15530</v>
      </c>
      <c r="F126" s="2953">
        <v>2910</v>
      </c>
      <c r="G126" s="2961">
        <v>8520</v>
      </c>
    </row>
    <row r="127" spans="1:7" s="2780" customFormat="1" ht="14.25" customHeight="1">
      <c r="A127" s="2951" t="s">
        <v>29</v>
      </c>
      <c r="B127" s="2942" t="s">
        <v>3065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3066</v>
      </c>
      <c r="C148" s="2946">
        <v>10370</v>
      </c>
      <c r="D148" s="2946">
        <v>10310</v>
      </c>
      <c r="E148" s="2946">
        <v>12970</v>
      </c>
      <c r="F148" s="2946"/>
      <c r="G148" s="2946">
        <v>6630</v>
      </c>
    </row>
    <row r="149" spans="1:7" s="2780" customFormat="1" ht="14.25" customHeight="1">
      <c r="A149" s="2946" t="s">
        <v>29</v>
      </c>
      <c r="B149" s="2946" t="s">
        <v>3067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2941</v>
      </c>
      <c r="C153" s="2946">
        <v>10880</v>
      </c>
      <c r="D153" s="2946">
        <v>10820</v>
      </c>
      <c r="E153" s="2946">
        <v>13660</v>
      </c>
      <c r="F153" s="2946">
        <v>2260</v>
      </c>
      <c r="G153" s="2946">
        <v>6970</v>
      </c>
    </row>
    <row r="154" spans="1:7" s="2780" customFormat="1" ht="14.25" customHeight="1">
      <c r="A154" s="2946" t="s">
        <v>29</v>
      </c>
      <c r="B154" s="2946" t="s">
        <v>3068</v>
      </c>
      <c r="C154" s="2946">
        <v>11220</v>
      </c>
      <c r="D154" s="2946">
        <v>11160</v>
      </c>
      <c r="E154" s="2946">
        <v>14130</v>
      </c>
      <c r="F154" s="2946">
        <v>2230</v>
      </c>
      <c r="G154" s="2946">
        <v>7180</v>
      </c>
    </row>
    <row r="155" spans="1:7" s="2780" customFormat="1" ht="14.25" customHeight="1">
      <c r="A155" s="2946" t="s">
        <v>29</v>
      </c>
      <c r="B155" s="2946" t="s">
        <v>2954</v>
      </c>
      <c r="C155" s="2946">
        <v>10430</v>
      </c>
      <c r="D155" s="2946">
        <v>10380</v>
      </c>
      <c r="E155" s="2946">
        <v>13140</v>
      </c>
      <c r="F155" s="2946">
        <v>2080</v>
      </c>
      <c r="G155" s="2946">
        <v>6650</v>
      </c>
    </row>
    <row r="156" spans="1:7" s="2780" customFormat="1" ht="14.25" customHeight="1">
      <c r="A156" s="2946" t="s">
        <v>29</v>
      </c>
      <c r="B156" s="2946" t="s">
        <v>3069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3070</v>
      </c>
      <c r="C160" s="2946">
        <v>11180</v>
      </c>
      <c r="D160" s="2946">
        <v>11140</v>
      </c>
      <c r="E160" s="2946">
        <v>14050</v>
      </c>
      <c r="F160" s="2946">
        <v>2270</v>
      </c>
      <c r="G160" s="2946">
        <v>7170</v>
      </c>
    </row>
    <row r="161" spans="1:7" s="2780" customFormat="1" ht="14.25" customHeight="1">
      <c r="A161" s="2946" t="s">
        <v>29</v>
      </c>
      <c r="B161" s="2946" t="s">
        <v>2986</v>
      </c>
      <c r="C161" s="2946">
        <v>11160</v>
      </c>
      <c r="D161" s="2946">
        <v>11120</v>
      </c>
      <c r="E161" s="2946">
        <v>14020</v>
      </c>
      <c r="F161" s="2946">
        <v>2150</v>
      </c>
      <c r="G161" s="2946">
        <v>7160</v>
      </c>
    </row>
    <row r="162" spans="1:7" s="2780" customFormat="1" ht="14.25" customHeight="1">
      <c r="A162" s="2946" t="s">
        <v>29</v>
      </c>
      <c r="B162" s="2946" t="s">
        <v>2991</v>
      </c>
      <c r="C162" s="2946">
        <v>9620</v>
      </c>
      <c r="D162" s="2946">
        <v>9570</v>
      </c>
      <c r="E162" s="2946">
        <v>12320</v>
      </c>
      <c r="F162" s="2946">
        <v>2010</v>
      </c>
      <c r="G162" s="2946">
        <v>6160</v>
      </c>
    </row>
    <row r="163" spans="1:7" s="2780" customFormat="1" ht="14.25" customHeight="1">
      <c r="A163" s="2946" t="s">
        <v>29</v>
      </c>
      <c r="B163" s="2946" t="s">
        <v>2996</v>
      </c>
      <c r="C163" s="2946">
        <v>9320</v>
      </c>
      <c r="D163" s="2946">
        <v>9270</v>
      </c>
      <c r="E163" s="2946">
        <v>11790</v>
      </c>
      <c r="F163" s="2946">
        <v>1920</v>
      </c>
      <c r="G163" s="2946">
        <v>5960</v>
      </c>
    </row>
    <row r="164" spans="1:7" s="2780" customFormat="1" ht="14.25" customHeight="1">
      <c r="A164" s="2946" t="s">
        <v>29</v>
      </c>
      <c r="B164" s="2946" t="s">
        <v>3001</v>
      </c>
      <c r="C164" s="2946"/>
      <c r="D164" s="2946"/>
      <c r="E164" s="2946"/>
      <c r="F164" s="2946">
        <v>1980</v>
      </c>
      <c r="G164" s="2946"/>
    </row>
    <row r="165" spans="1:7" s="2780" customFormat="1" ht="14.25" customHeight="1">
      <c r="A165" s="2946" t="s">
        <v>29</v>
      </c>
      <c r="B165" s="2946" t="s">
        <v>3071</v>
      </c>
      <c r="C165" s="2946">
        <v>11060</v>
      </c>
      <c r="D165" s="2946">
        <v>11030</v>
      </c>
      <c r="E165" s="2946">
        <v>13850</v>
      </c>
      <c r="F165" s="2946">
        <v>2170</v>
      </c>
      <c r="G165" s="2946">
        <v>7090</v>
      </c>
    </row>
    <row r="166" spans="1:7" s="2780" customFormat="1" ht="14.25" customHeight="1">
      <c r="A166" s="2946" t="s">
        <v>29</v>
      </c>
      <c r="B166" s="2946" t="s">
        <v>3011</v>
      </c>
      <c r="C166" s="2946">
        <v>11050</v>
      </c>
      <c r="D166" s="2946">
        <v>11010</v>
      </c>
      <c r="E166" s="2946">
        <v>13920</v>
      </c>
      <c r="F166" s="2946">
        <v>2140</v>
      </c>
      <c r="G166" s="2946">
        <v>7080</v>
      </c>
    </row>
    <row r="167" spans="1:7" s="2780" customFormat="1" ht="14.25" customHeight="1">
      <c r="A167" s="2946" t="s">
        <v>29</v>
      </c>
      <c r="B167" s="2946" t="s">
        <v>3015</v>
      </c>
      <c r="C167" s="2946">
        <v>10930</v>
      </c>
      <c r="D167" s="2946">
        <v>10890</v>
      </c>
      <c r="E167" s="2946">
        <v>13790</v>
      </c>
      <c r="F167" s="2946">
        <v>2010</v>
      </c>
      <c r="G167" s="2946">
        <v>7000</v>
      </c>
    </row>
    <row r="168" spans="1:7" s="2780" customFormat="1" ht="14.25" customHeight="1">
      <c r="A168" s="2946" t="s">
        <v>29</v>
      </c>
      <c r="B168" s="2946" t="s">
        <v>3020</v>
      </c>
      <c r="C168" s="2946">
        <v>9420</v>
      </c>
      <c r="D168" s="2946">
        <v>9380</v>
      </c>
      <c r="E168" s="2946">
        <v>11970</v>
      </c>
      <c r="F168" s="2946"/>
      <c r="G168" s="2946">
        <v>6040</v>
      </c>
    </row>
    <row r="169" spans="1:7" s="2780" customFormat="1" ht="14.25" customHeight="1">
      <c r="A169" s="2946" t="s">
        <v>29</v>
      </c>
      <c r="B169" s="2946" t="s">
        <v>3072</v>
      </c>
      <c r="C169" s="2946"/>
      <c r="D169" s="2946"/>
      <c r="E169" s="2946"/>
      <c r="F169" s="2946">
        <v>2880</v>
      </c>
      <c r="G169" s="2946"/>
    </row>
    <row r="170" spans="1:7" s="2780" customFormat="1" ht="14.25" customHeight="1">
      <c r="A170" s="2946" t="s">
        <v>29</v>
      </c>
      <c r="B170" s="2946" t="s">
        <v>3028</v>
      </c>
      <c r="C170" s="2946"/>
      <c r="D170" s="2946"/>
      <c r="E170" s="2946"/>
      <c r="F170" s="2946">
        <v>2880</v>
      </c>
      <c r="G170" s="2946"/>
    </row>
    <row r="171" spans="1:7" s="2780" customFormat="1" ht="14.25" customHeight="1">
      <c r="A171" s="2946" t="s">
        <v>29</v>
      </c>
      <c r="B171" s="2946" t="s">
        <v>3031</v>
      </c>
      <c r="C171" s="2946"/>
      <c r="D171" s="2946"/>
      <c r="E171" s="2946"/>
      <c r="F171" s="2946">
        <v>2880</v>
      </c>
      <c r="G171" s="2946"/>
    </row>
    <row r="172" spans="1:7" s="2780" customFormat="1" ht="14.25" customHeight="1">
      <c r="A172" s="2946" t="s">
        <v>29</v>
      </c>
      <c r="B172" s="2946" t="s">
        <v>3033</v>
      </c>
      <c r="C172" s="2946"/>
      <c r="D172" s="2946"/>
      <c r="E172" s="2946"/>
      <c r="F172" s="2946">
        <v>2880</v>
      </c>
      <c r="G172" s="2946"/>
    </row>
    <row r="173" spans="1:7" s="2780" customFormat="1" ht="14.25" customHeight="1">
      <c r="A173" s="2946" t="s">
        <v>29</v>
      </c>
      <c r="B173" s="2946" t="s">
        <v>3035</v>
      </c>
      <c r="C173" s="2946"/>
      <c r="D173" s="2946"/>
      <c r="E173" s="2946"/>
      <c r="F173" s="2946">
        <v>2150</v>
      </c>
      <c r="G173" s="2946"/>
    </row>
    <row r="174" spans="1:7" s="2780" customFormat="1" ht="14.25" customHeight="1">
      <c r="A174" s="2946" t="s">
        <v>29</v>
      </c>
      <c r="B174" s="2946" t="s">
        <v>3037</v>
      </c>
      <c r="C174" s="2946"/>
      <c r="D174" s="2946"/>
      <c r="E174" s="2946"/>
      <c r="F174" s="2946">
        <v>2030</v>
      </c>
      <c r="G174" s="2946"/>
    </row>
    <row r="175" spans="1:7" s="2780" customFormat="1" ht="14.25" customHeight="1">
      <c r="A175" s="2946" t="s">
        <v>29</v>
      </c>
      <c r="B175" s="2946" t="s">
        <v>3039</v>
      </c>
      <c r="C175" s="2946"/>
      <c r="D175" s="2946"/>
      <c r="E175" s="2946"/>
      <c r="F175" s="2946">
        <v>2780</v>
      </c>
      <c r="G175" s="2946"/>
    </row>
    <row r="176" spans="1:7" s="2780" customFormat="1" ht="14.25" customHeight="1">
      <c r="A176" s="2946" t="s">
        <v>29</v>
      </c>
      <c r="B176" s="2946" t="s">
        <v>3041</v>
      </c>
      <c r="C176" s="2946"/>
      <c r="D176" s="2946"/>
      <c r="E176" s="2946"/>
      <c r="F176" s="2946">
        <v>2780</v>
      </c>
      <c r="G176" s="2946"/>
    </row>
    <row r="177" spans="1:7" s="2780" customFormat="1" ht="14.25" customHeight="1">
      <c r="A177" s="2946" t="s">
        <v>29</v>
      </c>
      <c r="B177" s="2946" t="s">
        <v>3073</v>
      </c>
      <c r="C177" s="2946"/>
      <c r="D177" s="2946"/>
      <c r="E177" s="2946"/>
      <c r="F177" s="2946">
        <v>2780</v>
      </c>
      <c r="G177" s="2946"/>
    </row>
    <row r="178" spans="1:7" s="2780" customFormat="1" ht="14.25" customHeight="1">
      <c r="A178" s="2946" t="s">
        <v>29</v>
      </c>
      <c r="B178" s="2946" t="s">
        <v>3074</v>
      </c>
      <c r="C178" s="2946"/>
      <c r="D178" s="2946"/>
      <c r="E178" s="2946"/>
      <c r="F178" s="2946">
        <v>2060</v>
      </c>
      <c r="G178" s="2946"/>
    </row>
    <row r="179" spans="1:7" s="2780" customFormat="1" ht="14.25" customHeight="1">
      <c r="A179" s="2946" t="s">
        <v>29</v>
      </c>
      <c r="B179" s="2946" t="s">
        <v>3075</v>
      </c>
      <c r="C179" s="2946"/>
      <c r="D179" s="2946"/>
      <c r="E179" s="2946"/>
      <c r="F179" s="2946">
        <v>2120</v>
      </c>
      <c r="G179" s="2946"/>
    </row>
    <row r="180" spans="1:7" s="2780" customFormat="1" ht="14.25" customHeight="1">
      <c r="A180" s="2946" t="s">
        <v>29</v>
      </c>
      <c r="B180" s="2946" t="s">
        <v>3047</v>
      </c>
      <c r="C180" s="2946"/>
      <c r="D180" s="2946"/>
      <c r="E180" s="2946"/>
      <c r="F180" s="2946">
        <v>2340</v>
      </c>
      <c r="G180" s="2946"/>
    </row>
    <row r="181" spans="1:7" s="2780" customFormat="1" ht="14.25" customHeight="1">
      <c r="A181" s="2946" t="s">
        <v>29</v>
      </c>
      <c r="B181" s="2946" t="s">
        <v>3048</v>
      </c>
      <c r="C181" s="2946"/>
      <c r="D181" s="2946"/>
      <c r="E181" s="2946"/>
      <c r="F181" s="2946">
        <v>2340</v>
      </c>
      <c r="G181" s="2946"/>
    </row>
    <row r="182" spans="1:7" s="2780" customFormat="1" ht="14.25" customHeight="1">
      <c r="A182" s="2946" t="s">
        <v>29</v>
      </c>
      <c r="B182" s="2946" t="s">
        <v>3049</v>
      </c>
      <c r="C182" s="2946"/>
      <c r="D182" s="2946"/>
      <c r="E182" s="2946"/>
      <c r="F182" s="2946">
        <v>2340</v>
      </c>
      <c r="G182" s="2946"/>
    </row>
    <row r="183" spans="1:7" s="2780" customFormat="1" ht="14.25" customHeight="1">
      <c r="A183" s="2946" t="s">
        <v>29</v>
      </c>
      <c r="B183" s="2946" t="s">
        <v>3050</v>
      </c>
      <c r="C183" s="2946"/>
      <c r="D183" s="2946"/>
      <c r="E183" s="2946"/>
      <c r="F183" s="2946">
        <v>2340</v>
      </c>
      <c r="G183" s="2946"/>
    </row>
    <row r="184" spans="1:7" s="2780" customFormat="1" ht="14.25" customHeight="1">
      <c r="A184" s="2946" t="s">
        <v>29</v>
      </c>
      <c r="B184" s="2946" t="s">
        <v>3051</v>
      </c>
      <c r="C184" s="2946"/>
      <c r="D184" s="2946"/>
      <c r="E184" s="2946"/>
      <c r="F184" s="2946">
        <v>2340</v>
      </c>
      <c r="G184" s="2946"/>
    </row>
    <row r="185" spans="1:7" s="2780" customFormat="1" ht="14.25" customHeight="1">
      <c r="A185" s="2946" t="s">
        <v>29</v>
      </c>
      <c r="B185" s="2946" t="s">
        <v>3052</v>
      </c>
      <c r="C185" s="2946"/>
      <c r="D185" s="2946"/>
      <c r="E185" s="2946"/>
      <c r="F185" s="2946">
        <v>2530</v>
      </c>
      <c r="G185" s="2946"/>
    </row>
    <row r="186" spans="1:7" s="2780" customFormat="1" ht="14.25" customHeight="1">
      <c r="A186" s="2946" t="s">
        <v>29</v>
      </c>
      <c r="B186" s="2946" t="s">
        <v>3053</v>
      </c>
      <c r="C186" s="2946"/>
      <c r="D186" s="2946"/>
      <c r="E186" s="2946"/>
      <c r="F186" s="2946">
        <v>2550</v>
      </c>
      <c r="G186" s="2946"/>
    </row>
    <row r="187" spans="1:7" s="2780" customFormat="1" ht="14.25" customHeight="1">
      <c r="A187" s="2946" t="s">
        <v>29</v>
      </c>
      <c r="B187" s="2946" t="s">
        <v>3054</v>
      </c>
      <c r="C187" s="2946"/>
      <c r="D187" s="2946"/>
      <c r="E187" s="2946"/>
      <c r="F187" s="2946">
        <v>2070</v>
      </c>
      <c r="G187" s="2946"/>
    </row>
    <row r="188" spans="1:7" s="2780" customFormat="1" ht="14.25" customHeight="1">
      <c r="A188" s="2946" t="s">
        <v>29</v>
      </c>
      <c r="B188" s="2946" t="s">
        <v>3055</v>
      </c>
      <c r="C188" s="2946"/>
      <c r="D188" s="2946"/>
      <c r="E188" s="2946"/>
      <c r="F188" s="2946">
        <v>2340</v>
      </c>
      <c r="G188" s="2946"/>
    </row>
    <row r="189" spans="1:7" s="2780" customFormat="1" ht="14.25" customHeight="1" thickBot="1">
      <c r="A189" s="2954" t="s">
        <v>29</v>
      </c>
      <c r="B189" s="2957" t="s">
        <v>3056</v>
      </c>
      <c r="C189" s="2957"/>
      <c r="D189" s="2957"/>
      <c r="E189" s="2957"/>
      <c r="F189" s="2957">
        <v>2050</v>
      </c>
      <c r="G189" s="2957"/>
    </row>
    <row r="190" spans="1:7" s="2780" customFormat="1" ht="14.25" customHeight="1">
      <c r="A190" s="2951" t="s">
        <v>304</v>
      </c>
      <c r="B190" s="2942" t="s">
        <v>3076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3077</v>
      </c>
      <c r="C199" s="2946">
        <v>8690</v>
      </c>
      <c r="D199" s="2946">
        <v>8630</v>
      </c>
      <c r="E199" s="2946">
        <v>11350</v>
      </c>
      <c r="F199" s="2946">
        <v>1600</v>
      </c>
      <c r="G199" s="2959">
        <v>5450</v>
      </c>
    </row>
    <row r="200" spans="1:7" s="2780" customFormat="1" ht="14.25" customHeight="1">
      <c r="A200" s="2946" t="s">
        <v>304</v>
      </c>
      <c r="B200" s="2946" t="s">
        <v>2888</v>
      </c>
      <c r="C200" s="2946"/>
      <c r="D200" s="2946"/>
      <c r="E200" s="2946"/>
      <c r="F200" s="2946">
        <v>1510</v>
      </c>
      <c r="G200" s="2959"/>
    </row>
    <row r="201" spans="1:7" s="2780" customFormat="1" ht="14.25" customHeight="1">
      <c r="A201" s="2946" t="s">
        <v>304</v>
      </c>
      <c r="B201" s="2946" t="s">
        <v>3078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3079</v>
      </c>
      <c r="C203" s="2946">
        <v>8130</v>
      </c>
      <c r="D203" s="2946">
        <v>8070</v>
      </c>
      <c r="E203" s="2946">
        <v>10820</v>
      </c>
      <c r="F203" s="2946">
        <v>1690</v>
      </c>
      <c r="G203" s="2959">
        <v>5100</v>
      </c>
    </row>
    <row r="204" spans="1:7" s="2780" customFormat="1" ht="14.25" customHeight="1">
      <c r="A204" s="2946" t="s">
        <v>304</v>
      </c>
      <c r="B204" s="2946" t="s">
        <v>2899</v>
      </c>
      <c r="C204" s="2946">
        <v>8350</v>
      </c>
      <c r="D204" s="2946">
        <v>8290</v>
      </c>
      <c r="E204" s="2946">
        <v>11080</v>
      </c>
      <c r="F204" s="2946">
        <v>1450</v>
      </c>
      <c r="G204" s="2959">
        <v>5240</v>
      </c>
    </row>
    <row r="205" spans="1:7" s="2780" customFormat="1" ht="14.25" customHeight="1">
      <c r="A205" s="2946" t="s">
        <v>304</v>
      </c>
      <c r="B205" s="2946" t="s">
        <v>2901</v>
      </c>
      <c r="C205" s="2946">
        <v>7190</v>
      </c>
      <c r="D205" s="2946">
        <v>7130</v>
      </c>
      <c r="E205" s="2946">
        <v>9490</v>
      </c>
      <c r="F205" s="2946">
        <v>1470</v>
      </c>
      <c r="G205" s="2959">
        <v>4510</v>
      </c>
    </row>
    <row r="206" spans="1:7" s="2780" customFormat="1" ht="14.25" customHeight="1">
      <c r="A206" s="2946" t="s">
        <v>304</v>
      </c>
      <c r="B206" s="2946" t="s">
        <v>2904</v>
      </c>
      <c r="C206" s="2946">
        <v>7000</v>
      </c>
      <c r="D206" s="2946">
        <v>6950</v>
      </c>
      <c r="E206" s="2946">
        <v>9170</v>
      </c>
      <c r="F206" s="2946">
        <v>1400</v>
      </c>
      <c r="G206" s="2959">
        <v>4380</v>
      </c>
    </row>
    <row r="207" spans="1:7" s="2780" customFormat="1" ht="14.25" customHeight="1">
      <c r="A207" s="2946" t="s">
        <v>304</v>
      </c>
      <c r="B207" s="2946" t="s">
        <v>2906</v>
      </c>
      <c r="C207" s="2946">
        <v>6950</v>
      </c>
      <c r="D207" s="2946">
        <v>6900</v>
      </c>
      <c r="E207" s="2946">
        <v>9110</v>
      </c>
      <c r="F207" s="2946">
        <v>1790</v>
      </c>
      <c r="G207" s="2959">
        <v>4360</v>
      </c>
    </row>
    <row r="208" spans="1:7" s="2780" customFormat="1" ht="14.25" customHeight="1">
      <c r="A208" s="2946" t="s">
        <v>304</v>
      </c>
      <c r="B208" s="2946" t="s">
        <v>3080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2916</v>
      </c>
      <c r="C210" s="2946">
        <v>8710</v>
      </c>
      <c r="D210" s="2946">
        <v>8660</v>
      </c>
      <c r="E210" s="2946">
        <v>11440</v>
      </c>
      <c r="F210" s="2946">
        <v>1740</v>
      </c>
      <c r="G210" s="2959">
        <v>5470</v>
      </c>
    </row>
    <row r="211" spans="1:7" s="2780" customFormat="1" ht="14.25" customHeight="1">
      <c r="A211" s="2946" t="s">
        <v>304</v>
      </c>
      <c r="B211" s="2946" t="s">
        <v>3081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3082</v>
      </c>
      <c r="C214" s="2946">
        <v>8090</v>
      </c>
      <c r="D214" s="2946">
        <v>8030</v>
      </c>
      <c r="E214" s="2946">
        <v>10780</v>
      </c>
      <c r="F214" s="2946">
        <v>1570</v>
      </c>
      <c r="G214" s="2959">
        <v>5070</v>
      </c>
    </row>
    <row r="215" spans="1:7" s="2780" customFormat="1" ht="14.25" customHeight="1">
      <c r="A215" s="2946" t="s">
        <v>304</v>
      </c>
      <c r="B215" s="2946" t="s">
        <v>3083</v>
      </c>
      <c r="C215" s="2946">
        <v>7950</v>
      </c>
      <c r="D215" s="2946">
        <v>7900</v>
      </c>
      <c r="E215" s="2946">
        <v>10560</v>
      </c>
      <c r="F215" s="2946">
        <v>1630</v>
      </c>
      <c r="G215" s="2959">
        <v>4990</v>
      </c>
    </row>
    <row r="216" spans="1:7" s="2780" customFormat="1" ht="14.25" customHeight="1">
      <c r="A216" s="2946" t="s">
        <v>304</v>
      </c>
      <c r="B216" s="2946" t="s">
        <v>3084</v>
      </c>
      <c r="C216" s="2946">
        <v>8490</v>
      </c>
      <c r="D216" s="2946">
        <v>8440</v>
      </c>
      <c r="E216" s="2946">
        <v>11260</v>
      </c>
      <c r="F216" s="2946">
        <v>1690</v>
      </c>
      <c r="G216" s="2959">
        <v>5330</v>
      </c>
    </row>
    <row r="217" spans="1:7" s="2780" customFormat="1" ht="14.25" customHeight="1">
      <c r="A217" s="2946" t="s">
        <v>304</v>
      </c>
      <c r="B217" s="2946" t="s">
        <v>2949</v>
      </c>
      <c r="C217" s="2946">
        <v>8200</v>
      </c>
      <c r="D217" s="2946">
        <v>8150</v>
      </c>
      <c r="E217" s="2946">
        <v>10910</v>
      </c>
      <c r="F217" s="2946">
        <v>1670</v>
      </c>
      <c r="G217" s="2959">
        <v>5150</v>
      </c>
    </row>
    <row r="218" spans="1:7" s="2780" customFormat="1" ht="14.25" customHeight="1">
      <c r="A218" s="2946" t="s">
        <v>304</v>
      </c>
      <c r="B218" s="2946" t="s">
        <v>3085</v>
      </c>
      <c r="C218" s="2946"/>
      <c r="D218" s="2946"/>
      <c r="E218" s="2946"/>
      <c r="F218" s="2946">
        <v>2040</v>
      </c>
      <c r="G218" s="2959"/>
    </row>
    <row r="219" spans="1:7" s="2780" customFormat="1" ht="14.25" customHeight="1">
      <c r="A219" s="2946" t="s">
        <v>304</v>
      </c>
      <c r="B219" s="2946" t="s">
        <v>3086</v>
      </c>
      <c r="C219" s="2946"/>
      <c r="D219" s="2946"/>
      <c r="E219" s="2946"/>
      <c r="F219" s="2946">
        <v>2040</v>
      </c>
      <c r="G219" s="2959"/>
    </row>
    <row r="220" spans="1:7" s="2780" customFormat="1" ht="14.25" customHeight="1">
      <c r="A220" s="2946" t="s">
        <v>304</v>
      </c>
      <c r="B220" s="2946" t="s">
        <v>3087</v>
      </c>
      <c r="C220" s="2946"/>
      <c r="D220" s="2946"/>
      <c r="E220" s="2946"/>
      <c r="F220" s="2946">
        <v>2040</v>
      </c>
      <c r="G220" s="2959"/>
    </row>
    <row r="221" spans="1:7" s="2780" customFormat="1" ht="14.25" customHeight="1">
      <c r="A221" s="2946" t="s">
        <v>304</v>
      </c>
      <c r="B221" s="2946" t="s">
        <v>3088</v>
      </c>
      <c r="C221" s="2946"/>
      <c r="D221" s="2946"/>
      <c r="E221" s="2946"/>
      <c r="F221" s="2946">
        <v>2040</v>
      </c>
      <c r="G221" s="2959"/>
    </row>
    <row r="222" spans="1:7" s="2780" customFormat="1" ht="14.25" customHeight="1">
      <c r="A222" s="2946" t="s">
        <v>304</v>
      </c>
      <c r="B222" s="2946" t="s">
        <v>3089</v>
      </c>
      <c r="C222" s="2946"/>
      <c r="D222" s="2946"/>
      <c r="E222" s="2946"/>
      <c r="F222" s="2946">
        <v>2040</v>
      </c>
      <c r="G222" s="2959"/>
    </row>
    <row r="223" spans="1:7" s="2780" customFormat="1" ht="14.25" customHeight="1">
      <c r="A223" s="2946" t="s">
        <v>304</v>
      </c>
      <c r="B223" s="2946" t="s">
        <v>3090</v>
      </c>
      <c r="C223" s="2946"/>
      <c r="D223" s="2946"/>
      <c r="E223" s="2946"/>
      <c r="F223" s="2946">
        <v>1930</v>
      </c>
      <c r="G223" s="2959"/>
    </row>
    <row r="224" spans="1:7" s="2780" customFormat="1" ht="14.25" customHeight="1">
      <c r="A224" s="2946" t="s">
        <v>304</v>
      </c>
      <c r="B224" s="2946" t="s">
        <v>3091</v>
      </c>
      <c r="C224" s="2946"/>
      <c r="D224" s="2946"/>
      <c r="E224" s="2946"/>
      <c r="F224" s="2946">
        <v>1930</v>
      </c>
      <c r="G224" s="2959"/>
    </row>
    <row r="225" spans="1:7" s="2780" customFormat="1" ht="14.25" customHeight="1">
      <c r="A225" s="2946" t="s">
        <v>304</v>
      </c>
      <c r="B225" s="2946" t="s">
        <v>3092</v>
      </c>
      <c r="C225" s="2946"/>
      <c r="D225" s="2946"/>
      <c r="E225" s="2946"/>
      <c r="F225" s="2946">
        <v>1930</v>
      </c>
      <c r="G225" s="2959"/>
    </row>
    <row r="226" spans="1:7" s="2780" customFormat="1" ht="14.25" customHeight="1">
      <c r="A226" s="2946" t="s">
        <v>304</v>
      </c>
      <c r="B226" s="2946" t="s">
        <v>3093</v>
      </c>
      <c r="C226" s="2946"/>
      <c r="D226" s="2946"/>
      <c r="E226" s="2946"/>
      <c r="F226" s="2946">
        <v>1700</v>
      </c>
      <c r="G226" s="2959"/>
    </row>
    <row r="227" spans="1:7" s="2780" customFormat="1" ht="14.25" customHeight="1">
      <c r="A227" s="2946" t="s">
        <v>304</v>
      </c>
      <c r="B227" s="2946" t="s">
        <v>3094</v>
      </c>
      <c r="C227" s="2946"/>
      <c r="D227" s="2946"/>
      <c r="E227" s="2946"/>
      <c r="F227" s="2946">
        <v>1520</v>
      </c>
      <c r="G227" s="2959"/>
    </row>
    <row r="228" spans="1:7" s="2780" customFormat="1" ht="14.25" customHeight="1">
      <c r="A228" s="2946" t="s">
        <v>304</v>
      </c>
      <c r="B228" s="2946" t="s">
        <v>3095</v>
      </c>
      <c r="C228" s="2946"/>
      <c r="D228" s="2946"/>
      <c r="E228" s="2946"/>
      <c r="F228" s="2946">
        <v>1520</v>
      </c>
      <c r="G228" s="2959"/>
    </row>
    <row r="229" spans="1:7" s="2780" customFormat="1" ht="14.25" customHeight="1">
      <c r="A229" s="2946" t="s">
        <v>304</v>
      </c>
      <c r="B229" s="2946" t="s">
        <v>3012</v>
      </c>
      <c r="C229" s="2946"/>
      <c r="D229" s="2946"/>
      <c r="E229" s="2946"/>
      <c r="F229" s="2946">
        <v>1520</v>
      </c>
      <c r="G229" s="2959"/>
    </row>
    <row r="230" spans="1:7" s="2780" customFormat="1" ht="14.25" customHeight="1">
      <c r="A230" s="2946" t="s">
        <v>304</v>
      </c>
      <c r="B230" s="2946" t="s">
        <v>3096</v>
      </c>
      <c r="C230" s="2946"/>
      <c r="D230" s="2946"/>
      <c r="E230" s="2946"/>
      <c r="F230" s="2946">
        <v>1820</v>
      </c>
      <c r="G230" s="2959"/>
    </row>
    <row r="231" spans="1:7" s="2780" customFormat="1" ht="14.25" customHeight="1">
      <c r="A231" s="2946" t="s">
        <v>304</v>
      </c>
      <c r="B231" s="2946" t="s">
        <v>3097</v>
      </c>
      <c r="C231" s="2946"/>
      <c r="D231" s="2946"/>
      <c r="E231" s="2946"/>
      <c r="F231" s="2946">
        <v>1760</v>
      </c>
      <c r="G231" s="2959"/>
    </row>
    <row r="232" spans="1:7" s="2780" customFormat="1" ht="14.25" customHeight="1">
      <c r="A232" s="2946" t="s">
        <v>304</v>
      </c>
      <c r="B232" s="2946" t="s">
        <v>3098</v>
      </c>
      <c r="C232" s="2946"/>
      <c r="D232" s="2946"/>
      <c r="E232" s="2946"/>
      <c r="F232" s="2946">
        <v>1840</v>
      </c>
      <c r="G232" s="2959"/>
    </row>
    <row r="233" spans="1:7" s="2780" customFormat="1" ht="14.25" customHeight="1" thickBot="1">
      <c r="A233" s="2960" t="s">
        <v>304</v>
      </c>
      <c r="B233" s="2953" t="s">
        <v>3029</v>
      </c>
      <c r="C233" s="2953"/>
      <c r="D233" s="2953"/>
      <c r="E233" s="2953"/>
      <c r="F233" s="2953">
        <v>1770</v>
      </c>
      <c r="G233" s="2961"/>
    </row>
    <row r="234" spans="1:7" s="2780" customFormat="1" ht="14.25" customHeight="1">
      <c r="A234" s="2951" t="s">
        <v>305</v>
      </c>
      <c r="B234" s="2942" t="s">
        <v>3099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2870</v>
      </c>
      <c r="C238" s="2946">
        <v>6920</v>
      </c>
      <c r="D238" s="2946">
        <v>6890</v>
      </c>
      <c r="E238" s="2946">
        <v>8640</v>
      </c>
      <c r="F238" s="2946">
        <v>1310</v>
      </c>
      <c r="G238" s="2946">
        <v>4230</v>
      </c>
    </row>
    <row r="239" spans="1:7" s="2780" customFormat="1" ht="14.25" customHeight="1">
      <c r="A239" s="2946" t="s">
        <v>305</v>
      </c>
      <c r="B239" s="2946" t="s">
        <v>3100</v>
      </c>
      <c r="C239" s="2946">
        <v>6780</v>
      </c>
      <c r="D239" s="2946">
        <v>6750</v>
      </c>
      <c r="E239" s="2946">
        <v>8440</v>
      </c>
      <c r="F239" s="2946">
        <v>1160</v>
      </c>
      <c r="G239" s="2946">
        <v>4140</v>
      </c>
    </row>
    <row r="240" spans="1:7" s="2780" customFormat="1" ht="14.25" customHeight="1">
      <c r="A240" s="2946" t="s">
        <v>305</v>
      </c>
      <c r="B240" s="2946" t="s">
        <v>3101</v>
      </c>
      <c r="C240" s="2946">
        <v>5420</v>
      </c>
      <c r="D240" s="2946">
        <v>5380</v>
      </c>
      <c r="E240" s="2946">
        <v>6640</v>
      </c>
      <c r="F240" s="2946">
        <v>1020</v>
      </c>
      <c r="G240" s="2946">
        <v>3300</v>
      </c>
    </row>
    <row r="241" spans="1:7" s="2780" customFormat="1" ht="14.25" customHeight="1">
      <c r="A241" s="2946" t="s">
        <v>305</v>
      </c>
      <c r="B241" s="2946" t="s">
        <v>3102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2932</v>
      </c>
      <c r="C258" s="2946">
        <v>6190</v>
      </c>
      <c r="D258" s="2946">
        <v>6160</v>
      </c>
      <c r="E258" s="2946">
        <v>7680</v>
      </c>
      <c r="F258" s="2946">
        <v>1170</v>
      </c>
      <c r="G258" s="2946">
        <v>3780</v>
      </c>
    </row>
    <row r="259" spans="1:7" s="2780" customFormat="1" ht="14.25" customHeight="1">
      <c r="A259" s="2946" t="s">
        <v>305</v>
      </c>
      <c r="B259" s="2946" t="s">
        <v>3108</v>
      </c>
      <c r="C259" s="2946">
        <v>7610</v>
      </c>
      <c r="D259" s="2946">
        <v>7570</v>
      </c>
      <c r="E259" s="2946">
        <v>9350</v>
      </c>
      <c r="F259" s="2946">
        <v>1350</v>
      </c>
      <c r="G259" s="2946">
        <v>4650</v>
      </c>
    </row>
    <row r="260" spans="1:7" s="2780" customFormat="1" ht="14.25" customHeight="1">
      <c r="A260" s="2946" t="s">
        <v>305</v>
      </c>
      <c r="B260" s="2946" t="s">
        <v>3109</v>
      </c>
      <c r="C260" s="2946">
        <v>6920</v>
      </c>
      <c r="D260" s="2946">
        <v>6880</v>
      </c>
      <c r="E260" s="2946">
        <v>8380</v>
      </c>
      <c r="F260" s="2946">
        <v>1160</v>
      </c>
      <c r="G260" s="2946">
        <v>4220</v>
      </c>
    </row>
    <row r="261" spans="1:7" s="2780" customFormat="1" ht="14.25" customHeight="1">
      <c r="A261" s="2946" t="s">
        <v>305</v>
      </c>
      <c r="B261" s="2946" t="s">
        <v>3110</v>
      </c>
      <c r="C261" s="2946">
        <v>6850</v>
      </c>
      <c r="D261" s="2946">
        <v>6810</v>
      </c>
      <c r="E261" s="2946">
        <v>8290</v>
      </c>
      <c r="F261" s="2946">
        <v>1130</v>
      </c>
      <c r="G261" s="2946">
        <v>4180</v>
      </c>
    </row>
    <row r="262" spans="1:7" s="2780" customFormat="1" ht="14.25" customHeight="1">
      <c r="A262" s="2946" t="s">
        <v>305</v>
      </c>
      <c r="B262" s="2946" t="s">
        <v>3111</v>
      </c>
      <c r="C262" s="2946">
        <v>5860</v>
      </c>
      <c r="D262" s="2946">
        <v>5820</v>
      </c>
      <c r="E262" s="2946">
        <v>7640</v>
      </c>
      <c r="F262" s="2946">
        <v>1070</v>
      </c>
      <c r="G262" s="2946">
        <v>3570</v>
      </c>
    </row>
    <row r="263" spans="1:7" s="2780" customFormat="1" ht="14.25" customHeight="1">
      <c r="A263" s="2946" t="s">
        <v>305</v>
      </c>
      <c r="B263" s="2946" t="s">
        <v>3112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3113</v>
      </c>
      <c r="C265" s="2946"/>
      <c r="D265" s="2946"/>
      <c r="E265" s="2946"/>
      <c r="F265" s="2946">
        <v>1500</v>
      </c>
      <c r="G265" s="2946"/>
    </row>
    <row r="266" spans="1:7" s="2780" customFormat="1" ht="14.25" customHeight="1">
      <c r="A266" s="2946" t="s">
        <v>305</v>
      </c>
      <c r="B266" s="2946" t="s">
        <v>3114</v>
      </c>
      <c r="C266" s="2946"/>
      <c r="D266" s="2946"/>
      <c r="E266" s="2946"/>
      <c r="F266" s="2946">
        <v>1500</v>
      </c>
      <c r="G266" s="2946"/>
    </row>
    <row r="267" spans="1:7" s="2780" customFormat="1" ht="14.25" customHeight="1">
      <c r="A267" s="2946" t="s">
        <v>305</v>
      </c>
      <c r="B267" s="2946" t="s">
        <v>3115</v>
      </c>
      <c r="C267" s="2946"/>
      <c r="D267" s="2946"/>
      <c r="E267" s="2946"/>
      <c r="F267" s="2946">
        <v>1500</v>
      </c>
      <c r="G267" s="2946"/>
    </row>
    <row r="268" spans="1:7" s="2780" customFormat="1" ht="14.25" customHeight="1">
      <c r="A268" s="2946" t="s">
        <v>305</v>
      </c>
      <c r="B268" s="2946" t="s">
        <v>3116</v>
      </c>
      <c r="C268" s="2946"/>
      <c r="D268" s="2946"/>
      <c r="E268" s="2946"/>
      <c r="F268" s="2946">
        <v>1290</v>
      </c>
      <c r="G268" s="2946"/>
    </row>
    <row r="269" spans="1:7" s="2780" customFormat="1" ht="14.25" customHeight="1">
      <c r="A269" s="2946" t="s">
        <v>305</v>
      </c>
      <c r="B269" s="2946" t="s">
        <v>3117</v>
      </c>
      <c r="C269" s="2946"/>
      <c r="D269" s="2946"/>
      <c r="E269" s="2946"/>
      <c r="F269" s="2946">
        <v>1150</v>
      </c>
      <c r="G269" s="2946"/>
    </row>
    <row r="270" spans="1:7" s="2780" customFormat="1" ht="14.25" customHeight="1">
      <c r="A270" s="2946" t="s">
        <v>305</v>
      </c>
      <c r="B270" s="2946" t="s">
        <v>3118</v>
      </c>
      <c r="C270" s="2946"/>
      <c r="D270" s="2946"/>
      <c r="E270" s="2946"/>
      <c r="F270" s="2946">
        <v>1380</v>
      </c>
      <c r="G270" s="2946"/>
    </row>
    <row r="271" spans="1:7" s="2780" customFormat="1" ht="14.25" customHeight="1">
      <c r="A271" s="2946" t="s">
        <v>305</v>
      </c>
      <c r="B271" s="2946" t="s">
        <v>3119</v>
      </c>
      <c r="C271" s="2946"/>
      <c r="D271" s="2946"/>
      <c r="E271" s="2946"/>
      <c r="F271" s="2946">
        <v>1460</v>
      </c>
      <c r="G271" s="2946"/>
    </row>
    <row r="272" spans="1:7" s="2780" customFormat="1" ht="14.25" customHeight="1">
      <c r="A272" s="2946" t="s">
        <v>305</v>
      </c>
      <c r="B272" s="2946" t="s">
        <v>3120</v>
      </c>
      <c r="C272" s="2946"/>
      <c r="D272" s="2946"/>
      <c r="E272" s="2946"/>
      <c r="F272" s="2946">
        <v>1460</v>
      </c>
      <c r="G272" s="2946"/>
    </row>
    <row r="273" spans="1:7" s="2780" customFormat="1" ht="14.25" customHeight="1">
      <c r="A273" s="2946" t="s">
        <v>305</v>
      </c>
      <c r="B273" s="2946" t="s">
        <v>3013</v>
      </c>
      <c r="C273" s="2946"/>
      <c r="D273" s="2946"/>
      <c r="E273" s="2946"/>
      <c r="F273" s="2946">
        <v>1490</v>
      </c>
      <c r="G273" s="2946"/>
    </row>
    <row r="274" spans="1:7" s="2780" customFormat="1" ht="14.25" customHeight="1">
      <c r="A274" s="2946" t="s">
        <v>305</v>
      </c>
      <c r="B274" s="2946" t="s">
        <v>3121</v>
      </c>
      <c r="C274" s="2946"/>
      <c r="D274" s="2946"/>
      <c r="E274" s="2946"/>
      <c r="F274" s="2946">
        <v>1490</v>
      </c>
      <c r="G274" s="2946"/>
    </row>
    <row r="275" spans="1:7" s="2780" customFormat="1" ht="14.25" customHeight="1">
      <c r="A275" s="2946" t="s">
        <v>305</v>
      </c>
      <c r="B275" s="2946" t="s">
        <v>3122</v>
      </c>
      <c r="C275" s="2946"/>
      <c r="D275" s="2946"/>
      <c r="E275" s="2946"/>
      <c r="F275" s="2946">
        <v>1220</v>
      </c>
      <c r="G275" s="2946"/>
    </row>
    <row r="276" spans="1:7" s="2780" customFormat="1" ht="14.25" customHeight="1" thickBot="1">
      <c r="A276" s="2954" t="s">
        <v>305</v>
      </c>
      <c r="B276" s="2956" t="s">
        <v>3123</v>
      </c>
      <c r="C276" s="2957"/>
      <c r="D276" s="2957"/>
      <c r="E276" s="2957"/>
      <c r="F276" s="2957">
        <v>1380</v>
      </c>
      <c r="G276" s="2957"/>
    </row>
    <row r="277" spans="1:7" s="2780" customFormat="1" ht="14.25" customHeight="1">
      <c r="A277" s="2951" t="s">
        <v>306</v>
      </c>
      <c r="B277" s="2942" t="s">
        <v>3124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3125</v>
      </c>
      <c r="C279" s="2946">
        <v>4760</v>
      </c>
      <c r="D279" s="2946">
        <v>4720</v>
      </c>
      <c r="E279" s="2946">
        <v>5540</v>
      </c>
      <c r="F279" s="2946">
        <v>810</v>
      </c>
      <c r="G279" s="2959">
        <v>2850</v>
      </c>
    </row>
    <row r="280" spans="1:7" s="2780" customFormat="1" ht="14.25" customHeight="1">
      <c r="A280" s="2946" t="s">
        <v>306</v>
      </c>
      <c r="B280" s="2946" t="s">
        <v>3126</v>
      </c>
      <c r="C280" s="2946">
        <v>4010</v>
      </c>
      <c r="D280" s="2946">
        <v>3950</v>
      </c>
      <c r="E280" s="2946">
        <v>4710</v>
      </c>
      <c r="F280" s="2946">
        <v>800</v>
      </c>
      <c r="G280" s="2959">
        <v>2390</v>
      </c>
    </row>
    <row r="281" spans="1:7" s="2780" customFormat="1" ht="14.25" customHeight="1">
      <c r="A281" s="2946" t="s">
        <v>306</v>
      </c>
      <c r="B281" s="2946" t="s">
        <v>3127</v>
      </c>
      <c r="C281" s="2946">
        <v>4480</v>
      </c>
      <c r="D281" s="2946">
        <v>4420</v>
      </c>
      <c r="E281" s="2946">
        <v>5230</v>
      </c>
      <c r="F281" s="2946">
        <v>870</v>
      </c>
      <c r="G281" s="2959">
        <v>2660</v>
      </c>
    </row>
    <row r="282" spans="1:7" s="2780" customFormat="1" ht="14.25" customHeight="1">
      <c r="A282" s="2946" t="s">
        <v>306</v>
      </c>
      <c r="B282" s="2946" t="s">
        <v>3128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3129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2905</v>
      </c>
      <c r="C293" s="2946">
        <v>5320</v>
      </c>
      <c r="D293" s="2946">
        <v>5270</v>
      </c>
      <c r="E293" s="2946">
        <v>6160</v>
      </c>
      <c r="F293" s="2946">
        <v>990</v>
      </c>
      <c r="G293" s="2959">
        <v>3170</v>
      </c>
    </row>
    <row r="294" spans="1:7" s="2780" customFormat="1" ht="14.25" customHeight="1">
      <c r="A294" s="2946" t="s">
        <v>306</v>
      </c>
      <c r="B294" s="2946" t="s">
        <v>3131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3132</v>
      </c>
      <c r="C302" s="2946">
        <v>5520</v>
      </c>
      <c r="D302" s="2946">
        <v>5470</v>
      </c>
      <c r="E302" s="2946">
        <v>6410</v>
      </c>
      <c r="F302" s="2946">
        <v>950</v>
      </c>
      <c r="G302" s="2959">
        <v>3300</v>
      </c>
    </row>
    <row r="303" spans="1:7" s="2780" customFormat="1" ht="14.25" customHeight="1">
      <c r="A303" s="2946" t="s">
        <v>306</v>
      </c>
      <c r="B303" s="2946" t="s">
        <v>2944</v>
      </c>
      <c r="C303" s="2946">
        <v>5630</v>
      </c>
      <c r="D303" s="2946">
        <v>5590</v>
      </c>
      <c r="E303" s="2946">
        <v>6550</v>
      </c>
      <c r="F303" s="2946">
        <v>1010</v>
      </c>
      <c r="G303" s="2959">
        <v>3370</v>
      </c>
    </row>
    <row r="304" spans="1:7" s="2780" customFormat="1" ht="14.25" customHeight="1">
      <c r="A304" s="2946" t="s">
        <v>306</v>
      </c>
      <c r="B304" s="2946" t="s">
        <v>2951</v>
      </c>
      <c r="C304" s="2946">
        <v>5680</v>
      </c>
      <c r="D304" s="2946">
        <v>5620</v>
      </c>
      <c r="E304" s="2946">
        <v>6620</v>
      </c>
      <c r="F304" s="2946">
        <v>1050</v>
      </c>
      <c r="G304" s="2959">
        <v>3390</v>
      </c>
    </row>
    <row r="305" spans="1:7" s="2780" customFormat="1" ht="14.25" customHeight="1">
      <c r="A305" s="2946" t="s">
        <v>306</v>
      </c>
      <c r="B305" s="2946" t="s">
        <v>2957</v>
      </c>
      <c r="C305" s="2946">
        <v>5590</v>
      </c>
      <c r="D305" s="2946">
        <v>5530</v>
      </c>
      <c r="E305" s="2946">
        <v>6460</v>
      </c>
      <c r="F305" s="2946">
        <v>900</v>
      </c>
      <c r="G305" s="2959">
        <v>3340</v>
      </c>
    </row>
    <row r="306" spans="1:7" s="2780" customFormat="1" ht="14.25" customHeight="1">
      <c r="A306" s="2946" t="s">
        <v>306</v>
      </c>
      <c r="B306" s="2946" t="s">
        <v>3133</v>
      </c>
      <c r="C306" s="2946">
        <v>5560</v>
      </c>
      <c r="D306" s="2946">
        <v>5510</v>
      </c>
      <c r="E306" s="2946">
        <v>6440</v>
      </c>
      <c r="F306" s="2946">
        <v>900</v>
      </c>
      <c r="G306" s="2959">
        <v>3320</v>
      </c>
    </row>
    <row r="307" spans="1:7" s="2780" customFormat="1" ht="14.25" customHeight="1">
      <c r="A307" s="2946" t="s">
        <v>306</v>
      </c>
      <c r="B307" s="2946" t="s">
        <v>2969</v>
      </c>
      <c r="C307" s="2946">
        <v>5650</v>
      </c>
      <c r="D307" s="2946">
        <v>5600</v>
      </c>
      <c r="E307" s="2946">
        <v>6590</v>
      </c>
      <c r="F307" s="2946">
        <v>930</v>
      </c>
      <c r="G307" s="2959">
        <v>3380</v>
      </c>
    </row>
    <row r="308" spans="1:7" s="2780" customFormat="1" ht="14.25" customHeight="1">
      <c r="A308" s="2946" t="s">
        <v>306</v>
      </c>
      <c r="B308" s="2946" t="s">
        <v>3134</v>
      </c>
      <c r="C308" s="2946">
        <v>5620</v>
      </c>
      <c r="D308" s="2946">
        <v>5580</v>
      </c>
      <c r="E308" s="2946">
        <v>6540</v>
      </c>
      <c r="F308" s="2946">
        <v>910</v>
      </c>
      <c r="G308" s="2959">
        <v>3370</v>
      </c>
    </row>
    <row r="309" spans="1:7" s="2780" customFormat="1" ht="14.25" customHeight="1">
      <c r="A309" s="2946" t="s">
        <v>306</v>
      </c>
      <c r="B309" s="2946" t="s">
        <v>3135</v>
      </c>
      <c r="C309" s="2946">
        <v>5060</v>
      </c>
      <c r="D309" s="2946">
        <v>5020</v>
      </c>
      <c r="E309" s="2946">
        <v>6370</v>
      </c>
      <c r="F309" s="2946">
        <v>800</v>
      </c>
      <c r="G309" s="2959">
        <v>3020</v>
      </c>
    </row>
    <row r="310" spans="1:7" s="2780" customFormat="1" ht="14.25" customHeight="1">
      <c r="A310" s="2946" t="s">
        <v>306</v>
      </c>
      <c r="B310" s="2946" t="s">
        <v>2984</v>
      </c>
      <c r="C310" s="2946">
        <v>5150</v>
      </c>
      <c r="D310" s="2946">
        <v>5110</v>
      </c>
      <c r="E310" s="2946">
        <v>6500</v>
      </c>
      <c r="F310" s="2946">
        <v>880</v>
      </c>
      <c r="G310" s="2959">
        <v>3080</v>
      </c>
    </row>
    <row r="311" spans="1:7" s="2780" customFormat="1" ht="14.25" customHeight="1">
      <c r="A311" s="2946" t="s">
        <v>306</v>
      </c>
      <c r="B311" s="2946" t="s">
        <v>3136</v>
      </c>
      <c r="C311" s="2946">
        <v>4750</v>
      </c>
      <c r="D311" s="2946">
        <v>4710</v>
      </c>
      <c r="E311" s="2946">
        <v>5510</v>
      </c>
      <c r="F311" s="2946">
        <v>880</v>
      </c>
      <c r="G311" s="2959">
        <v>2840</v>
      </c>
    </row>
    <row r="312" spans="1:7" s="2780" customFormat="1" ht="14.25" customHeight="1">
      <c r="A312" s="2946" t="s">
        <v>306</v>
      </c>
      <c r="B312" s="2946" t="s">
        <v>2994</v>
      </c>
      <c r="C312" s="2946">
        <v>4690</v>
      </c>
      <c r="D312" s="2946">
        <v>4640</v>
      </c>
      <c r="E312" s="2946">
        <v>5420</v>
      </c>
      <c r="F312" s="2946">
        <v>800</v>
      </c>
      <c r="G312" s="2959">
        <v>2800</v>
      </c>
    </row>
    <row r="313" spans="1:7" s="2780" customFormat="1" ht="14.25" customHeight="1">
      <c r="A313" s="2946" t="s">
        <v>306</v>
      </c>
      <c r="B313" s="2946" t="s">
        <v>2999</v>
      </c>
      <c r="C313" s="2946">
        <v>4810</v>
      </c>
      <c r="D313" s="2946">
        <v>4760</v>
      </c>
      <c r="E313" s="2946">
        <v>5550</v>
      </c>
      <c r="F313" s="2946">
        <v>920</v>
      </c>
      <c r="G313" s="2959">
        <v>2870</v>
      </c>
    </row>
    <row r="314" spans="1:7" s="2780" customFormat="1" ht="14.25" customHeight="1">
      <c r="A314" s="2946" t="s">
        <v>306</v>
      </c>
      <c r="B314" s="2946" t="s">
        <v>3137</v>
      </c>
      <c r="C314" s="2946"/>
      <c r="D314" s="2946"/>
      <c r="E314" s="2946"/>
      <c r="F314" s="2946">
        <v>1020</v>
      </c>
      <c r="G314" s="2959"/>
    </row>
    <row r="315" spans="1:7" s="2780" customFormat="1" ht="14.25" customHeight="1">
      <c r="A315" s="2946" t="s">
        <v>306</v>
      </c>
      <c r="B315" s="2946" t="s">
        <v>3138</v>
      </c>
      <c r="C315" s="2946"/>
      <c r="D315" s="2946"/>
      <c r="E315" s="2946"/>
      <c r="F315" s="2946">
        <v>1050</v>
      </c>
      <c r="G315" s="2959"/>
    </row>
    <row r="316" spans="1:7" s="2780" customFormat="1" ht="14.25" customHeight="1">
      <c r="A316" s="2946" t="s">
        <v>306</v>
      </c>
      <c r="B316" s="2946" t="s">
        <v>3014</v>
      </c>
      <c r="C316" s="2946"/>
      <c r="D316" s="2946"/>
      <c r="E316" s="2946"/>
      <c r="F316" s="2946">
        <v>900</v>
      </c>
      <c r="G316" s="2959"/>
    </row>
    <row r="317" spans="1:7" s="2780" customFormat="1" ht="14.25" customHeight="1">
      <c r="A317" s="2946" t="s">
        <v>306</v>
      </c>
      <c r="B317" s="2946" t="s">
        <v>3139</v>
      </c>
      <c r="C317" s="2946"/>
      <c r="D317" s="2946"/>
      <c r="E317" s="2946"/>
      <c r="F317" s="2946">
        <v>920</v>
      </c>
      <c r="G317" s="2959"/>
    </row>
    <row r="318" spans="1:7" s="2780" customFormat="1" ht="14.25" customHeight="1">
      <c r="A318" s="2946" t="s">
        <v>306</v>
      </c>
      <c r="B318" s="2946" t="s">
        <v>3140</v>
      </c>
      <c r="C318" s="2946"/>
      <c r="D318" s="2946"/>
      <c r="E318" s="2946"/>
      <c r="F318" s="2946">
        <v>1080</v>
      </c>
      <c r="G318" s="2959"/>
    </row>
    <row r="319" spans="1:7" s="2780" customFormat="1" ht="14.25" customHeight="1">
      <c r="A319" s="2946" t="s">
        <v>306</v>
      </c>
      <c r="B319" s="2946" t="s">
        <v>3027</v>
      </c>
      <c r="C319" s="2946"/>
      <c r="D319" s="2946"/>
      <c r="E319" s="2946"/>
      <c r="F319" s="2946">
        <v>1020</v>
      </c>
      <c r="G319" s="2959"/>
    </row>
    <row r="320" spans="1:7" s="2780" customFormat="1" ht="14.25" customHeight="1">
      <c r="A320" s="2946" t="s">
        <v>306</v>
      </c>
      <c r="B320" s="2946" t="s">
        <v>3030</v>
      </c>
      <c r="C320" s="2946"/>
      <c r="D320" s="2946"/>
      <c r="E320" s="2946"/>
      <c r="F320" s="2946">
        <v>1050</v>
      </c>
      <c r="G320" s="2959"/>
    </row>
    <row r="321" spans="1:7" s="2780" customFormat="1" ht="14.25" customHeight="1">
      <c r="A321" s="2946" t="s">
        <v>306</v>
      </c>
      <c r="B321" s="2946" t="s">
        <v>3032</v>
      </c>
      <c r="C321" s="2946"/>
      <c r="D321" s="2946"/>
      <c r="E321" s="2946"/>
      <c r="F321" s="2946">
        <v>960</v>
      </c>
      <c r="G321" s="2959"/>
    </row>
    <row r="322" spans="1:7" s="2780" customFormat="1" ht="14.25" customHeight="1">
      <c r="A322" s="2946" t="s">
        <v>306</v>
      </c>
      <c r="B322" s="2946" t="s">
        <v>3034</v>
      </c>
      <c r="C322" s="2946"/>
      <c r="D322" s="2946"/>
      <c r="E322" s="2946"/>
      <c r="F322" s="2946">
        <v>960</v>
      </c>
      <c r="G322" s="2959"/>
    </row>
    <row r="323" spans="1:7" s="2780" customFormat="1" ht="14.25" customHeight="1">
      <c r="A323" s="2946" t="s">
        <v>306</v>
      </c>
      <c r="B323" s="2946" t="s">
        <v>3036</v>
      </c>
      <c r="C323" s="2946"/>
      <c r="D323" s="2946"/>
      <c r="E323" s="2946"/>
      <c r="F323" s="2946">
        <v>880</v>
      </c>
      <c r="G323" s="2959"/>
    </row>
    <row r="324" spans="1:7" s="2780" customFormat="1" ht="14.25" customHeight="1">
      <c r="A324" s="2946" t="s">
        <v>306</v>
      </c>
      <c r="B324" s="2946" t="s">
        <v>3038</v>
      </c>
      <c r="C324" s="2946"/>
      <c r="D324" s="2946"/>
      <c r="E324" s="2946"/>
      <c r="F324" s="2946">
        <v>930</v>
      </c>
      <c r="G324" s="2959"/>
    </row>
    <row r="325" spans="1:7" s="2780" customFormat="1" ht="14.25" customHeight="1">
      <c r="A325" s="2946" t="s">
        <v>306</v>
      </c>
      <c r="B325" s="2947" t="s">
        <v>3040</v>
      </c>
      <c r="C325" s="2946"/>
      <c r="D325" s="2946"/>
      <c r="E325" s="2946"/>
      <c r="F325" s="2946">
        <v>900</v>
      </c>
      <c r="G325" s="2959"/>
    </row>
    <row r="326" spans="1:7" s="2780" customFormat="1" ht="14.25" customHeight="1" thickBot="1">
      <c r="A326" s="2960" t="s">
        <v>306</v>
      </c>
      <c r="B326" s="2953" t="s">
        <v>3042</v>
      </c>
      <c r="C326" s="2953"/>
      <c r="D326" s="2953"/>
      <c r="E326" s="2953"/>
      <c r="F326" s="2953">
        <v>790</v>
      </c>
      <c r="G326" s="2961"/>
    </row>
    <row r="327" spans="1:7" s="2780" customFormat="1" ht="14.25" customHeight="1">
      <c r="A327" s="2951" t="s">
        <v>307</v>
      </c>
      <c r="B327" s="2942" t="s">
        <v>3141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3142</v>
      </c>
      <c r="C329" s="2946">
        <v>2730</v>
      </c>
      <c r="D329" s="2946">
        <v>2690</v>
      </c>
      <c r="E329" s="2946">
        <v>3100</v>
      </c>
      <c r="F329" s="2946">
        <v>660</v>
      </c>
      <c r="G329" s="2946">
        <v>1610</v>
      </c>
    </row>
    <row r="330" spans="1:7" s="2780" customFormat="1" ht="14.25" customHeight="1">
      <c r="A330" s="2946" t="s">
        <v>307</v>
      </c>
      <c r="B330" s="2946" t="s">
        <v>3143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2876</v>
      </c>
      <c r="C332" s="2946">
        <v>3520</v>
      </c>
      <c r="D332" s="2946">
        <v>3480</v>
      </c>
      <c r="E332" s="2946">
        <v>3830</v>
      </c>
      <c r="F332" s="2946">
        <v>720</v>
      </c>
      <c r="G332" s="2946">
        <v>2090</v>
      </c>
    </row>
    <row r="333" spans="1:7" s="2780" customFormat="1" ht="14.25" customHeight="1">
      <c r="A333" s="2946" t="s">
        <v>307</v>
      </c>
      <c r="B333" s="2946" t="s">
        <v>3144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2886</v>
      </c>
      <c r="C336" s="2946">
        <v>3570</v>
      </c>
      <c r="D336" s="2946">
        <v>3530</v>
      </c>
      <c r="E336" s="2946">
        <v>3880</v>
      </c>
      <c r="F336" s="2946">
        <v>770</v>
      </c>
      <c r="G336" s="2946">
        <v>2110</v>
      </c>
    </row>
    <row r="337" spans="1:10" s="2780" customFormat="1" ht="14.25" customHeight="1">
      <c r="A337" s="2946" t="s">
        <v>307</v>
      </c>
      <c r="B337" s="2946" t="s">
        <v>3145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2911</v>
      </c>
      <c r="C345" s="2946">
        <v>3190</v>
      </c>
      <c r="D345" s="2946">
        <v>3140</v>
      </c>
      <c r="E345" s="2946">
        <v>3450</v>
      </c>
      <c r="F345" s="2946">
        <v>720</v>
      </c>
      <c r="G345" s="2946">
        <v>1880</v>
      </c>
      <c r="J345" s="2780"/>
    </row>
    <row r="346" spans="1:10">
      <c r="A346" s="2946" t="s">
        <v>307</v>
      </c>
      <c r="B346" s="2946" t="s">
        <v>3148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2920</v>
      </c>
      <c r="C348" s="2946">
        <v>4000</v>
      </c>
      <c r="D348" s="2946">
        <v>3950</v>
      </c>
      <c r="E348" s="2946">
        <v>4430</v>
      </c>
      <c r="F348" s="2946">
        <v>760</v>
      </c>
      <c r="G348" s="2946">
        <v>2360</v>
      </c>
      <c r="J348" s="2780"/>
    </row>
    <row r="349" spans="1:10">
      <c r="A349" s="2946" t="s">
        <v>307</v>
      </c>
      <c r="B349" s="2946" t="s">
        <v>2925</v>
      </c>
      <c r="C349" s="2946">
        <v>3820</v>
      </c>
      <c r="D349" s="2946">
        <v>3780</v>
      </c>
      <c r="E349" s="2946">
        <v>4170</v>
      </c>
      <c r="F349" s="2946">
        <v>710</v>
      </c>
      <c r="G349" s="2946">
        <v>2260</v>
      </c>
      <c r="J349" s="2780"/>
    </row>
    <row r="350" spans="1:10">
      <c r="A350" s="2946" t="s">
        <v>307</v>
      </c>
      <c r="B350" s="2946" t="s">
        <v>3149</v>
      </c>
      <c r="C350" s="2946">
        <v>3760</v>
      </c>
      <c r="D350" s="2946">
        <v>3730</v>
      </c>
      <c r="E350" s="2946">
        <v>4100</v>
      </c>
      <c r="F350" s="2946">
        <v>800</v>
      </c>
      <c r="G350" s="2946">
        <v>2230</v>
      </c>
      <c r="J350" s="2780"/>
    </row>
    <row r="351" spans="1:10">
      <c r="A351" s="2946" t="s">
        <v>307</v>
      </c>
      <c r="B351" s="2946" t="s">
        <v>2933</v>
      </c>
      <c r="C351" s="2946">
        <v>3610</v>
      </c>
      <c r="D351" s="2946">
        <v>3580</v>
      </c>
      <c r="E351" s="2946">
        <v>3930</v>
      </c>
      <c r="F351" s="2946">
        <v>700</v>
      </c>
      <c r="G351" s="2946">
        <v>2140</v>
      </c>
      <c r="J351" s="2780"/>
    </row>
    <row r="352" spans="1:10">
      <c r="A352" s="2946" t="s">
        <v>307</v>
      </c>
      <c r="B352" s="2946" t="s">
        <v>2938</v>
      </c>
      <c r="C352" s="2946">
        <v>3670</v>
      </c>
      <c r="D352" s="2946">
        <v>3630</v>
      </c>
      <c r="E352" s="2946">
        <v>4000</v>
      </c>
      <c r="F352" s="2946">
        <v>750</v>
      </c>
      <c r="G352" s="2946">
        <v>2180</v>
      </c>
    </row>
    <row r="353" spans="1:7" s="2781" customFormat="1">
      <c r="A353" s="2946" t="s">
        <v>307</v>
      </c>
      <c r="B353" s="2946" t="s">
        <v>3150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2958</v>
      </c>
      <c r="C355" s="2946">
        <v>3650</v>
      </c>
      <c r="D355" s="2946">
        <v>3610</v>
      </c>
      <c r="E355" s="2946">
        <v>4200</v>
      </c>
      <c r="F355" s="2946">
        <v>640</v>
      </c>
      <c r="G355" s="2946">
        <v>2160</v>
      </c>
    </row>
    <row r="356" spans="1:7" s="2781" customFormat="1">
      <c r="A356" s="2946" t="s">
        <v>307</v>
      </c>
      <c r="B356" s="2946" t="s">
        <v>2965</v>
      </c>
      <c r="C356" s="2946">
        <v>3260</v>
      </c>
      <c r="D356" s="2946">
        <v>3230</v>
      </c>
      <c r="E356" s="2946">
        <v>3740</v>
      </c>
      <c r="F356" s="2946">
        <v>600</v>
      </c>
      <c r="G356" s="2946">
        <v>1930</v>
      </c>
    </row>
    <row r="357" spans="1:7" s="2781" customFormat="1" ht="12" thickBot="1">
      <c r="A357" s="2954" t="s">
        <v>307</v>
      </c>
      <c r="B357" s="2957" t="s">
        <v>3151</v>
      </c>
      <c r="C357" s="2957">
        <v>3690</v>
      </c>
      <c r="D357" s="2957">
        <v>3650</v>
      </c>
      <c r="E357" s="2957">
        <v>4020</v>
      </c>
      <c r="F357" s="2957">
        <v>700</v>
      </c>
      <c r="G357" s="2957">
        <v>2190</v>
      </c>
    </row>
    <row r="358" spans="1:7" s="2781" customFormat="1">
      <c r="A358" s="2951" t="s">
        <v>3152</v>
      </c>
      <c r="B358" s="2942" t="s">
        <v>3153</v>
      </c>
      <c r="C358" s="2942">
        <v>2080</v>
      </c>
      <c r="D358" s="2942">
        <v>2040</v>
      </c>
      <c r="E358" s="2942">
        <v>2010</v>
      </c>
      <c r="F358" s="2942">
        <v>530</v>
      </c>
      <c r="G358" s="2958">
        <v>1230</v>
      </c>
    </row>
    <row r="359" spans="1:7" s="2781" customFormat="1">
      <c r="A359" s="2946" t="s">
        <v>3152</v>
      </c>
      <c r="B359" s="2946" t="s">
        <v>3154</v>
      </c>
      <c r="C359" s="2946">
        <v>1850</v>
      </c>
      <c r="D359" s="2946">
        <v>1820</v>
      </c>
      <c r="E359" s="2946">
        <v>1780</v>
      </c>
      <c r="F359" s="2946">
        <v>520</v>
      </c>
      <c r="G359" s="2959">
        <v>1100</v>
      </c>
    </row>
    <row r="360" spans="1:7" s="2781" customFormat="1">
      <c r="A360" s="2946" t="s">
        <v>3152</v>
      </c>
      <c r="B360" s="2946" t="s">
        <v>3155</v>
      </c>
      <c r="C360" s="2946">
        <v>2020</v>
      </c>
      <c r="D360" s="2946">
        <v>1990</v>
      </c>
      <c r="E360" s="2946">
        <v>1950</v>
      </c>
      <c r="F360" s="2946">
        <v>500</v>
      </c>
      <c r="G360" s="2959">
        <v>1200</v>
      </c>
    </row>
    <row r="361" spans="1:7" s="2781" customFormat="1">
      <c r="A361" s="2946" t="s">
        <v>3152</v>
      </c>
      <c r="B361" s="2946" t="s">
        <v>153</v>
      </c>
      <c r="C361" s="2946">
        <v>2260</v>
      </c>
      <c r="D361" s="2946">
        <v>2220</v>
      </c>
      <c r="E361" s="2946">
        <v>2180</v>
      </c>
      <c r="F361" s="2946">
        <v>580</v>
      </c>
      <c r="G361" s="2959">
        <v>1340</v>
      </c>
    </row>
    <row r="362" spans="1:7" s="2781" customFormat="1">
      <c r="A362" s="2946" t="s">
        <v>3152</v>
      </c>
      <c r="B362" s="2946" t="s">
        <v>3156</v>
      </c>
      <c r="C362" s="2946">
        <v>2650</v>
      </c>
      <c r="D362" s="2946">
        <v>2610</v>
      </c>
      <c r="E362" s="2946">
        <v>2570</v>
      </c>
      <c r="F362" s="2946">
        <v>630</v>
      </c>
      <c r="G362" s="2959">
        <v>1570</v>
      </c>
    </row>
    <row r="363" spans="1:7" s="2781" customFormat="1">
      <c r="A363" s="2946" t="s">
        <v>3152</v>
      </c>
      <c r="B363" s="2946" t="s">
        <v>2877</v>
      </c>
      <c r="C363" s="2946">
        <v>2390</v>
      </c>
      <c r="D363" s="2946">
        <v>2360</v>
      </c>
      <c r="E363" s="2946">
        <v>2320</v>
      </c>
      <c r="F363" s="2946">
        <v>600</v>
      </c>
      <c r="G363" s="2959">
        <v>1420</v>
      </c>
    </row>
    <row r="364" spans="1:7" s="2781" customFormat="1">
      <c r="A364" s="2946" t="s">
        <v>3152</v>
      </c>
      <c r="B364" s="2946" t="s">
        <v>3157</v>
      </c>
      <c r="C364" s="2946">
        <v>2050</v>
      </c>
      <c r="D364" s="2946">
        <v>2030</v>
      </c>
      <c r="E364" s="2946">
        <v>1990</v>
      </c>
      <c r="F364" s="2946">
        <v>550</v>
      </c>
      <c r="G364" s="2959">
        <v>1220</v>
      </c>
    </row>
    <row r="365" spans="1:7" s="2781" customFormat="1">
      <c r="A365" s="2946" t="s">
        <v>3152</v>
      </c>
      <c r="B365" s="2946" t="s">
        <v>200</v>
      </c>
      <c r="C365" s="2946">
        <v>2140</v>
      </c>
      <c r="D365" s="2946">
        <v>2100</v>
      </c>
      <c r="E365" s="2946">
        <v>2060</v>
      </c>
      <c r="F365" s="2946">
        <v>540</v>
      </c>
      <c r="G365" s="2959">
        <v>1270</v>
      </c>
    </row>
    <row r="366" spans="1:7" s="2781" customFormat="1">
      <c r="A366" s="2946" t="s">
        <v>3152</v>
      </c>
      <c r="B366" s="2946" t="s">
        <v>2884</v>
      </c>
      <c r="C366" s="2946">
        <v>2410</v>
      </c>
      <c r="D366" s="2946">
        <v>2370</v>
      </c>
      <c r="E366" s="2946">
        <v>2330</v>
      </c>
      <c r="F366" s="2946">
        <v>570</v>
      </c>
      <c r="G366" s="2959">
        <v>1440</v>
      </c>
    </row>
    <row r="367" spans="1:7" s="2781" customFormat="1">
      <c r="A367" s="2946" t="s">
        <v>3152</v>
      </c>
      <c r="B367" s="2946" t="s">
        <v>3158</v>
      </c>
      <c r="C367" s="2946">
        <v>2300</v>
      </c>
      <c r="D367" s="2946">
        <v>2260</v>
      </c>
      <c r="E367" s="2946">
        <v>2220</v>
      </c>
      <c r="F367" s="2946">
        <v>560</v>
      </c>
      <c r="G367" s="2959">
        <v>1370</v>
      </c>
    </row>
    <row r="368" spans="1:7" s="2781" customFormat="1">
      <c r="A368" s="2946" t="s">
        <v>3152</v>
      </c>
      <c r="B368" s="2946" t="s">
        <v>3159</v>
      </c>
      <c r="C368" s="2946">
        <v>2430</v>
      </c>
      <c r="D368" s="2946">
        <v>2390</v>
      </c>
      <c r="E368" s="2946">
        <v>2350</v>
      </c>
      <c r="F368" s="2946">
        <v>570</v>
      </c>
      <c r="G368" s="2959">
        <v>1450</v>
      </c>
    </row>
    <row r="369" spans="1:7" s="2781" customFormat="1">
      <c r="A369" s="2946" t="s">
        <v>3152</v>
      </c>
      <c r="B369" s="2946" t="s">
        <v>214</v>
      </c>
      <c r="C369" s="2946">
        <v>2320</v>
      </c>
      <c r="D369" s="2946">
        <v>2290</v>
      </c>
      <c r="E369" s="2946">
        <v>2250</v>
      </c>
      <c r="F369" s="2946">
        <v>550</v>
      </c>
      <c r="G369" s="2959">
        <v>1380</v>
      </c>
    </row>
    <row r="370" spans="1:7" s="2781" customFormat="1">
      <c r="A370" s="2946" t="s">
        <v>3152</v>
      </c>
      <c r="B370" s="2946" t="s">
        <v>221</v>
      </c>
      <c r="C370" s="2946">
        <v>2190</v>
      </c>
      <c r="D370" s="2946">
        <v>2170</v>
      </c>
      <c r="E370" s="2946">
        <v>2130</v>
      </c>
      <c r="F370" s="2946">
        <v>530</v>
      </c>
      <c r="G370" s="2959">
        <v>1310</v>
      </c>
    </row>
    <row r="371" spans="1:7" s="2781" customFormat="1">
      <c r="A371" s="2946" t="s">
        <v>3152</v>
      </c>
      <c r="B371" s="2946" t="s">
        <v>229</v>
      </c>
      <c r="C371" s="2946">
        <v>2460</v>
      </c>
      <c r="D371" s="2946">
        <v>2420</v>
      </c>
      <c r="E371" s="2946">
        <v>2370</v>
      </c>
      <c r="F371" s="2946">
        <v>560</v>
      </c>
      <c r="G371" s="2959">
        <v>1470</v>
      </c>
    </row>
    <row r="372" spans="1:7" s="2781" customFormat="1">
      <c r="A372" s="2946" t="s">
        <v>3152</v>
      </c>
      <c r="B372" s="2946" t="s">
        <v>3160</v>
      </c>
      <c r="C372" s="2946">
        <v>2250</v>
      </c>
      <c r="D372" s="2946">
        <v>2210</v>
      </c>
      <c r="E372" s="2946">
        <v>2180</v>
      </c>
      <c r="F372" s="2946">
        <v>550</v>
      </c>
      <c r="G372" s="2959">
        <v>1340</v>
      </c>
    </row>
    <row r="373" spans="1:7" s="2781" customFormat="1">
      <c r="A373" s="2946" t="s">
        <v>3152</v>
      </c>
      <c r="B373" s="2946" t="s">
        <v>258</v>
      </c>
      <c r="C373" s="2946">
        <v>2210</v>
      </c>
      <c r="D373" s="2946">
        <v>2190</v>
      </c>
      <c r="E373" s="2946">
        <v>2150</v>
      </c>
      <c r="F373" s="2946">
        <v>530</v>
      </c>
      <c r="G373" s="2959">
        <v>1320</v>
      </c>
    </row>
    <row r="374" spans="1:7" s="2781" customFormat="1">
      <c r="A374" s="2946" t="s">
        <v>3152</v>
      </c>
      <c r="B374" s="2946" t="s">
        <v>266</v>
      </c>
      <c r="C374" s="2946">
        <v>2320</v>
      </c>
      <c r="D374" s="2946">
        <v>2280</v>
      </c>
      <c r="E374" s="2946">
        <v>2230</v>
      </c>
      <c r="F374" s="2946">
        <v>580</v>
      </c>
      <c r="G374" s="2959">
        <v>1380</v>
      </c>
    </row>
    <row r="375" spans="1:7" s="2781" customFormat="1">
      <c r="A375" s="2946" t="s">
        <v>3152</v>
      </c>
      <c r="B375" s="2946" t="s">
        <v>3161</v>
      </c>
      <c r="C375" s="2946">
        <v>2090</v>
      </c>
      <c r="D375" s="2946">
        <v>2050</v>
      </c>
      <c r="E375" s="2946">
        <v>2020</v>
      </c>
      <c r="F375" s="2946">
        <v>520</v>
      </c>
      <c r="G375" s="2959">
        <v>1240</v>
      </c>
    </row>
    <row r="376" spans="1:7" s="2781" customFormat="1">
      <c r="A376" s="2946" t="s">
        <v>3152</v>
      </c>
      <c r="B376" s="2946" t="s">
        <v>277</v>
      </c>
      <c r="C376" s="2946">
        <v>2010</v>
      </c>
      <c r="D376" s="2946">
        <v>1980</v>
      </c>
      <c r="E376" s="2946">
        <v>1940</v>
      </c>
      <c r="F376" s="2946">
        <v>540</v>
      </c>
      <c r="G376" s="2959">
        <v>1190</v>
      </c>
    </row>
    <row r="377" spans="1:7" s="2781" customFormat="1" ht="12" thickBot="1">
      <c r="A377" s="2954" t="s">
        <v>3152</v>
      </c>
      <c r="B377" s="2957" t="s">
        <v>2914</v>
      </c>
      <c r="C377" s="2957">
        <v>1930</v>
      </c>
      <c r="D377" s="2957">
        <v>1890</v>
      </c>
      <c r="E377" s="2957">
        <v>1860</v>
      </c>
      <c r="F377" s="2957">
        <v>530</v>
      </c>
      <c r="G377" s="2962">
        <v>1150</v>
      </c>
    </row>
    <row r="378" spans="1:7" s="2781" customFormat="1">
      <c r="A378" s="2963" t="s">
        <v>3162</v>
      </c>
      <c r="B378" s="2942" t="s">
        <v>3163</v>
      </c>
      <c r="C378" s="2942">
        <v>1520</v>
      </c>
      <c r="D378" s="2942">
        <v>1490</v>
      </c>
      <c r="E378" s="2942">
        <v>1460</v>
      </c>
      <c r="F378" s="2942">
        <v>460</v>
      </c>
      <c r="G378" s="2958">
        <v>940</v>
      </c>
    </row>
    <row r="379" spans="1:7" s="2781" customFormat="1">
      <c r="A379" s="2964" t="s">
        <v>3162</v>
      </c>
      <c r="B379" s="2946" t="s">
        <v>3164</v>
      </c>
      <c r="C379" s="2946">
        <v>1500</v>
      </c>
      <c r="D379" s="2946">
        <v>1470</v>
      </c>
      <c r="E379" s="2946">
        <v>1430</v>
      </c>
      <c r="F379" s="2946">
        <v>460</v>
      </c>
      <c r="G379" s="2959">
        <v>920</v>
      </c>
    </row>
    <row r="380" spans="1:7" s="2781" customFormat="1">
      <c r="A380" s="2964" t="s">
        <v>3162</v>
      </c>
      <c r="B380" s="2946" t="s">
        <v>3165</v>
      </c>
      <c r="C380" s="2946">
        <v>1620</v>
      </c>
      <c r="D380" s="2946">
        <v>1590</v>
      </c>
      <c r="E380" s="2946">
        <v>1560</v>
      </c>
      <c r="F380" s="2946">
        <v>480</v>
      </c>
      <c r="G380" s="2959">
        <v>1000</v>
      </c>
    </row>
    <row r="381" spans="1:7" s="2781" customFormat="1">
      <c r="A381" s="2964" t="s">
        <v>3162</v>
      </c>
      <c r="B381" s="2946" t="s">
        <v>3166</v>
      </c>
      <c r="C381" s="2946">
        <v>1460</v>
      </c>
      <c r="D381" s="2946">
        <v>1430</v>
      </c>
      <c r="E381" s="2946">
        <v>1390</v>
      </c>
      <c r="F381" s="2946">
        <v>450</v>
      </c>
      <c r="G381" s="2959">
        <v>900</v>
      </c>
    </row>
    <row r="382" spans="1:7" s="2781" customFormat="1">
      <c r="A382" s="2964" t="s">
        <v>3162</v>
      </c>
      <c r="B382" s="2946" t="s">
        <v>3167</v>
      </c>
      <c r="C382" s="2946">
        <v>1310</v>
      </c>
      <c r="D382" s="2946">
        <v>1280</v>
      </c>
      <c r="E382" s="2946">
        <v>1250</v>
      </c>
      <c r="F382" s="2946">
        <v>440</v>
      </c>
      <c r="G382" s="2959">
        <v>800</v>
      </c>
    </row>
    <row r="383" spans="1:7" s="2781" customFormat="1">
      <c r="A383" s="2964" t="s">
        <v>3162</v>
      </c>
      <c r="B383" s="2946" t="s">
        <v>3168</v>
      </c>
      <c r="C383" s="2946">
        <v>1260</v>
      </c>
      <c r="D383" s="2946">
        <v>1230</v>
      </c>
      <c r="E383" s="2946">
        <v>1200</v>
      </c>
      <c r="F383" s="2946">
        <v>420</v>
      </c>
      <c r="G383" s="2959">
        <v>770</v>
      </c>
    </row>
    <row r="384" spans="1:7" s="2781" customFormat="1" ht="12" thickBot="1">
      <c r="A384" s="2965" t="s">
        <v>3162</v>
      </c>
      <c r="B384" s="2953" t="s">
        <v>3169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4" t="s">
        <v>3170</v>
      </c>
      <c r="B1" s="3484"/>
    </row>
    <row r="2" spans="1:7" ht="14.25" thickBot="1">
      <c r="A2" s="2967"/>
      <c r="B2" s="2967"/>
    </row>
    <row r="3" spans="1:7" ht="14.25" thickBot="1">
      <c r="A3" s="2967"/>
      <c r="B3" s="2967"/>
      <c r="C3" s="2968" t="s">
        <v>2800</v>
      </c>
      <c r="D3" s="2968" t="s">
        <v>2856</v>
      </c>
      <c r="E3" s="2968" t="s">
        <v>2802</v>
      </c>
      <c r="F3" s="2968" t="s">
        <v>2857</v>
      </c>
      <c r="G3" s="2968" t="s">
        <v>2620</v>
      </c>
    </row>
    <row r="4" spans="1:7" ht="14.25" thickBot="1">
      <c r="A4" s="2969" t="s">
        <v>2855</v>
      </c>
      <c r="B4" s="2970" t="s">
        <v>2861</v>
      </c>
      <c r="C4" s="2968"/>
      <c r="D4" s="2968"/>
      <c r="E4" s="2968"/>
      <c r="F4" s="2968"/>
      <c r="G4" s="2968"/>
    </row>
    <row r="5" spans="1:7">
      <c r="A5" s="2971" t="s">
        <v>2829</v>
      </c>
      <c r="B5" s="2972" t="s">
        <v>2843</v>
      </c>
      <c r="C5" s="2973">
        <v>9.8000000000000004E-2</v>
      </c>
      <c r="D5" s="2973">
        <v>8.6999999999999994E-2</v>
      </c>
      <c r="E5" s="2973">
        <v>8.6999999999999994E-2</v>
      </c>
      <c r="F5" s="2973">
        <v>9.8000000000000004E-2</v>
      </c>
      <c r="G5" s="2974">
        <v>9.5000000000000001E-2</v>
      </c>
    </row>
    <row r="6" spans="1:7">
      <c r="A6" s="2975" t="s">
        <v>144</v>
      </c>
      <c r="B6" s="2976" t="s">
        <v>2858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2912</v>
      </c>
      <c r="C29" s="2985"/>
      <c r="D29" s="2981">
        <v>5.1999999999999998E-2</v>
      </c>
      <c r="E29" s="2981">
        <v>7.0000000000000007E-2</v>
      </c>
      <c r="F29" s="2985"/>
      <c r="G29" s="2983">
        <v>7.0999999999999994E-2</v>
      </c>
    </row>
    <row r="30" spans="1:7">
      <c r="A30" s="2986" t="s">
        <v>296</v>
      </c>
      <c r="B30" s="2972" t="s">
        <v>2845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2915</v>
      </c>
      <c r="C50" s="2977">
        <v>9.8000000000000004E-2</v>
      </c>
      <c r="D50" s="2977">
        <v>7.2999999999999995E-2</v>
      </c>
      <c r="E50" s="2977">
        <v>7.0999999999999994E-2</v>
      </c>
      <c r="F50" s="2988"/>
      <c r="G50" s="2978">
        <v>7.2999999999999995E-2</v>
      </c>
    </row>
    <row r="51" spans="1:7">
      <c r="A51" s="2987" t="s">
        <v>296</v>
      </c>
      <c r="B51" s="2976" t="s">
        <v>2917</v>
      </c>
      <c r="C51" s="2977">
        <v>9.9000000000000005E-2</v>
      </c>
      <c r="D51" s="2977">
        <v>8.5000000000000006E-2</v>
      </c>
      <c r="E51" s="2977">
        <v>6.3E-2</v>
      </c>
      <c r="F51" s="2988"/>
      <c r="G51" s="2978">
        <v>9.6000000000000002E-2</v>
      </c>
    </row>
    <row r="52" spans="1:7">
      <c r="A52" s="2987" t="s">
        <v>296</v>
      </c>
      <c r="B52" s="2976" t="s">
        <v>2921</v>
      </c>
      <c r="C52" s="2977">
        <v>7.3999999999999996E-2</v>
      </c>
      <c r="D52" s="2977">
        <v>9.6000000000000002E-2</v>
      </c>
      <c r="E52" s="2977">
        <v>0.05</v>
      </c>
      <c r="F52" s="2988"/>
      <c r="G52" s="2978">
        <v>9.8000000000000004E-2</v>
      </c>
    </row>
    <row r="53" spans="1:7">
      <c r="A53" s="2987" t="s">
        <v>296</v>
      </c>
      <c r="B53" s="2976" t="s">
        <v>2926</v>
      </c>
      <c r="C53" s="2977">
        <v>8.5999999999999993E-2</v>
      </c>
      <c r="D53" s="2988"/>
      <c r="E53" s="2977">
        <v>9.1999999999999998E-2</v>
      </c>
      <c r="F53" s="2988"/>
      <c r="G53" s="2989"/>
    </row>
    <row r="54" spans="1:7" ht="14.25" thickBot="1">
      <c r="A54" s="2990" t="s">
        <v>296</v>
      </c>
      <c r="B54" s="2980" t="s">
        <v>2929</v>
      </c>
      <c r="C54" s="2981">
        <v>9.6000000000000002E-2</v>
      </c>
      <c r="D54" s="2982"/>
      <c r="E54" s="2991"/>
      <c r="F54" s="2982"/>
      <c r="G54" s="2992"/>
    </row>
    <row r="55" spans="1:7">
      <c r="A55" s="2986" t="s">
        <v>110</v>
      </c>
      <c r="B55" s="2972" t="s">
        <v>2846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2927</v>
      </c>
      <c r="C78" s="2977">
        <v>0.1</v>
      </c>
      <c r="D78" s="2977">
        <v>8.5000000000000006E-2</v>
      </c>
      <c r="E78" s="2977">
        <v>9.6000000000000002E-2</v>
      </c>
      <c r="F78" s="2988"/>
      <c r="G78" s="2978">
        <v>9.6000000000000002E-2</v>
      </c>
    </row>
    <row r="79" spans="1:7">
      <c r="A79" s="2987" t="s">
        <v>110</v>
      </c>
      <c r="B79" s="2976" t="s">
        <v>2930</v>
      </c>
      <c r="C79" s="2977">
        <v>0.05</v>
      </c>
      <c r="D79" s="2977">
        <v>9.6000000000000002E-2</v>
      </c>
      <c r="E79" s="2977">
        <v>9.5000000000000001E-2</v>
      </c>
      <c r="F79" s="2988"/>
      <c r="G79" s="2978">
        <v>9.8000000000000004E-2</v>
      </c>
    </row>
    <row r="80" spans="1:7">
      <c r="A80" s="2987" t="s">
        <v>110</v>
      </c>
      <c r="B80" s="2976" t="s">
        <v>2934</v>
      </c>
      <c r="C80" s="2977">
        <v>8.5999999999999993E-2</v>
      </c>
      <c r="D80" s="2993"/>
      <c r="E80" s="2977">
        <v>0.1</v>
      </c>
      <c r="F80" s="2988"/>
      <c r="G80" s="2989"/>
    </row>
    <row r="81" spans="1:7">
      <c r="A81" s="2987" t="s">
        <v>110</v>
      </c>
      <c r="B81" s="2976" t="s">
        <v>2939</v>
      </c>
      <c r="C81" s="2977">
        <v>9.6000000000000002E-2</v>
      </c>
      <c r="D81" s="2988"/>
      <c r="E81" s="2977">
        <v>9.8000000000000004E-2</v>
      </c>
      <c r="F81" s="2988"/>
      <c r="G81" s="2989"/>
    </row>
    <row r="82" spans="1:7">
      <c r="A82" s="2987" t="s">
        <v>110</v>
      </c>
      <c r="B82" s="2976" t="s">
        <v>2946</v>
      </c>
      <c r="C82" s="2993"/>
      <c r="D82" s="2988"/>
      <c r="E82" s="2977">
        <v>7.6999999999999999E-2</v>
      </c>
      <c r="F82" s="2988"/>
      <c r="G82" s="2989"/>
    </row>
    <row r="83" spans="1:7">
      <c r="A83" s="2987" t="s">
        <v>110</v>
      </c>
      <c r="B83" s="2976" t="s">
        <v>2952</v>
      </c>
      <c r="C83" s="2988"/>
      <c r="D83" s="2988"/>
      <c r="E83" s="2988"/>
      <c r="F83" s="2977">
        <v>0.1</v>
      </c>
      <c r="G83" s="2994"/>
    </row>
    <row r="84" spans="1:7">
      <c r="A84" s="2987" t="s">
        <v>110</v>
      </c>
      <c r="B84" s="2976" t="s">
        <v>2959</v>
      </c>
      <c r="C84" s="2988"/>
      <c r="D84" s="2988"/>
      <c r="E84" s="2988"/>
      <c r="F84" s="2977">
        <v>0.1</v>
      </c>
      <c r="G84" s="2994"/>
    </row>
    <row r="85" spans="1:7">
      <c r="A85" s="2987" t="s">
        <v>110</v>
      </c>
      <c r="B85" s="2976" t="s">
        <v>2966</v>
      </c>
      <c r="C85" s="2988"/>
      <c r="D85" s="2988"/>
      <c r="E85" s="2988"/>
      <c r="F85" s="2977">
        <v>0.1</v>
      </c>
      <c r="G85" s="2994"/>
    </row>
    <row r="86" spans="1:7" ht="14.25" thickBot="1">
      <c r="A86" s="2990" t="s">
        <v>110</v>
      </c>
      <c r="B86" s="2980" t="s">
        <v>2971</v>
      </c>
      <c r="C86" s="2981">
        <v>9.8000000000000004E-2</v>
      </c>
      <c r="D86" s="2981">
        <v>9.8000000000000004E-2</v>
      </c>
      <c r="E86" s="2981">
        <v>9.6000000000000002E-2</v>
      </c>
      <c r="F86" s="2991"/>
      <c r="G86" s="2983">
        <v>0.1</v>
      </c>
    </row>
    <row r="87" spans="1:7">
      <c r="A87" s="2986" t="s">
        <v>303</v>
      </c>
      <c r="B87" s="2972" t="s">
        <v>2847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2940</v>
      </c>
      <c r="C113" s="2977">
        <v>0.1</v>
      </c>
      <c r="D113" s="2977">
        <v>0.1</v>
      </c>
      <c r="E113" s="2988"/>
      <c r="F113" s="2988"/>
      <c r="G113" s="2978">
        <v>0.1</v>
      </c>
    </row>
    <row r="114" spans="1:7">
      <c r="A114" s="2987" t="s">
        <v>303</v>
      </c>
      <c r="B114" s="2976" t="s">
        <v>2947</v>
      </c>
      <c r="C114" s="2977">
        <v>9.7000000000000003E-2</v>
      </c>
      <c r="D114" s="2977">
        <v>9.7000000000000003E-2</v>
      </c>
      <c r="E114" s="2988"/>
      <c r="F114" s="2988"/>
      <c r="G114" s="2978">
        <v>9.9000000000000005E-2</v>
      </c>
    </row>
    <row r="115" spans="1:7">
      <c r="A115" s="2987" t="s">
        <v>303</v>
      </c>
      <c r="B115" s="2976" t="s">
        <v>2953</v>
      </c>
      <c r="C115" s="2977">
        <v>0.1</v>
      </c>
      <c r="D115" s="2977">
        <v>0.1</v>
      </c>
      <c r="E115" s="2988"/>
      <c r="F115" s="2988"/>
      <c r="G115" s="2978">
        <v>0.1</v>
      </c>
    </row>
    <row r="116" spans="1:7">
      <c r="A116" s="2987" t="s">
        <v>303</v>
      </c>
      <c r="B116" s="2976" t="s">
        <v>2960</v>
      </c>
      <c r="C116" s="2977">
        <v>0.1</v>
      </c>
      <c r="D116" s="2977">
        <v>0.1</v>
      </c>
      <c r="E116" s="2988"/>
      <c r="F116" s="2988"/>
      <c r="G116" s="2978">
        <v>0.1</v>
      </c>
    </row>
    <row r="117" spans="1:7">
      <c r="A117" s="2987" t="s">
        <v>303</v>
      </c>
      <c r="B117" s="2976" t="s">
        <v>2967</v>
      </c>
      <c r="C117" s="2977">
        <v>9.7000000000000003E-2</v>
      </c>
      <c r="D117" s="2977">
        <v>9.7000000000000003E-2</v>
      </c>
      <c r="E117" s="2988"/>
      <c r="F117" s="2988"/>
      <c r="G117" s="2978">
        <v>9.7000000000000003E-2</v>
      </c>
    </row>
    <row r="118" spans="1:7">
      <c r="A118" s="2987" t="s">
        <v>303</v>
      </c>
      <c r="B118" s="2976" t="s">
        <v>2972</v>
      </c>
      <c r="C118" s="2977">
        <v>0.1</v>
      </c>
      <c r="D118" s="2977">
        <v>0.1</v>
      </c>
      <c r="E118" s="2988"/>
      <c r="F118" s="2988"/>
      <c r="G118" s="2978">
        <v>0.1</v>
      </c>
    </row>
    <row r="119" spans="1:7">
      <c r="A119" s="2987" t="s">
        <v>303</v>
      </c>
      <c r="B119" s="2976" t="s">
        <v>2976</v>
      </c>
      <c r="C119" s="2977">
        <v>5.0999999999999997E-2</v>
      </c>
      <c r="D119" s="2977">
        <v>5.1999999999999998E-2</v>
      </c>
      <c r="E119" s="2988"/>
      <c r="F119" s="2993"/>
      <c r="G119" s="2978">
        <v>0.06</v>
      </c>
    </row>
    <row r="120" spans="1:7">
      <c r="A120" s="2987" t="s">
        <v>303</v>
      </c>
      <c r="B120" s="2976" t="s">
        <v>2980</v>
      </c>
      <c r="C120" s="2988"/>
      <c r="D120" s="2988"/>
      <c r="E120" s="2988"/>
      <c r="F120" s="2977">
        <v>0.1</v>
      </c>
      <c r="G120" s="2994"/>
    </row>
    <row r="121" spans="1:7">
      <c r="A121" s="2987" t="s">
        <v>303</v>
      </c>
      <c r="B121" s="2976" t="s">
        <v>2985</v>
      </c>
      <c r="C121" s="2988"/>
      <c r="D121" s="2988"/>
      <c r="E121" s="2988"/>
      <c r="F121" s="2977">
        <v>0.1</v>
      </c>
      <c r="G121" s="2994"/>
    </row>
    <row r="122" spans="1:7">
      <c r="A122" s="2987" t="s">
        <v>303</v>
      </c>
      <c r="B122" s="2976" t="s">
        <v>2990</v>
      </c>
      <c r="C122" s="2977">
        <v>0.1</v>
      </c>
      <c r="D122" s="2977">
        <v>0.1</v>
      </c>
      <c r="E122" s="2977">
        <v>9.8000000000000004E-2</v>
      </c>
      <c r="F122" s="2977">
        <v>0.1</v>
      </c>
      <c r="G122" s="2978">
        <v>0.1</v>
      </c>
    </row>
    <row r="123" spans="1:7">
      <c r="A123" s="2987" t="s">
        <v>303</v>
      </c>
      <c r="B123" s="2976" t="s">
        <v>2995</v>
      </c>
      <c r="C123" s="2977">
        <v>0.1</v>
      </c>
      <c r="D123" s="2977">
        <v>0.1</v>
      </c>
      <c r="E123" s="2977">
        <v>9.8000000000000004E-2</v>
      </c>
      <c r="F123" s="2977">
        <v>0.1</v>
      </c>
      <c r="G123" s="2978">
        <v>0.1</v>
      </c>
    </row>
    <row r="124" spans="1:7">
      <c r="A124" s="2987" t="s">
        <v>303</v>
      </c>
      <c r="B124" s="2976" t="s">
        <v>3000</v>
      </c>
      <c r="C124" s="2977">
        <v>0.1</v>
      </c>
      <c r="D124" s="2977">
        <v>0.1</v>
      </c>
      <c r="E124" s="2977">
        <v>9.8000000000000004E-2</v>
      </c>
      <c r="F124" s="2993"/>
      <c r="G124" s="2978">
        <v>0.1</v>
      </c>
    </row>
    <row r="125" spans="1:7">
      <c r="A125" s="2987" t="s">
        <v>303</v>
      </c>
      <c r="B125" s="2976" t="s">
        <v>3005</v>
      </c>
      <c r="C125" s="2977">
        <v>9.8000000000000004E-2</v>
      </c>
      <c r="D125" s="2977">
        <v>9.8000000000000004E-2</v>
      </c>
      <c r="E125" s="2977">
        <v>9.6000000000000002E-2</v>
      </c>
      <c r="F125" s="2993"/>
      <c r="G125" s="2978">
        <v>0.1</v>
      </c>
    </row>
    <row r="126" spans="1:7" ht="14.25" thickBot="1">
      <c r="A126" s="2990" t="s">
        <v>303</v>
      </c>
      <c r="B126" s="2980" t="s">
        <v>3171</v>
      </c>
      <c r="C126" s="2981">
        <v>0.1</v>
      </c>
      <c r="D126" s="2981">
        <v>0.1</v>
      </c>
      <c r="E126" s="2981">
        <v>9.8000000000000004E-2</v>
      </c>
      <c r="F126" s="2981">
        <v>0.1</v>
      </c>
      <c r="G126" s="2983">
        <v>0.1</v>
      </c>
    </row>
    <row r="127" spans="1:7">
      <c r="A127" s="2986" t="s">
        <v>29</v>
      </c>
      <c r="B127" s="2972" t="s">
        <v>2848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2918</v>
      </c>
      <c r="C148" s="2977">
        <v>0.13</v>
      </c>
      <c r="D148" s="2977">
        <v>0.13</v>
      </c>
      <c r="E148" s="2977">
        <v>0.13</v>
      </c>
      <c r="F148" s="2988"/>
      <c r="G148" s="2978">
        <v>0.13</v>
      </c>
    </row>
    <row r="149" spans="1:7">
      <c r="A149" s="2987" t="s">
        <v>29</v>
      </c>
      <c r="B149" s="2976" t="s">
        <v>2922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2941</v>
      </c>
      <c r="C153" s="2977">
        <v>0.13</v>
      </c>
      <c r="D153" s="2977">
        <v>0.13</v>
      </c>
      <c r="E153" s="2977">
        <v>0.13</v>
      </c>
      <c r="F153" s="2977">
        <v>0.13</v>
      </c>
      <c r="G153" s="2978">
        <v>0.13</v>
      </c>
    </row>
    <row r="154" spans="1:7">
      <c r="A154" s="2987" t="s">
        <v>29</v>
      </c>
      <c r="B154" s="2976" t="s">
        <v>2948</v>
      </c>
      <c r="C154" s="2977">
        <v>0.121</v>
      </c>
      <c r="D154" s="2977">
        <v>0.121</v>
      </c>
      <c r="E154" s="2977">
        <v>0.105</v>
      </c>
      <c r="F154" s="2977">
        <v>0.121</v>
      </c>
      <c r="G154" s="2978">
        <v>0.123</v>
      </c>
    </row>
    <row r="155" spans="1:7">
      <c r="A155" s="2987" t="s">
        <v>29</v>
      </c>
      <c r="B155" s="2976" t="s">
        <v>2954</v>
      </c>
      <c r="C155" s="2977">
        <v>0.1</v>
      </c>
      <c r="D155" s="2977">
        <v>0.1</v>
      </c>
      <c r="E155" s="2977">
        <v>0.1</v>
      </c>
      <c r="F155" s="2977">
        <v>0.1</v>
      </c>
      <c r="G155" s="2978">
        <v>0.1</v>
      </c>
    </row>
    <row r="156" spans="1:7">
      <c r="A156" s="2987" t="s">
        <v>29</v>
      </c>
      <c r="B156" s="2976" t="s">
        <v>2961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2981</v>
      </c>
      <c r="C160" s="2977">
        <v>0.13</v>
      </c>
      <c r="D160" s="2977">
        <v>0.13</v>
      </c>
      <c r="E160" s="2977">
        <v>0.124</v>
      </c>
      <c r="F160" s="2977">
        <v>0.126</v>
      </c>
      <c r="G160" s="2978">
        <v>0.13</v>
      </c>
    </row>
    <row r="161" spans="1:7">
      <c r="A161" s="2987" t="s">
        <v>29</v>
      </c>
      <c r="B161" s="2976" t="s">
        <v>2986</v>
      </c>
      <c r="C161" s="2977">
        <v>0.13</v>
      </c>
      <c r="D161" s="2977">
        <v>0.13</v>
      </c>
      <c r="E161" s="2977">
        <v>0.124</v>
      </c>
      <c r="F161" s="2977">
        <v>0.127</v>
      </c>
      <c r="G161" s="2978">
        <v>0.13</v>
      </c>
    </row>
    <row r="162" spans="1:7">
      <c r="A162" s="2987" t="s">
        <v>29</v>
      </c>
      <c r="B162" s="2976" t="s">
        <v>2991</v>
      </c>
      <c r="C162" s="2977">
        <v>0.1</v>
      </c>
      <c r="D162" s="2977">
        <v>0.1</v>
      </c>
      <c r="E162" s="2977">
        <v>0.1</v>
      </c>
      <c r="F162" s="2977">
        <v>0.121</v>
      </c>
      <c r="G162" s="2978">
        <v>0.105</v>
      </c>
    </row>
    <row r="163" spans="1:7">
      <c r="A163" s="2987" t="s">
        <v>29</v>
      </c>
      <c r="B163" s="2976" t="s">
        <v>2996</v>
      </c>
      <c r="C163" s="2977">
        <v>0.1</v>
      </c>
      <c r="D163" s="2977">
        <v>0.1</v>
      </c>
      <c r="E163" s="2977">
        <v>0.1</v>
      </c>
      <c r="F163" s="2977">
        <v>0.1</v>
      </c>
      <c r="G163" s="2978">
        <v>0.1</v>
      </c>
    </row>
    <row r="164" spans="1:7">
      <c r="A164" s="2987" t="s">
        <v>29</v>
      </c>
      <c r="B164" s="2976" t="s">
        <v>3001</v>
      </c>
      <c r="C164" s="2993"/>
      <c r="D164" s="2993"/>
      <c r="E164" s="2993"/>
      <c r="F164" s="2977">
        <v>0.1</v>
      </c>
      <c r="G164" s="2989"/>
    </row>
    <row r="165" spans="1:7">
      <c r="A165" s="2987" t="s">
        <v>29</v>
      </c>
      <c r="B165" s="2976" t="s">
        <v>3172</v>
      </c>
      <c r="C165" s="2977">
        <v>0.126</v>
      </c>
      <c r="D165" s="2977">
        <v>0.126</v>
      </c>
      <c r="E165" s="2977">
        <v>0.11899999999999999</v>
      </c>
      <c r="F165" s="2977">
        <v>0.13</v>
      </c>
      <c r="G165" s="2978">
        <v>0.128</v>
      </c>
    </row>
    <row r="166" spans="1:7">
      <c r="A166" s="2987" t="s">
        <v>29</v>
      </c>
      <c r="B166" s="2976" t="s">
        <v>3011</v>
      </c>
      <c r="C166" s="2977">
        <v>0.129</v>
      </c>
      <c r="D166" s="2977">
        <v>0.129</v>
      </c>
      <c r="E166" s="2977">
        <v>0.123</v>
      </c>
      <c r="F166" s="2977">
        <v>0.128</v>
      </c>
      <c r="G166" s="2978">
        <v>0.13</v>
      </c>
    </row>
    <row r="167" spans="1:7">
      <c r="A167" s="2987" t="s">
        <v>29</v>
      </c>
      <c r="B167" s="2976" t="s">
        <v>3015</v>
      </c>
      <c r="C167" s="2977">
        <v>0.125</v>
      </c>
      <c r="D167" s="2977">
        <v>0.125</v>
      </c>
      <c r="E167" s="2977">
        <v>0.11700000000000001</v>
      </c>
      <c r="F167" s="2977">
        <v>0.13</v>
      </c>
      <c r="G167" s="2978">
        <v>0.126</v>
      </c>
    </row>
    <row r="168" spans="1:7">
      <c r="A168" s="2987" t="s">
        <v>29</v>
      </c>
      <c r="B168" s="2976" t="s">
        <v>3020</v>
      </c>
      <c r="C168" s="2977">
        <v>0.128</v>
      </c>
      <c r="D168" s="2977">
        <v>0.128</v>
      </c>
      <c r="E168" s="2977">
        <v>0.123</v>
      </c>
      <c r="F168" s="2988"/>
      <c r="G168" s="2978">
        <v>0.13</v>
      </c>
    </row>
    <row r="169" spans="1:7">
      <c r="A169" s="2987" t="s">
        <v>29</v>
      </c>
      <c r="B169" s="2976" t="s">
        <v>3173</v>
      </c>
      <c r="C169" s="2993"/>
      <c r="D169" s="2993"/>
      <c r="E169" s="2993"/>
      <c r="F169" s="2977">
        <v>0.05</v>
      </c>
      <c r="G169" s="2989"/>
    </row>
    <row r="170" spans="1:7">
      <c r="A170" s="2987" t="s">
        <v>29</v>
      </c>
      <c r="B170" s="2976" t="s">
        <v>3174</v>
      </c>
      <c r="C170" s="2993"/>
      <c r="D170" s="2993"/>
      <c r="E170" s="2993"/>
      <c r="F170" s="2977">
        <v>0.05</v>
      </c>
      <c r="G170" s="2989"/>
    </row>
    <row r="171" spans="1:7">
      <c r="A171" s="2987" t="s">
        <v>29</v>
      </c>
      <c r="B171" s="2976" t="s">
        <v>3175</v>
      </c>
      <c r="C171" s="2993"/>
      <c r="D171" s="2993"/>
      <c r="E171" s="2993"/>
      <c r="F171" s="2977">
        <v>0.05</v>
      </c>
      <c r="G171" s="2994"/>
    </row>
    <row r="172" spans="1:7">
      <c r="A172" s="2987" t="s">
        <v>29</v>
      </c>
      <c r="B172" s="2976" t="s">
        <v>3176</v>
      </c>
      <c r="C172" s="2993"/>
      <c r="D172" s="2993"/>
      <c r="E172" s="2993"/>
      <c r="F172" s="2977">
        <v>0.05</v>
      </c>
      <c r="G172" s="2994"/>
    </row>
    <row r="173" spans="1:7">
      <c r="A173" s="2987" t="s">
        <v>29</v>
      </c>
      <c r="B173" s="2976" t="s">
        <v>3177</v>
      </c>
      <c r="C173" s="2993"/>
      <c r="D173" s="2993"/>
      <c r="E173" s="2993"/>
      <c r="F173" s="2977">
        <v>0.05</v>
      </c>
      <c r="G173" s="2989"/>
    </row>
    <row r="174" spans="1:7">
      <c r="A174" s="2987" t="s">
        <v>29</v>
      </c>
      <c r="B174" s="2976" t="s">
        <v>3178</v>
      </c>
      <c r="C174" s="2993"/>
      <c r="D174" s="2993"/>
      <c r="E174" s="2993"/>
      <c r="F174" s="2977">
        <v>0.05</v>
      </c>
      <c r="G174" s="2989"/>
    </row>
    <row r="175" spans="1:7">
      <c r="A175" s="2987" t="s">
        <v>29</v>
      </c>
      <c r="B175" s="2976" t="s">
        <v>3179</v>
      </c>
      <c r="C175" s="2993"/>
      <c r="D175" s="2993"/>
      <c r="E175" s="2993"/>
      <c r="F175" s="2977">
        <v>0.05</v>
      </c>
      <c r="G175" s="2989"/>
    </row>
    <row r="176" spans="1:7">
      <c r="A176" s="2987" t="s">
        <v>29</v>
      </c>
      <c r="B176" s="2976" t="s">
        <v>3180</v>
      </c>
      <c r="C176" s="2993"/>
      <c r="D176" s="2993"/>
      <c r="E176" s="2993"/>
      <c r="F176" s="2977">
        <v>0.05</v>
      </c>
      <c r="G176" s="2989"/>
    </row>
    <row r="177" spans="1:7">
      <c r="A177" s="2987" t="s">
        <v>29</v>
      </c>
      <c r="B177" s="2976" t="s">
        <v>3181</v>
      </c>
      <c r="C177" s="2988"/>
      <c r="D177" s="2988"/>
      <c r="E177" s="2988"/>
      <c r="F177" s="2977">
        <v>0.05</v>
      </c>
      <c r="G177" s="2994"/>
    </row>
    <row r="178" spans="1:7">
      <c r="A178" s="2987" t="s">
        <v>29</v>
      </c>
      <c r="B178" s="2976" t="s">
        <v>3182</v>
      </c>
      <c r="C178" s="2988"/>
      <c r="D178" s="2988"/>
      <c r="E178" s="2988"/>
      <c r="F178" s="2977">
        <v>0.05</v>
      </c>
      <c r="G178" s="2994"/>
    </row>
    <row r="179" spans="1:7">
      <c r="A179" s="2987" t="s">
        <v>29</v>
      </c>
      <c r="B179" s="2976" t="s">
        <v>3183</v>
      </c>
      <c r="C179" s="2988"/>
      <c r="D179" s="2988"/>
      <c r="E179" s="2988"/>
      <c r="F179" s="2977">
        <v>0.05</v>
      </c>
      <c r="G179" s="2994"/>
    </row>
    <row r="180" spans="1:7">
      <c r="A180" s="2987" t="s">
        <v>29</v>
      </c>
      <c r="B180" s="2976" t="s">
        <v>3184</v>
      </c>
      <c r="C180" s="2988"/>
      <c r="D180" s="2988"/>
      <c r="E180" s="2988"/>
      <c r="F180" s="2977">
        <v>0.05</v>
      </c>
      <c r="G180" s="2994"/>
    </row>
    <row r="181" spans="1:7">
      <c r="A181" s="2987" t="s">
        <v>29</v>
      </c>
      <c r="B181" s="2976" t="s">
        <v>3185</v>
      </c>
      <c r="C181" s="2988"/>
      <c r="D181" s="2988"/>
      <c r="E181" s="2988"/>
      <c r="F181" s="2977">
        <v>0.05</v>
      </c>
      <c r="G181" s="2994"/>
    </row>
    <row r="182" spans="1:7">
      <c r="A182" s="2987" t="s">
        <v>29</v>
      </c>
      <c r="B182" s="2976" t="s">
        <v>3186</v>
      </c>
      <c r="C182" s="2988"/>
      <c r="D182" s="2988"/>
      <c r="E182" s="2988"/>
      <c r="F182" s="2977">
        <v>0.05</v>
      </c>
      <c r="G182" s="2994"/>
    </row>
    <row r="183" spans="1:7">
      <c r="A183" s="2987" t="s">
        <v>29</v>
      </c>
      <c r="B183" s="2976" t="s">
        <v>3187</v>
      </c>
      <c r="C183" s="2988"/>
      <c r="D183" s="2988"/>
      <c r="E183" s="2988"/>
      <c r="F183" s="2977">
        <v>0.05</v>
      </c>
      <c r="G183" s="2994"/>
    </row>
    <row r="184" spans="1:7">
      <c r="A184" s="2987" t="s">
        <v>29</v>
      </c>
      <c r="B184" s="2976" t="s">
        <v>3188</v>
      </c>
      <c r="C184" s="2988"/>
      <c r="D184" s="2988"/>
      <c r="E184" s="2988"/>
      <c r="F184" s="2977">
        <v>0.05</v>
      </c>
      <c r="G184" s="2994"/>
    </row>
    <row r="185" spans="1:7">
      <c r="A185" s="2987" t="s">
        <v>29</v>
      </c>
      <c r="B185" s="2976" t="s">
        <v>3189</v>
      </c>
      <c r="C185" s="2988"/>
      <c r="D185" s="2988"/>
      <c r="E185" s="2988"/>
      <c r="F185" s="2977">
        <v>0.05</v>
      </c>
      <c r="G185" s="2994"/>
    </row>
    <row r="186" spans="1:7">
      <c r="A186" s="2987" t="s">
        <v>29</v>
      </c>
      <c r="B186" s="2976" t="s">
        <v>3190</v>
      </c>
      <c r="C186" s="2988"/>
      <c r="D186" s="2988"/>
      <c r="E186" s="2988"/>
      <c r="F186" s="2977">
        <v>0.05</v>
      </c>
      <c r="G186" s="2994"/>
    </row>
    <row r="187" spans="1:7">
      <c r="A187" s="2987" t="s">
        <v>29</v>
      </c>
      <c r="B187" s="2976" t="s">
        <v>3191</v>
      </c>
      <c r="C187" s="2988"/>
      <c r="D187" s="2988"/>
      <c r="E187" s="2988"/>
      <c r="F187" s="2977">
        <v>0.05</v>
      </c>
      <c r="G187" s="2994"/>
    </row>
    <row r="188" spans="1:7">
      <c r="A188" s="2987" t="s">
        <v>29</v>
      </c>
      <c r="B188" s="2976" t="s">
        <v>3192</v>
      </c>
      <c r="C188" s="2988"/>
      <c r="D188" s="2988"/>
      <c r="E188" s="2988"/>
      <c r="F188" s="2977">
        <v>0.05</v>
      </c>
      <c r="G188" s="2994"/>
    </row>
    <row r="189" spans="1:7" ht="14.25" thickBot="1">
      <c r="A189" s="2990" t="s">
        <v>29</v>
      </c>
      <c r="B189" s="2980" t="s">
        <v>3193</v>
      </c>
      <c r="C189" s="2982"/>
      <c r="D189" s="2982"/>
      <c r="E189" s="2982"/>
      <c r="F189" s="2981">
        <v>0.05</v>
      </c>
      <c r="G189" s="2995"/>
    </row>
    <row r="190" spans="1:7">
      <c r="A190" s="2986" t="s">
        <v>304</v>
      </c>
      <c r="B190" s="2972" t="s">
        <v>2849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2885</v>
      </c>
      <c r="C199" s="2977">
        <v>0.13</v>
      </c>
      <c r="D199" s="2977">
        <v>0.13</v>
      </c>
      <c r="E199" s="2977">
        <v>0.13</v>
      </c>
      <c r="F199" s="2977">
        <v>0.13</v>
      </c>
      <c r="G199" s="2978">
        <v>0.13</v>
      </c>
    </row>
    <row r="200" spans="1:7">
      <c r="A200" s="2987" t="s">
        <v>304</v>
      </c>
      <c r="B200" s="2976" t="s">
        <v>2888</v>
      </c>
      <c r="C200" s="2993"/>
      <c r="D200" s="2993"/>
      <c r="E200" s="2993"/>
      <c r="F200" s="2977">
        <v>0.13</v>
      </c>
      <c r="G200" s="2989"/>
    </row>
    <row r="201" spans="1:7">
      <c r="A201" s="2987" t="s">
        <v>304</v>
      </c>
      <c r="B201" s="2976" t="s">
        <v>2893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2896</v>
      </c>
      <c r="C203" s="2977">
        <v>0.129</v>
      </c>
      <c r="D203" s="2977">
        <v>0.129</v>
      </c>
      <c r="E203" s="2977">
        <v>0.13</v>
      </c>
      <c r="F203" s="2977">
        <v>0.13</v>
      </c>
      <c r="G203" s="2978">
        <v>0.13</v>
      </c>
    </row>
    <row r="204" spans="1:7">
      <c r="A204" s="2987" t="s">
        <v>304</v>
      </c>
      <c r="B204" s="2976" t="s">
        <v>2899</v>
      </c>
      <c r="C204" s="2977">
        <v>0.129</v>
      </c>
      <c r="D204" s="2977">
        <v>0.129</v>
      </c>
      <c r="E204" s="2977">
        <v>0.123</v>
      </c>
      <c r="F204" s="2977">
        <v>0.13</v>
      </c>
      <c r="G204" s="2978">
        <v>0.13</v>
      </c>
    </row>
    <row r="205" spans="1:7">
      <c r="A205" s="2987" t="s">
        <v>304</v>
      </c>
      <c r="B205" s="2976" t="s">
        <v>2901</v>
      </c>
      <c r="C205" s="2977">
        <v>0.13</v>
      </c>
      <c r="D205" s="2977">
        <v>0.13</v>
      </c>
      <c r="E205" s="2977">
        <v>0.13</v>
      </c>
      <c r="F205" s="2977">
        <v>0.13</v>
      </c>
      <c r="G205" s="2978">
        <v>0.13</v>
      </c>
    </row>
    <row r="206" spans="1:7">
      <c r="A206" s="2987" t="s">
        <v>304</v>
      </c>
      <c r="B206" s="2976" t="s">
        <v>2904</v>
      </c>
      <c r="C206" s="2977">
        <v>0.13</v>
      </c>
      <c r="D206" s="2977">
        <v>0.13</v>
      </c>
      <c r="E206" s="2977">
        <v>0.13</v>
      </c>
      <c r="F206" s="2977">
        <v>0.128</v>
      </c>
      <c r="G206" s="2978">
        <v>0.13</v>
      </c>
    </row>
    <row r="207" spans="1:7">
      <c r="A207" s="2987" t="s">
        <v>304</v>
      </c>
      <c r="B207" s="2976" t="s">
        <v>2906</v>
      </c>
      <c r="C207" s="2977">
        <v>0.13</v>
      </c>
      <c r="D207" s="2977">
        <v>0.13</v>
      </c>
      <c r="E207" s="2977">
        <v>0.13</v>
      </c>
      <c r="F207" s="2977">
        <v>0.13</v>
      </c>
      <c r="G207" s="2978">
        <v>0.13</v>
      </c>
    </row>
    <row r="208" spans="1:7">
      <c r="A208" s="2987" t="s">
        <v>304</v>
      </c>
      <c r="B208" s="2976" t="s">
        <v>2909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2916</v>
      </c>
      <c r="C210" s="2977">
        <v>0.121</v>
      </c>
      <c r="D210" s="2977">
        <v>0.121</v>
      </c>
      <c r="E210" s="2977">
        <v>0.125</v>
      </c>
      <c r="F210" s="2977">
        <v>0.13</v>
      </c>
      <c r="G210" s="2978">
        <v>0.123</v>
      </c>
    </row>
    <row r="211" spans="1:7">
      <c r="A211" s="2987" t="s">
        <v>304</v>
      </c>
      <c r="B211" s="2976" t="s">
        <v>2919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2931</v>
      </c>
      <c r="C214" s="2977">
        <v>0.128</v>
      </c>
      <c r="D214" s="2977">
        <v>0.128</v>
      </c>
      <c r="E214" s="2977">
        <v>0.13</v>
      </c>
      <c r="F214" s="2977">
        <v>0.13</v>
      </c>
      <c r="G214" s="2978">
        <v>0.13</v>
      </c>
    </row>
    <row r="215" spans="1:7">
      <c r="A215" s="2987" t="s">
        <v>304</v>
      </c>
      <c r="B215" s="2976" t="s">
        <v>2935</v>
      </c>
      <c r="C215" s="2977">
        <v>0.13</v>
      </c>
      <c r="D215" s="2977">
        <v>0.13</v>
      </c>
      <c r="E215" s="2977">
        <v>0.13</v>
      </c>
      <c r="F215" s="2977">
        <v>0.129</v>
      </c>
      <c r="G215" s="2978">
        <v>0.13</v>
      </c>
    </row>
    <row r="216" spans="1:7">
      <c r="A216" s="2987" t="s">
        <v>304</v>
      </c>
      <c r="B216" s="2976" t="s">
        <v>2942</v>
      </c>
      <c r="C216" s="2977">
        <v>0.13</v>
      </c>
      <c r="D216" s="2977">
        <v>0.13</v>
      </c>
      <c r="E216" s="2977">
        <v>0.13</v>
      </c>
      <c r="F216" s="2977">
        <v>0.13</v>
      </c>
      <c r="G216" s="2978">
        <v>0.13</v>
      </c>
    </row>
    <row r="217" spans="1:7">
      <c r="A217" s="2987" t="s">
        <v>304</v>
      </c>
      <c r="B217" s="2976" t="s">
        <v>2949</v>
      </c>
      <c r="C217" s="2977">
        <v>0.129</v>
      </c>
      <c r="D217" s="2977">
        <v>0.129</v>
      </c>
      <c r="E217" s="2977">
        <v>0.13</v>
      </c>
      <c r="F217" s="2977">
        <v>0.13</v>
      </c>
      <c r="G217" s="2978">
        <v>0.13</v>
      </c>
    </row>
    <row r="218" spans="1:7">
      <c r="A218" s="2987" t="s">
        <v>304</v>
      </c>
      <c r="B218" s="2976" t="s">
        <v>2955</v>
      </c>
      <c r="C218" s="2988"/>
      <c r="D218" s="2988"/>
      <c r="E218" s="2988"/>
      <c r="F218" s="2977">
        <v>0.05</v>
      </c>
      <c r="G218" s="2994"/>
    </row>
    <row r="219" spans="1:7">
      <c r="A219" s="2987" t="s">
        <v>304</v>
      </c>
      <c r="B219" s="2976" t="s">
        <v>2962</v>
      </c>
      <c r="C219" s="2988"/>
      <c r="D219" s="2988"/>
      <c r="E219" s="2988"/>
      <c r="F219" s="2977">
        <v>0.05</v>
      </c>
      <c r="G219" s="2994"/>
    </row>
    <row r="220" spans="1:7">
      <c r="A220" s="2987" t="s">
        <v>304</v>
      </c>
      <c r="B220" s="2976" t="s">
        <v>2968</v>
      </c>
      <c r="C220" s="2988"/>
      <c r="D220" s="2988"/>
      <c r="E220" s="2988"/>
      <c r="F220" s="2977">
        <v>0.05</v>
      </c>
      <c r="G220" s="2994"/>
    </row>
    <row r="221" spans="1:7">
      <c r="A221" s="2987" t="s">
        <v>304</v>
      </c>
      <c r="B221" s="2976" t="s">
        <v>2973</v>
      </c>
      <c r="C221" s="2988"/>
      <c r="D221" s="2988"/>
      <c r="E221" s="2988"/>
      <c r="F221" s="2977">
        <v>0.05</v>
      </c>
      <c r="G221" s="2994"/>
    </row>
    <row r="222" spans="1:7">
      <c r="A222" s="2987" t="s">
        <v>304</v>
      </c>
      <c r="B222" s="2976" t="s">
        <v>2977</v>
      </c>
      <c r="C222" s="2988"/>
      <c r="D222" s="2988"/>
      <c r="E222" s="2988"/>
      <c r="F222" s="2977">
        <v>0.05</v>
      </c>
      <c r="G222" s="2994"/>
    </row>
    <row r="223" spans="1:7">
      <c r="A223" s="2987" t="s">
        <v>304</v>
      </c>
      <c r="B223" s="2976" t="s">
        <v>2982</v>
      </c>
      <c r="C223" s="2988"/>
      <c r="D223" s="2988"/>
      <c r="E223" s="2988"/>
      <c r="F223" s="2977">
        <v>0.05</v>
      </c>
      <c r="G223" s="2994"/>
    </row>
    <row r="224" spans="1:7">
      <c r="A224" s="2987" t="s">
        <v>304</v>
      </c>
      <c r="B224" s="2976" t="s">
        <v>2987</v>
      </c>
      <c r="C224" s="2988"/>
      <c r="D224" s="2988"/>
      <c r="E224" s="2988"/>
      <c r="F224" s="2977">
        <v>0.05</v>
      </c>
      <c r="G224" s="2994"/>
    </row>
    <row r="225" spans="1:7">
      <c r="A225" s="2987" t="s">
        <v>304</v>
      </c>
      <c r="B225" s="2976" t="s">
        <v>2992</v>
      </c>
      <c r="C225" s="2988"/>
      <c r="D225" s="2988"/>
      <c r="E225" s="2988"/>
      <c r="F225" s="2977">
        <v>0.05</v>
      </c>
      <c r="G225" s="2994"/>
    </row>
    <row r="226" spans="1:7">
      <c r="A226" s="2987" t="s">
        <v>304</v>
      </c>
      <c r="B226" s="2976" t="s">
        <v>3194</v>
      </c>
      <c r="C226" s="2988"/>
      <c r="D226" s="2988"/>
      <c r="E226" s="2988"/>
      <c r="F226" s="2977">
        <v>0.05</v>
      </c>
      <c r="G226" s="2994"/>
    </row>
    <row r="227" spans="1:7">
      <c r="A227" s="2987" t="s">
        <v>304</v>
      </c>
      <c r="B227" s="2976" t="s">
        <v>3195</v>
      </c>
      <c r="C227" s="2988"/>
      <c r="D227" s="2988"/>
      <c r="E227" s="2988"/>
      <c r="F227" s="2977">
        <v>0.05</v>
      </c>
      <c r="G227" s="2994"/>
    </row>
    <row r="228" spans="1:7">
      <c r="A228" s="2987" t="s">
        <v>304</v>
      </c>
      <c r="B228" s="2976" t="s">
        <v>3196</v>
      </c>
      <c r="C228" s="2988"/>
      <c r="D228" s="2988"/>
      <c r="E228" s="2988"/>
      <c r="F228" s="2977">
        <v>0.05</v>
      </c>
      <c r="G228" s="2994"/>
    </row>
    <row r="229" spans="1:7">
      <c r="A229" s="2987" t="s">
        <v>304</v>
      </c>
      <c r="B229" s="2976" t="s">
        <v>3197</v>
      </c>
      <c r="C229" s="2988"/>
      <c r="D229" s="2988"/>
      <c r="E229" s="2988"/>
      <c r="F229" s="2977">
        <v>0.05</v>
      </c>
      <c r="G229" s="2994"/>
    </row>
    <row r="230" spans="1:7">
      <c r="A230" s="2987" t="s">
        <v>304</v>
      </c>
      <c r="B230" s="2976" t="s">
        <v>3198</v>
      </c>
      <c r="C230" s="2988"/>
      <c r="D230" s="2988"/>
      <c r="E230" s="2988"/>
      <c r="F230" s="2977">
        <v>0.05</v>
      </c>
      <c r="G230" s="2994"/>
    </row>
    <row r="231" spans="1:7">
      <c r="A231" s="2987" t="s">
        <v>304</v>
      </c>
      <c r="B231" s="2976" t="s">
        <v>3199</v>
      </c>
      <c r="C231" s="2988"/>
      <c r="D231" s="2988"/>
      <c r="E231" s="2988"/>
      <c r="F231" s="2977">
        <v>0.05</v>
      </c>
      <c r="G231" s="2994"/>
    </row>
    <row r="232" spans="1:7">
      <c r="A232" s="2987" t="s">
        <v>304</v>
      </c>
      <c r="B232" s="2976" t="s">
        <v>3200</v>
      </c>
      <c r="C232" s="2988"/>
      <c r="D232" s="2988"/>
      <c r="E232" s="2988"/>
      <c r="F232" s="2977">
        <v>0.05</v>
      </c>
      <c r="G232" s="2994"/>
    </row>
    <row r="233" spans="1:7" ht="14.25" thickBot="1">
      <c r="A233" s="2990" t="s">
        <v>304</v>
      </c>
      <c r="B233" s="2980" t="s">
        <v>3201</v>
      </c>
      <c r="C233" s="2982"/>
      <c r="D233" s="2982"/>
      <c r="E233" s="2982"/>
      <c r="F233" s="2981">
        <v>0.05</v>
      </c>
      <c r="G233" s="2995"/>
    </row>
    <row r="234" spans="1:7">
      <c r="A234" s="2986" t="s">
        <v>305</v>
      </c>
      <c r="B234" s="2972" t="s">
        <v>2850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2870</v>
      </c>
      <c r="C238" s="2977">
        <v>0.14899999999999999</v>
      </c>
      <c r="D238" s="2977">
        <v>0.14899999999999999</v>
      </c>
      <c r="E238" s="2977">
        <v>0.15</v>
      </c>
      <c r="F238" s="2977">
        <v>0.15</v>
      </c>
      <c r="G238" s="2978">
        <v>0.15</v>
      </c>
    </row>
    <row r="239" spans="1:7">
      <c r="A239" s="2987" t="s">
        <v>305</v>
      </c>
      <c r="B239" s="2976" t="s">
        <v>2874</v>
      </c>
      <c r="C239" s="2977">
        <v>0.15</v>
      </c>
      <c r="D239" s="2977">
        <v>0.15</v>
      </c>
      <c r="E239" s="2977">
        <v>0.15</v>
      </c>
      <c r="F239" s="2977">
        <v>0.15</v>
      </c>
      <c r="G239" s="2978">
        <v>0.15</v>
      </c>
    </row>
    <row r="240" spans="1:7">
      <c r="A240" s="2987" t="s">
        <v>305</v>
      </c>
      <c r="B240" s="2976" t="s">
        <v>2879</v>
      </c>
      <c r="C240" s="2977">
        <v>0.15</v>
      </c>
      <c r="D240" s="2977">
        <v>0.15</v>
      </c>
      <c r="E240" s="2977">
        <v>0.15</v>
      </c>
      <c r="F240" s="2977">
        <v>0.15</v>
      </c>
      <c r="G240" s="2978">
        <v>0.15</v>
      </c>
    </row>
    <row r="241" spans="1:7">
      <c r="A241" s="2987" t="s">
        <v>305</v>
      </c>
      <c r="B241" s="2976" t="s">
        <v>2883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2889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2932</v>
      </c>
      <c r="C258" s="2977">
        <v>0.14299999999999999</v>
      </c>
      <c r="D258" s="2977">
        <v>0.14299999999999999</v>
      </c>
      <c r="E258" s="2977">
        <v>0.15</v>
      </c>
      <c r="F258" s="2977">
        <v>0.14799999999999999</v>
      </c>
      <c r="G258" s="2978">
        <v>0.14599999999999999</v>
      </c>
    </row>
    <row r="259" spans="1:7">
      <c r="A259" s="2987" t="s">
        <v>305</v>
      </c>
      <c r="B259" s="2976" t="s">
        <v>2936</v>
      </c>
      <c r="C259" s="2977">
        <v>0.14399999999999999</v>
      </c>
      <c r="D259" s="2977">
        <v>0.14399999999999999</v>
      </c>
      <c r="E259" s="2977">
        <v>0.14899999999999999</v>
      </c>
      <c r="F259" s="2977">
        <v>0.14699999999999999</v>
      </c>
      <c r="G259" s="2978">
        <v>0.14599999999999999</v>
      </c>
    </row>
    <row r="260" spans="1:7">
      <c r="A260" s="2987" t="s">
        <v>305</v>
      </c>
      <c r="B260" s="2976" t="s">
        <v>2943</v>
      </c>
      <c r="C260" s="2977">
        <v>0.109</v>
      </c>
      <c r="D260" s="2977">
        <v>0.111</v>
      </c>
      <c r="E260" s="2977">
        <v>0.13100000000000001</v>
      </c>
      <c r="F260" s="2977">
        <v>0.126</v>
      </c>
      <c r="G260" s="2978">
        <v>0.11899999999999999</v>
      </c>
    </row>
    <row r="261" spans="1:7">
      <c r="A261" s="2987" t="s">
        <v>305</v>
      </c>
      <c r="B261" s="2976" t="s">
        <v>2950</v>
      </c>
      <c r="C261" s="2977">
        <v>0.1</v>
      </c>
      <c r="D261" s="2977">
        <v>0.1</v>
      </c>
      <c r="E261" s="2977">
        <v>0.11799999999999999</v>
      </c>
      <c r="F261" s="2977">
        <v>0.108</v>
      </c>
      <c r="G261" s="2978">
        <v>0.107</v>
      </c>
    </row>
    <row r="262" spans="1:7">
      <c r="A262" s="2987" t="s">
        <v>305</v>
      </c>
      <c r="B262" s="2976" t="s">
        <v>2956</v>
      </c>
      <c r="C262" s="2977">
        <v>0.1</v>
      </c>
      <c r="D262" s="2977">
        <v>0.1</v>
      </c>
      <c r="E262" s="2977">
        <v>0.1</v>
      </c>
      <c r="F262" s="2977">
        <v>0.14099999999999999</v>
      </c>
      <c r="G262" s="2978">
        <v>0.1</v>
      </c>
    </row>
    <row r="263" spans="1:7">
      <c r="A263" s="2987" t="s">
        <v>305</v>
      </c>
      <c r="B263" s="2976" t="s">
        <v>2963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2974</v>
      </c>
      <c r="C265" s="2988"/>
      <c r="D265" s="2988"/>
      <c r="E265" s="2988"/>
      <c r="F265" s="2977">
        <v>0.05</v>
      </c>
      <c r="G265" s="2994"/>
    </row>
    <row r="266" spans="1:7">
      <c r="A266" s="2987" t="s">
        <v>305</v>
      </c>
      <c r="B266" s="2976" t="s">
        <v>2978</v>
      </c>
      <c r="C266" s="2988"/>
      <c r="D266" s="2988"/>
      <c r="E266" s="2988"/>
      <c r="F266" s="2977">
        <v>0.05</v>
      </c>
      <c r="G266" s="2994"/>
    </row>
    <row r="267" spans="1:7">
      <c r="A267" s="2987" t="s">
        <v>305</v>
      </c>
      <c r="B267" s="2976" t="s">
        <v>2983</v>
      </c>
      <c r="C267" s="2988"/>
      <c r="D267" s="2988"/>
      <c r="E267" s="2988"/>
      <c r="F267" s="2977">
        <v>0.05</v>
      </c>
      <c r="G267" s="2994"/>
    </row>
    <row r="268" spans="1:7">
      <c r="A268" s="2987" t="s">
        <v>305</v>
      </c>
      <c r="B268" s="2976" t="s">
        <v>2988</v>
      </c>
      <c r="C268" s="2988"/>
      <c r="D268" s="2988"/>
      <c r="E268" s="2988"/>
      <c r="F268" s="2977">
        <v>0.05</v>
      </c>
      <c r="G268" s="2994"/>
    </row>
    <row r="269" spans="1:7">
      <c r="A269" s="2987" t="s">
        <v>305</v>
      </c>
      <c r="B269" s="2976" t="s">
        <v>2993</v>
      </c>
      <c r="C269" s="2988"/>
      <c r="D269" s="2988"/>
      <c r="E269" s="2988"/>
      <c r="F269" s="2977">
        <v>0.05</v>
      </c>
      <c r="G269" s="2994"/>
    </row>
    <row r="270" spans="1:7">
      <c r="A270" s="2987" t="s">
        <v>305</v>
      </c>
      <c r="B270" s="2976" t="s">
        <v>2998</v>
      </c>
      <c r="C270" s="2988"/>
      <c r="D270" s="2988"/>
      <c r="E270" s="2988"/>
      <c r="F270" s="2977">
        <v>0.05</v>
      </c>
      <c r="G270" s="2994"/>
    </row>
    <row r="271" spans="1:7">
      <c r="A271" s="2987" t="s">
        <v>305</v>
      </c>
      <c r="B271" s="2976" t="s">
        <v>3202</v>
      </c>
      <c r="C271" s="2988"/>
      <c r="D271" s="2988"/>
      <c r="E271" s="2988"/>
      <c r="F271" s="2977">
        <v>0.05</v>
      </c>
      <c r="G271" s="2994"/>
    </row>
    <row r="272" spans="1:7">
      <c r="A272" s="2987" t="s">
        <v>305</v>
      </c>
      <c r="B272" s="2976" t="s">
        <v>3203</v>
      </c>
      <c r="C272" s="2988"/>
      <c r="D272" s="2988"/>
      <c r="E272" s="2988"/>
      <c r="F272" s="2977">
        <v>0.05</v>
      </c>
      <c r="G272" s="2994"/>
    </row>
    <row r="273" spans="1:7">
      <c r="A273" s="2987" t="s">
        <v>305</v>
      </c>
      <c r="B273" s="2976" t="s">
        <v>3204</v>
      </c>
      <c r="C273" s="2988"/>
      <c r="D273" s="2988"/>
      <c r="E273" s="2988"/>
      <c r="F273" s="2977">
        <v>0.05</v>
      </c>
      <c r="G273" s="2994"/>
    </row>
    <row r="274" spans="1:7">
      <c r="A274" s="2987" t="s">
        <v>305</v>
      </c>
      <c r="B274" s="2976" t="s">
        <v>3205</v>
      </c>
      <c r="C274" s="2988"/>
      <c r="D274" s="2988"/>
      <c r="E274" s="2988"/>
      <c r="F274" s="2977">
        <v>0.05</v>
      </c>
      <c r="G274" s="2994"/>
    </row>
    <row r="275" spans="1:7">
      <c r="A275" s="2987" t="s">
        <v>305</v>
      </c>
      <c r="B275" s="2976" t="s">
        <v>3206</v>
      </c>
      <c r="C275" s="2988"/>
      <c r="D275" s="2988"/>
      <c r="E275" s="2988"/>
      <c r="F275" s="2977">
        <v>0.05</v>
      </c>
      <c r="G275" s="2994"/>
    </row>
    <row r="276" spans="1:7" ht="14.25" thickBot="1">
      <c r="A276" s="2990" t="s">
        <v>305</v>
      </c>
      <c r="B276" s="2980" t="s">
        <v>3207</v>
      </c>
      <c r="C276" s="2982"/>
      <c r="D276" s="2982"/>
      <c r="E276" s="2982"/>
      <c r="F276" s="2981">
        <v>0.05</v>
      </c>
      <c r="G276" s="2995"/>
    </row>
    <row r="277" spans="1:7">
      <c r="A277" s="2986" t="s">
        <v>306</v>
      </c>
      <c r="B277" s="2972" t="s">
        <v>2851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2863</v>
      </c>
      <c r="C279" s="2977">
        <v>0.15</v>
      </c>
      <c r="D279" s="2977">
        <v>0.15</v>
      </c>
      <c r="E279" s="2977">
        <v>0.15</v>
      </c>
      <c r="F279" s="2977">
        <v>0.15</v>
      </c>
      <c r="G279" s="2978">
        <v>0.15</v>
      </c>
    </row>
    <row r="280" spans="1:7">
      <c r="A280" s="2987" t="s">
        <v>306</v>
      </c>
      <c r="B280" s="2976" t="s">
        <v>2867</v>
      </c>
      <c r="C280" s="2977">
        <v>0.15</v>
      </c>
      <c r="D280" s="2977">
        <v>0.15</v>
      </c>
      <c r="E280" s="2977">
        <v>0.15</v>
      </c>
      <c r="F280" s="2977">
        <v>0.15</v>
      </c>
      <c r="G280" s="2978">
        <v>0.15</v>
      </c>
    </row>
    <row r="281" spans="1:7">
      <c r="A281" s="2987" t="s">
        <v>306</v>
      </c>
      <c r="B281" s="2976" t="s">
        <v>2871</v>
      </c>
      <c r="C281" s="2977">
        <v>0.15</v>
      </c>
      <c r="D281" s="2977">
        <v>0.15</v>
      </c>
      <c r="E281" s="2977">
        <v>0.15</v>
      </c>
      <c r="F281" s="2977">
        <v>0.15</v>
      </c>
      <c r="G281" s="2978">
        <v>0.15</v>
      </c>
    </row>
    <row r="282" spans="1:7">
      <c r="A282" s="2987" t="s">
        <v>306</v>
      </c>
      <c r="B282" s="2976" t="s">
        <v>2875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2905</v>
      </c>
      <c r="C293" s="2977">
        <v>0.15</v>
      </c>
      <c r="D293" s="2977">
        <v>0.15</v>
      </c>
      <c r="E293" s="2977">
        <v>0.15</v>
      </c>
      <c r="F293" s="2977">
        <v>0.14499999999999999</v>
      </c>
      <c r="G293" s="2978">
        <v>0.15</v>
      </c>
    </row>
    <row r="294" spans="1:7">
      <c r="A294" s="2987" t="s">
        <v>306</v>
      </c>
      <c r="B294" s="2976" t="s">
        <v>2907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2937</v>
      </c>
      <c r="C302" s="2977">
        <v>0.15</v>
      </c>
      <c r="D302" s="2977">
        <v>0.15</v>
      </c>
      <c r="E302" s="2977">
        <v>0.15</v>
      </c>
      <c r="F302" s="2977">
        <v>0.14699999999999999</v>
      </c>
      <c r="G302" s="2978">
        <v>0.15</v>
      </c>
    </row>
    <row r="303" spans="1:7">
      <c r="A303" s="2987" t="s">
        <v>306</v>
      </c>
      <c r="B303" s="2976" t="s">
        <v>2944</v>
      </c>
      <c r="C303" s="2977">
        <v>0.15</v>
      </c>
      <c r="D303" s="2977">
        <v>0.15</v>
      </c>
      <c r="E303" s="2977">
        <v>0.15</v>
      </c>
      <c r="F303" s="2977">
        <v>0.14199999999999999</v>
      </c>
      <c r="G303" s="2978">
        <v>0.15</v>
      </c>
    </row>
    <row r="304" spans="1:7">
      <c r="A304" s="2987" t="s">
        <v>306</v>
      </c>
      <c r="B304" s="2976" t="s">
        <v>2951</v>
      </c>
      <c r="C304" s="2977">
        <v>0.15</v>
      </c>
      <c r="D304" s="2977">
        <v>0.15</v>
      </c>
      <c r="E304" s="2977">
        <v>0.15</v>
      </c>
      <c r="F304" s="2977">
        <v>0.14499999999999999</v>
      </c>
      <c r="G304" s="2978">
        <v>0.15</v>
      </c>
    </row>
    <row r="305" spans="1:7">
      <c r="A305" s="2987" t="s">
        <v>306</v>
      </c>
      <c r="B305" s="2976" t="s">
        <v>2957</v>
      </c>
      <c r="C305" s="2977">
        <v>0.15</v>
      </c>
      <c r="D305" s="2977">
        <v>0.15</v>
      </c>
      <c r="E305" s="2977">
        <v>0.15</v>
      </c>
      <c r="F305" s="2977">
        <v>0.111</v>
      </c>
      <c r="G305" s="2978">
        <v>0.15</v>
      </c>
    </row>
    <row r="306" spans="1:7">
      <c r="A306" s="2987" t="s">
        <v>306</v>
      </c>
      <c r="B306" s="2976" t="s">
        <v>2964</v>
      </c>
      <c r="C306" s="2977">
        <v>0.15</v>
      </c>
      <c r="D306" s="2977">
        <v>0.15</v>
      </c>
      <c r="E306" s="2977">
        <v>0.15</v>
      </c>
      <c r="F306" s="2977">
        <v>0.126</v>
      </c>
      <c r="G306" s="2978">
        <v>0.15</v>
      </c>
    </row>
    <row r="307" spans="1:7">
      <c r="A307" s="2987" t="s">
        <v>306</v>
      </c>
      <c r="B307" s="2976" t="s">
        <v>2969</v>
      </c>
      <c r="C307" s="2977">
        <v>0.15</v>
      </c>
      <c r="D307" s="2977">
        <v>0.15</v>
      </c>
      <c r="E307" s="2977">
        <v>0.15</v>
      </c>
      <c r="F307" s="2977">
        <v>0.12</v>
      </c>
      <c r="G307" s="2978">
        <v>0.15</v>
      </c>
    </row>
    <row r="308" spans="1:7">
      <c r="A308" s="2987" t="s">
        <v>306</v>
      </c>
      <c r="B308" s="2976" t="s">
        <v>2975</v>
      </c>
      <c r="C308" s="2977">
        <v>0.15</v>
      </c>
      <c r="D308" s="2977">
        <v>0.15</v>
      </c>
      <c r="E308" s="2977">
        <v>0.15</v>
      </c>
      <c r="F308" s="2977">
        <v>0.13</v>
      </c>
      <c r="G308" s="2978">
        <v>0.15</v>
      </c>
    </row>
    <row r="309" spans="1:7">
      <c r="A309" s="2987" t="s">
        <v>306</v>
      </c>
      <c r="B309" s="2976" t="s">
        <v>2979</v>
      </c>
      <c r="C309" s="2977">
        <v>0.15</v>
      </c>
      <c r="D309" s="2977">
        <v>0.15</v>
      </c>
      <c r="E309" s="2977">
        <v>0.15</v>
      </c>
      <c r="F309" s="2977">
        <v>0.14099999999999999</v>
      </c>
      <c r="G309" s="2978">
        <v>0.15</v>
      </c>
    </row>
    <row r="310" spans="1:7">
      <c r="A310" s="2987" t="s">
        <v>306</v>
      </c>
      <c r="B310" s="2976" t="s">
        <v>2984</v>
      </c>
      <c r="C310" s="2977">
        <v>0.15</v>
      </c>
      <c r="D310" s="2977">
        <v>0.15</v>
      </c>
      <c r="E310" s="2977">
        <v>0.15</v>
      </c>
      <c r="F310" s="2977">
        <v>0.15</v>
      </c>
      <c r="G310" s="2978">
        <v>0.15</v>
      </c>
    </row>
    <row r="311" spans="1:7">
      <c r="A311" s="2987" t="s">
        <v>306</v>
      </c>
      <c r="B311" s="2976" t="s">
        <v>2989</v>
      </c>
      <c r="C311" s="2977">
        <v>0.13200000000000001</v>
      </c>
      <c r="D311" s="2977">
        <v>0.13300000000000001</v>
      </c>
      <c r="E311" s="2977">
        <v>0.14499999999999999</v>
      </c>
      <c r="F311" s="2977">
        <v>0.14199999999999999</v>
      </c>
      <c r="G311" s="2978">
        <v>0.14000000000000001</v>
      </c>
    </row>
    <row r="312" spans="1:7">
      <c r="A312" s="2987" t="s">
        <v>306</v>
      </c>
      <c r="B312" s="2976" t="s">
        <v>2994</v>
      </c>
      <c r="C312" s="2977">
        <v>0.13800000000000001</v>
      </c>
      <c r="D312" s="2977">
        <v>0.14000000000000001</v>
      </c>
      <c r="E312" s="2977">
        <v>0.14599999999999999</v>
      </c>
      <c r="F312" s="2977">
        <v>0.14899999999999999</v>
      </c>
      <c r="G312" s="2978">
        <v>0.14199999999999999</v>
      </c>
    </row>
    <row r="313" spans="1:7">
      <c r="A313" s="2987" t="s">
        <v>306</v>
      </c>
      <c r="B313" s="2976" t="s">
        <v>2999</v>
      </c>
      <c r="C313" s="2977">
        <v>0.125</v>
      </c>
      <c r="D313" s="2977">
        <v>0.127</v>
      </c>
      <c r="E313" s="2977">
        <v>0.14399999999999999</v>
      </c>
      <c r="F313" s="2977">
        <v>0.115</v>
      </c>
      <c r="G313" s="2978">
        <v>0.13600000000000001</v>
      </c>
    </row>
    <row r="314" spans="1:7">
      <c r="A314" s="2987" t="s">
        <v>306</v>
      </c>
      <c r="B314" s="2976" t="s">
        <v>3208</v>
      </c>
      <c r="C314" s="2993"/>
      <c r="D314" s="2993"/>
      <c r="E314" s="2993"/>
      <c r="F314" s="2977">
        <v>0.05</v>
      </c>
      <c r="G314" s="2994"/>
    </row>
    <row r="315" spans="1:7">
      <c r="A315" s="2987" t="s">
        <v>306</v>
      </c>
      <c r="B315" s="2976" t="s">
        <v>3209</v>
      </c>
      <c r="C315" s="2993"/>
      <c r="D315" s="2993"/>
      <c r="E315" s="2993"/>
      <c r="F315" s="2977">
        <v>0.05</v>
      </c>
      <c r="G315" s="2994"/>
    </row>
    <row r="316" spans="1:7">
      <c r="A316" s="2987" t="s">
        <v>306</v>
      </c>
      <c r="B316" s="2976" t="s">
        <v>3210</v>
      </c>
      <c r="C316" s="2988"/>
      <c r="D316" s="2988"/>
      <c r="E316" s="2988"/>
      <c r="F316" s="2977">
        <v>0.05</v>
      </c>
      <c r="G316" s="2994"/>
    </row>
    <row r="317" spans="1:7">
      <c r="A317" s="2987" t="s">
        <v>306</v>
      </c>
      <c r="B317" s="2976" t="s">
        <v>3211</v>
      </c>
      <c r="C317" s="2988"/>
      <c r="D317" s="2988"/>
      <c r="E317" s="2988"/>
      <c r="F317" s="2977">
        <v>0.05</v>
      </c>
      <c r="G317" s="2994"/>
    </row>
    <row r="318" spans="1:7">
      <c r="A318" s="2987" t="s">
        <v>306</v>
      </c>
      <c r="B318" s="2976" t="s">
        <v>3212</v>
      </c>
      <c r="C318" s="2988"/>
      <c r="D318" s="2988"/>
      <c r="E318" s="2988"/>
      <c r="F318" s="2977">
        <v>0.05</v>
      </c>
      <c r="G318" s="2994"/>
    </row>
    <row r="319" spans="1:7">
      <c r="A319" s="2987" t="s">
        <v>306</v>
      </c>
      <c r="B319" s="2976" t="s">
        <v>3213</v>
      </c>
      <c r="C319" s="2988"/>
      <c r="D319" s="2988"/>
      <c r="E319" s="2988"/>
      <c r="F319" s="2977">
        <v>0.05</v>
      </c>
      <c r="G319" s="2994"/>
    </row>
    <row r="320" spans="1:7">
      <c r="A320" s="2987" t="s">
        <v>306</v>
      </c>
      <c r="B320" s="2976" t="s">
        <v>3214</v>
      </c>
      <c r="C320" s="2988"/>
      <c r="D320" s="2988"/>
      <c r="E320" s="2988"/>
      <c r="F320" s="2977">
        <v>0.05</v>
      </c>
      <c r="G320" s="2994"/>
    </row>
    <row r="321" spans="1:7">
      <c r="A321" s="2987" t="s">
        <v>306</v>
      </c>
      <c r="B321" s="2976" t="s">
        <v>3215</v>
      </c>
      <c r="C321" s="2988"/>
      <c r="D321" s="2988"/>
      <c r="E321" s="2988"/>
      <c r="F321" s="2977">
        <v>0.05</v>
      </c>
      <c r="G321" s="2994"/>
    </row>
    <row r="322" spans="1:7">
      <c r="A322" s="2987" t="s">
        <v>306</v>
      </c>
      <c r="B322" s="2976" t="s">
        <v>3216</v>
      </c>
      <c r="C322" s="2988"/>
      <c r="D322" s="2988"/>
      <c r="E322" s="2988"/>
      <c r="F322" s="2977">
        <v>0.05</v>
      </c>
      <c r="G322" s="2994"/>
    </row>
    <row r="323" spans="1:7">
      <c r="A323" s="2987" t="s">
        <v>306</v>
      </c>
      <c r="B323" s="2976" t="s">
        <v>3217</v>
      </c>
      <c r="C323" s="2988"/>
      <c r="D323" s="2988"/>
      <c r="E323" s="2988"/>
      <c r="F323" s="2977">
        <v>0.05</v>
      </c>
      <c r="G323" s="2994"/>
    </row>
    <row r="324" spans="1:7">
      <c r="A324" s="2987" t="s">
        <v>306</v>
      </c>
      <c r="B324" s="2976" t="s">
        <v>3218</v>
      </c>
      <c r="C324" s="2988"/>
      <c r="D324" s="2988"/>
      <c r="E324" s="2988"/>
      <c r="F324" s="2977">
        <v>0.05</v>
      </c>
      <c r="G324" s="2994"/>
    </row>
    <row r="325" spans="1:7">
      <c r="A325" s="2987" t="s">
        <v>306</v>
      </c>
      <c r="B325" s="2976" t="s">
        <v>3219</v>
      </c>
      <c r="C325" s="2988"/>
      <c r="D325" s="2988"/>
      <c r="E325" s="2988"/>
      <c r="F325" s="2977">
        <v>0.05</v>
      </c>
      <c r="G325" s="2994"/>
    </row>
    <row r="326" spans="1:7" ht="14.25" thickBot="1">
      <c r="A326" s="2990" t="s">
        <v>306</v>
      </c>
      <c r="B326" s="2980" t="s">
        <v>3220</v>
      </c>
      <c r="C326" s="2982"/>
      <c r="D326" s="2982"/>
      <c r="E326" s="2982"/>
      <c r="F326" s="2981">
        <v>0.05</v>
      </c>
      <c r="G326" s="2995"/>
    </row>
    <row r="327" spans="1:7">
      <c r="A327" s="2986" t="s">
        <v>307</v>
      </c>
      <c r="B327" s="2972" t="s">
        <v>2852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2864</v>
      </c>
      <c r="C329" s="2977">
        <v>0.15</v>
      </c>
      <c r="D329" s="2977">
        <v>0.15</v>
      </c>
      <c r="E329" s="2977">
        <v>0.15</v>
      </c>
      <c r="F329" s="2977">
        <v>0.15</v>
      </c>
      <c r="G329" s="2978">
        <v>0.15</v>
      </c>
    </row>
    <row r="330" spans="1:7">
      <c r="A330" s="2987" t="s">
        <v>307</v>
      </c>
      <c r="B330" s="2976" t="s">
        <v>2868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2876</v>
      </c>
      <c r="C332" s="2977">
        <v>0.15</v>
      </c>
      <c r="D332" s="2977">
        <v>0.15</v>
      </c>
      <c r="E332" s="2977">
        <v>0.15</v>
      </c>
      <c r="F332" s="2977">
        <v>0.15</v>
      </c>
      <c r="G332" s="2978">
        <v>0.15</v>
      </c>
    </row>
    <row r="333" spans="1:7">
      <c r="A333" s="2987" t="s">
        <v>307</v>
      </c>
      <c r="B333" s="2976" t="s">
        <v>2880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2886</v>
      </c>
      <c r="C336" s="2977">
        <v>0.15</v>
      </c>
      <c r="D336" s="2977">
        <v>0.15</v>
      </c>
      <c r="E336" s="2977">
        <v>0.15</v>
      </c>
      <c r="F336" s="2977">
        <v>0.14199999999999999</v>
      </c>
      <c r="G336" s="2978">
        <v>0.15</v>
      </c>
    </row>
    <row r="337" spans="1:7">
      <c r="A337" s="2987" t="s">
        <v>307</v>
      </c>
      <c r="B337" s="2976" t="s">
        <v>2891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2898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2911</v>
      </c>
      <c r="C345" s="2977">
        <v>0.15</v>
      </c>
      <c r="D345" s="2977">
        <v>0.15</v>
      </c>
      <c r="E345" s="2977">
        <v>0.15</v>
      </c>
      <c r="F345" s="2977">
        <v>0.13800000000000001</v>
      </c>
      <c r="G345" s="2978">
        <v>0.15</v>
      </c>
    </row>
    <row r="346" spans="1:7">
      <c r="A346" s="2987" t="s">
        <v>307</v>
      </c>
      <c r="B346" s="2976" t="s">
        <v>2913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2920</v>
      </c>
      <c r="C348" s="2977">
        <v>0.15</v>
      </c>
      <c r="D348" s="2977">
        <v>0.15</v>
      </c>
      <c r="E348" s="2977">
        <v>0.15</v>
      </c>
      <c r="F348" s="2977">
        <v>0.14399999999999999</v>
      </c>
      <c r="G348" s="2978">
        <v>0.15</v>
      </c>
    </row>
    <row r="349" spans="1:7">
      <c r="A349" s="2987" t="s">
        <v>307</v>
      </c>
      <c r="B349" s="2976" t="s">
        <v>2925</v>
      </c>
      <c r="C349" s="2977">
        <v>0.15</v>
      </c>
      <c r="D349" s="2977">
        <v>0.15</v>
      </c>
      <c r="E349" s="2977">
        <v>0.15</v>
      </c>
      <c r="F349" s="2977">
        <v>0.15</v>
      </c>
      <c r="G349" s="2978">
        <v>0.15</v>
      </c>
    </row>
    <row r="350" spans="1:7">
      <c r="A350" s="2987" t="s">
        <v>307</v>
      </c>
      <c r="B350" s="2976" t="s">
        <v>2928</v>
      </c>
      <c r="C350" s="2977">
        <v>0.15</v>
      </c>
      <c r="D350" s="2977">
        <v>0.15</v>
      </c>
      <c r="E350" s="2977">
        <v>0.15</v>
      </c>
      <c r="F350" s="2977">
        <v>0.14699999999999999</v>
      </c>
      <c r="G350" s="2978">
        <v>0.15</v>
      </c>
    </row>
    <row r="351" spans="1:7">
      <c r="A351" s="2987" t="s">
        <v>307</v>
      </c>
      <c r="B351" s="2976" t="s">
        <v>2933</v>
      </c>
      <c r="C351" s="2977">
        <v>0.15</v>
      </c>
      <c r="D351" s="2977">
        <v>0.15</v>
      </c>
      <c r="E351" s="2977">
        <v>0.15</v>
      </c>
      <c r="F351" s="2977">
        <v>0.13</v>
      </c>
      <c r="G351" s="2978">
        <v>0.15</v>
      </c>
    </row>
    <row r="352" spans="1:7">
      <c r="A352" s="2987" t="s">
        <v>307</v>
      </c>
      <c r="B352" s="2976" t="s">
        <v>2938</v>
      </c>
      <c r="C352" s="2977">
        <v>0.15</v>
      </c>
      <c r="D352" s="2977">
        <v>0.15</v>
      </c>
      <c r="E352" s="2977">
        <v>0.15</v>
      </c>
      <c r="F352" s="2977">
        <v>0.14599999999999999</v>
      </c>
      <c r="G352" s="2978">
        <v>0.15</v>
      </c>
    </row>
    <row r="353" spans="1:7">
      <c r="A353" s="2987" t="s">
        <v>307</v>
      </c>
      <c r="B353" s="2976" t="s">
        <v>2945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2958</v>
      </c>
      <c r="C355" s="2977">
        <v>0.15</v>
      </c>
      <c r="D355" s="2977">
        <v>0.15</v>
      </c>
      <c r="E355" s="2977">
        <v>0.15</v>
      </c>
      <c r="F355" s="2977">
        <v>0.15</v>
      </c>
      <c r="G355" s="2978">
        <v>0.15</v>
      </c>
    </row>
    <row r="356" spans="1:7">
      <c r="A356" s="2987" t="s">
        <v>307</v>
      </c>
      <c r="B356" s="2976" t="s">
        <v>2965</v>
      </c>
      <c r="C356" s="2977">
        <v>0.15</v>
      </c>
      <c r="D356" s="2977">
        <v>0.15</v>
      </c>
      <c r="E356" s="2977">
        <v>0.15</v>
      </c>
      <c r="F356" s="2977">
        <v>0.15</v>
      </c>
      <c r="G356" s="2978">
        <v>0.15</v>
      </c>
    </row>
    <row r="357" spans="1:7" ht="14.25" thickBot="1">
      <c r="A357" s="2990" t="s">
        <v>307</v>
      </c>
      <c r="B357" s="2980" t="s">
        <v>2970</v>
      </c>
      <c r="C357" s="2981">
        <v>0.126</v>
      </c>
      <c r="D357" s="2981">
        <v>0.127</v>
      </c>
      <c r="E357" s="2981">
        <v>0.14299999999999999</v>
      </c>
      <c r="F357" s="2981">
        <v>0.125</v>
      </c>
      <c r="G357" s="2983">
        <v>0.129</v>
      </c>
    </row>
    <row r="358" spans="1:7">
      <c r="A358" s="2986" t="s">
        <v>2839</v>
      </c>
      <c r="B358" s="2972" t="s">
        <v>2853</v>
      </c>
      <c r="C358" s="2973">
        <v>0.15</v>
      </c>
      <c r="D358" s="2973">
        <v>0.15</v>
      </c>
      <c r="E358" s="2973">
        <v>0.15</v>
      </c>
      <c r="F358" s="2973">
        <v>0.15</v>
      </c>
      <c r="G358" s="2974">
        <v>0.15</v>
      </c>
    </row>
    <row r="359" spans="1:7">
      <c r="A359" s="2987" t="s">
        <v>2839</v>
      </c>
      <c r="B359" s="2976" t="s">
        <v>2859</v>
      </c>
      <c r="C359" s="2977">
        <v>0.1</v>
      </c>
      <c r="D359" s="2977">
        <v>0.1</v>
      </c>
      <c r="E359" s="2977">
        <v>0.1</v>
      </c>
      <c r="F359" s="2977">
        <v>0.1</v>
      </c>
      <c r="G359" s="2978">
        <v>0.1</v>
      </c>
    </row>
    <row r="360" spans="1:7">
      <c r="A360" s="2987" t="s">
        <v>2839</v>
      </c>
      <c r="B360" s="2976" t="s">
        <v>2865</v>
      </c>
      <c r="C360" s="2977">
        <v>0.15</v>
      </c>
      <c r="D360" s="2977">
        <v>0.15</v>
      </c>
      <c r="E360" s="2977">
        <v>0.15</v>
      </c>
      <c r="F360" s="2977">
        <v>0.14899999999999999</v>
      </c>
      <c r="G360" s="2978">
        <v>0.15</v>
      </c>
    </row>
    <row r="361" spans="1:7">
      <c r="A361" s="2987" t="s">
        <v>2839</v>
      </c>
      <c r="B361" s="2976" t="s">
        <v>153</v>
      </c>
      <c r="C361" s="2977">
        <v>0.15</v>
      </c>
      <c r="D361" s="2977">
        <v>0.15</v>
      </c>
      <c r="E361" s="2977">
        <v>0.15</v>
      </c>
      <c r="F361" s="2977">
        <v>0.115</v>
      </c>
      <c r="G361" s="2978">
        <v>0.15</v>
      </c>
    </row>
    <row r="362" spans="1:7">
      <c r="A362" s="2987" t="s">
        <v>2839</v>
      </c>
      <c r="B362" s="2976" t="s">
        <v>2872</v>
      </c>
      <c r="C362" s="2977">
        <v>0.15</v>
      </c>
      <c r="D362" s="2977">
        <v>0.15</v>
      </c>
      <c r="E362" s="2977">
        <v>0.15</v>
      </c>
      <c r="F362" s="2977">
        <v>0.106</v>
      </c>
      <c r="G362" s="2978">
        <v>0.15</v>
      </c>
    </row>
    <row r="363" spans="1:7">
      <c r="A363" s="2987" t="s">
        <v>2839</v>
      </c>
      <c r="B363" s="2976" t="s">
        <v>2877</v>
      </c>
      <c r="C363" s="2977">
        <v>0.15</v>
      </c>
      <c r="D363" s="2977">
        <v>0.15</v>
      </c>
      <c r="E363" s="2977">
        <v>0.15</v>
      </c>
      <c r="F363" s="2977">
        <v>0.14699999999999999</v>
      </c>
      <c r="G363" s="2978">
        <v>0.15</v>
      </c>
    </row>
    <row r="364" spans="1:7">
      <c r="A364" s="2987" t="s">
        <v>2839</v>
      </c>
      <c r="B364" s="2976" t="s">
        <v>2881</v>
      </c>
      <c r="C364" s="2977">
        <v>0.15</v>
      </c>
      <c r="D364" s="2977">
        <v>0.15</v>
      </c>
      <c r="E364" s="2977">
        <v>0.15</v>
      </c>
      <c r="F364" s="2977">
        <v>0.14799999999999999</v>
      </c>
      <c r="G364" s="2978">
        <v>0.15</v>
      </c>
    </row>
    <row r="365" spans="1:7">
      <c r="A365" s="2987" t="s">
        <v>2839</v>
      </c>
      <c r="B365" s="2976" t="s">
        <v>200</v>
      </c>
      <c r="C365" s="2977">
        <v>0.15</v>
      </c>
      <c r="D365" s="2977">
        <v>0.15</v>
      </c>
      <c r="E365" s="2977">
        <v>0.15</v>
      </c>
      <c r="F365" s="2977">
        <v>0.15</v>
      </c>
      <c r="G365" s="2978">
        <v>0.15</v>
      </c>
    </row>
    <row r="366" spans="1:7">
      <c r="A366" s="2987" t="s">
        <v>2839</v>
      </c>
      <c r="B366" s="2976" t="s">
        <v>2884</v>
      </c>
      <c r="C366" s="2977">
        <v>0.15</v>
      </c>
      <c r="D366" s="2977">
        <v>0.15</v>
      </c>
      <c r="E366" s="2977">
        <v>0.15</v>
      </c>
      <c r="F366" s="2977">
        <v>0.15</v>
      </c>
      <c r="G366" s="2978">
        <v>0.15</v>
      </c>
    </row>
    <row r="367" spans="1:7">
      <c r="A367" s="2987" t="s">
        <v>2839</v>
      </c>
      <c r="B367" s="2976" t="s">
        <v>2887</v>
      </c>
      <c r="C367" s="2977">
        <v>0.15</v>
      </c>
      <c r="D367" s="2977">
        <v>0.15</v>
      </c>
      <c r="E367" s="2977">
        <v>0.15</v>
      </c>
      <c r="F367" s="2977">
        <v>0.14699999999999999</v>
      </c>
      <c r="G367" s="2978">
        <v>0.15</v>
      </c>
    </row>
    <row r="368" spans="1:7">
      <c r="A368" s="2987" t="s">
        <v>2839</v>
      </c>
      <c r="B368" s="2976" t="s">
        <v>2892</v>
      </c>
      <c r="C368" s="2977">
        <v>0.15</v>
      </c>
      <c r="D368" s="2977">
        <v>0.15</v>
      </c>
      <c r="E368" s="2977">
        <v>0.15</v>
      </c>
      <c r="F368" s="2977">
        <v>0.13600000000000001</v>
      </c>
      <c r="G368" s="2978">
        <v>0.15</v>
      </c>
    </row>
    <row r="369" spans="1:7">
      <c r="A369" s="2987" t="s">
        <v>2839</v>
      </c>
      <c r="B369" s="2976" t="s">
        <v>214</v>
      </c>
      <c r="C369" s="2977">
        <v>0.15</v>
      </c>
      <c r="D369" s="2977">
        <v>0.15</v>
      </c>
      <c r="E369" s="2977">
        <v>0.15</v>
      </c>
      <c r="F369" s="2977">
        <v>0.14399999999999999</v>
      </c>
      <c r="G369" s="2978">
        <v>0.15</v>
      </c>
    </row>
    <row r="370" spans="1:7">
      <c r="A370" s="2987" t="s">
        <v>2839</v>
      </c>
      <c r="B370" s="2976" t="s">
        <v>221</v>
      </c>
      <c r="C370" s="2977">
        <v>0.15</v>
      </c>
      <c r="D370" s="2977">
        <v>0.15</v>
      </c>
      <c r="E370" s="2977">
        <v>0.15</v>
      </c>
      <c r="F370" s="2977">
        <v>0.14599999999999999</v>
      </c>
      <c r="G370" s="2978">
        <v>0.15</v>
      </c>
    </row>
    <row r="371" spans="1:7">
      <c r="A371" s="2987" t="s">
        <v>2839</v>
      </c>
      <c r="B371" s="2976" t="s">
        <v>229</v>
      </c>
      <c r="C371" s="2977">
        <v>0.15</v>
      </c>
      <c r="D371" s="2977">
        <v>0.15</v>
      </c>
      <c r="E371" s="2977">
        <v>0.15</v>
      </c>
      <c r="F371" s="2977">
        <v>0.12</v>
      </c>
      <c r="G371" s="2978">
        <v>0.15</v>
      </c>
    </row>
    <row r="372" spans="1:7">
      <c r="A372" s="2987" t="s">
        <v>2839</v>
      </c>
      <c r="B372" s="2976" t="s">
        <v>2900</v>
      </c>
      <c r="C372" s="2977">
        <v>0.15</v>
      </c>
      <c r="D372" s="2977">
        <v>0.15</v>
      </c>
      <c r="E372" s="2977">
        <v>0.15</v>
      </c>
      <c r="F372" s="2977">
        <v>0.14299999999999999</v>
      </c>
      <c r="G372" s="2978">
        <v>0.15</v>
      </c>
    </row>
    <row r="373" spans="1:7">
      <c r="A373" s="2987" t="s">
        <v>2839</v>
      </c>
      <c r="B373" s="2976" t="s">
        <v>258</v>
      </c>
      <c r="C373" s="2977">
        <v>0.15</v>
      </c>
      <c r="D373" s="2977">
        <v>0.15</v>
      </c>
      <c r="E373" s="2977">
        <v>0.15</v>
      </c>
      <c r="F373" s="2977">
        <v>0.14599999999999999</v>
      </c>
      <c r="G373" s="2978">
        <v>0.15</v>
      </c>
    </row>
    <row r="374" spans="1:7">
      <c r="A374" s="2987" t="s">
        <v>2839</v>
      </c>
      <c r="B374" s="2976" t="s">
        <v>266</v>
      </c>
      <c r="C374" s="2977">
        <v>0.15</v>
      </c>
      <c r="D374" s="2977">
        <v>0.15</v>
      </c>
      <c r="E374" s="2977">
        <v>0.15</v>
      </c>
      <c r="F374" s="2977">
        <v>0.14399999999999999</v>
      </c>
      <c r="G374" s="2978">
        <v>0.15</v>
      </c>
    </row>
    <row r="375" spans="1:7">
      <c r="A375" s="2987" t="s">
        <v>2839</v>
      </c>
      <c r="B375" s="2976" t="s">
        <v>2908</v>
      </c>
      <c r="C375" s="2977">
        <v>0.15</v>
      </c>
      <c r="D375" s="2977">
        <v>0.15</v>
      </c>
      <c r="E375" s="2977">
        <v>0.15</v>
      </c>
      <c r="F375" s="2977">
        <v>0.13</v>
      </c>
      <c r="G375" s="2978">
        <v>0.15</v>
      </c>
    </row>
    <row r="376" spans="1:7">
      <c r="A376" s="2987" t="s">
        <v>2839</v>
      </c>
      <c r="B376" s="2976" t="s">
        <v>277</v>
      </c>
      <c r="C376" s="2977">
        <v>0.15</v>
      </c>
      <c r="D376" s="2977">
        <v>0.15</v>
      </c>
      <c r="E376" s="2977">
        <v>0.15</v>
      </c>
      <c r="F376" s="2977">
        <v>0.14199999999999999</v>
      </c>
      <c r="G376" s="2978">
        <v>0.15</v>
      </c>
    </row>
    <row r="377" spans="1:7" ht="14.25" thickBot="1">
      <c r="A377" s="2990" t="s">
        <v>2839</v>
      </c>
      <c r="B377" s="2980" t="s">
        <v>2914</v>
      </c>
      <c r="C377" s="2981">
        <v>0.15</v>
      </c>
      <c r="D377" s="2981">
        <v>0.15</v>
      </c>
      <c r="E377" s="2981">
        <v>0.15</v>
      </c>
      <c r="F377" s="2981">
        <v>0.14000000000000001</v>
      </c>
      <c r="G377" s="2983">
        <v>0.15</v>
      </c>
    </row>
    <row r="378" spans="1:7">
      <c r="A378" s="2986" t="s">
        <v>2840</v>
      </c>
      <c r="B378" s="2972" t="s">
        <v>2854</v>
      </c>
      <c r="C378" s="2973">
        <v>0.15</v>
      </c>
      <c r="D378" s="2973">
        <v>0.15</v>
      </c>
      <c r="E378" s="2973">
        <v>0.15</v>
      </c>
      <c r="F378" s="2973">
        <v>0.107</v>
      </c>
      <c r="G378" s="2974">
        <v>0.15</v>
      </c>
    </row>
    <row r="379" spans="1:7">
      <c r="A379" s="2987" t="s">
        <v>2840</v>
      </c>
      <c r="B379" s="2976" t="s">
        <v>2860</v>
      </c>
      <c r="C379" s="2977">
        <v>0.15</v>
      </c>
      <c r="D379" s="2977">
        <v>0.15</v>
      </c>
      <c r="E379" s="2977">
        <v>0.15</v>
      </c>
      <c r="F379" s="2977">
        <v>0.115</v>
      </c>
      <c r="G379" s="2978">
        <v>0.14899999999999999</v>
      </c>
    </row>
    <row r="380" spans="1:7">
      <c r="A380" s="2987" t="s">
        <v>2840</v>
      </c>
      <c r="B380" s="2976" t="s">
        <v>2866</v>
      </c>
      <c r="C380" s="2977">
        <v>0.15</v>
      </c>
      <c r="D380" s="2977">
        <v>0.15</v>
      </c>
      <c r="E380" s="2977">
        <v>0.15</v>
      </c>
      <c r="F380" s="2977">
        <v>0.1</v>
      </c>
      <c r="G380" s="2978">
        <v>0.14799999999999999</v>
      </c>
    </row>
    <row r="381" spans="1:7">
      <c r="A381" s="2987" t="s">
        <v>2840</v>
      </c>
      <c r="B381" s="2976" t="s">
        <v>2869</v>
      </c>
      <c r="C381" s="2977">
        <v>0.15</v>
      </c>
      <c r="D381" s="2977">
        <v>0.15</v>
      </c>
      <c r="E381" s="2977">
        <v>0.15</v>
      </c>
      <c r="F381" s="2977">
        <v>0.126</v>
      </c>
      <c r="G381" s="2978">
        <v>0.15</v>
      </c>
    </row>
    <row r="382" spans="1:7">
      <c r="A382" s="2987" t="s">
        <v>2840</v>
      </c>
      <c r="B382" s="2976" t="s">
        <v>2873</v>
      </c>
      <c r="C382" s="2977">
        <v>0.15</v>
      </c>
      <c r="D382" s="2977">
        <v>0.15</v>
      </c>
      <c r="E382" s="2977">
        <v>0.15</v>
      </c>
      <c r="F382" s="2977">
        <v>0.15</v>
      </c>
      <c r="G382" s="2978">
        <v>0.15</v>
      </c>
    </row>
    <row r="383" spans="1:7">
      <c r="A383" s="2987" t="s">
        <v>2840</v>
      </c>
      <c r="B383" s="2976" t="s">
        <v>2878</v>
      </c>
      <c r="C383" s="2977">
        <v>0.15</v>
      </c>
      <c r="D383" s="2977">
        <v>0.15</v>
      </c>
      <c r="E383" s="2977">
        <v>0.15</v>
      </c>
      <c r="F383" s="2977">
        <v>0.14699999999999999</v>
      </c>
      <c r="G383" s="2978">
        <v>0.15</v>
      </c>
    </row>
    <row r="384" spans="1:7" ht="14.25" thickBot="1">
      <c r="A384" s="2997" t="s">
        <v>2840</v>
      </c>
      <c r="B384" s="2998" t="s">
        <v>2882</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c r="A1" s="3485" t="s">
        <v>3221</v>
      </c>
      <c r="B1" s="3485"/>
      <c r="C1" s="3485"/>
      <c r="D1" s="3485"/>
      <c r="E1" s="3485"/>
      <c r="F1" s="3486"/>
    </row>
    <row r="2" spans="1:6">
      <c r="A2" s="3001" t="s">
        <v>3222</v>
      </c>
    </row>
    <row r="3" spans="1:6">
      <c r="A3" s="3001" t="s">
        <v>3223</v>
      </c>
      <c r="F3" s="3002" t="s">
        <v>3224</v>
      </c>
    </row>
    <row r="4" spans="1:6">
      <c r="A4" s="3003" t="s">
        <v>670</v>
      </c>
      <c r="B4" s="3003" t="s">
        <v>671</v>
      </c>
      <c r="C4" s="3003" t="s">
        <v>21</v>
      </c>
      <c r="D4" s="3003" t="s">
        <v>672</v>
      </c>
      <c r="E4" s="3003" t="s">
        <v>3</v>
      </c>
      <c r="F4" s="3003" t="s">
        <v>3225</v>
      </c>
    </row>
    <row r="5" spans="1:6">
      <c r="A5" s="3004" t="s">
        <v>673</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L14" sqref="L14"/>
    </sheetView>
  </sheetViews>
  <sheetFormatPr defaultRowHeight="13.5"/>
  <cols>
    <col min="1" max="1" width="13.875" customWidth="1"/>
    <col min="11" max="17" width="0" hidden="1" customWidth="1"/>
    <col min="25" max="30" width="0" hidden="1" customWidth="1"/>
  </cols>
  <sheetData>
    <row r="1" spans="1:30">
      <c r="A1" s="2936">
        <f>基准地价修正!G23</f>
        <v>45741</v>
      </c>
      <c r="B1" s="2928" t="s">
        <v>3368</v>
      </c>
      <c r="C1" s="2929"/>
      <c r="D1" s="2929"/>
      <c r="E1" s="2929"/>
      <c r="F1" s="2929"/>
      <c r="G1" s="2929"/>
      <c r="H1" s="2929"/>
      <c r="I1" s="2929"/>
      <c r="J1" s="2895"/>
      <c r="K1" s="2929" t="s">
        <v>454</v>
      </c>
      <c r="L1" s="2929"/>
      <c r="M1" s="2929"/>
      <c r="N1" s="2929"/>
      <c r="O1" s="2929"/>
      <c r="P1" s="2929"/>
      <c r="Q1" s="2895"/>
      <c r="R1" s="3487" t="s">
        <v>456</v>
      </c>
      <c r="S1" s="3488"/>
      <c r="T1" s="3488"/>
      <c r="U1" s="3488"/>
      <c r="V1" s="3488"/>
      <c r="W1" s="3488"/>
      <c r="X1" s="2895"/>
      <c r="Y1" s="3487" t="s">
        <v>457</v>
      </c>
      <c r="Z1" s="3488"/>
      <c r="AA1" s="3488"/>
      <c r="AB1" s="3488"/>
      <c r="AC1" s="3488"/>
      <c r="AD1" s="3488"/>
    </row>
    <row r="2" spans="1:30" s="2008" customFormat="1" ht="14.25" thickBot="1">
      <c r="B2" s="2880"/>
      <c r="C2" s="2881"/>
      <c r="D2" s="2009" t="s">
        <v>2799</v>
      </c>
      <c r="E2" s="2010" t="s">
        <v>2800</v>
      </c>
      <c r="F2" s="2010" t="s">
        <v>2801</v>
      </c>
      <c r="G2" s="2010" t="s">
        <v>2802</v>
      </c>
      <c r="H2" s="2010" t="s">
        <v>2803</v>
      </c>
      <c r="I2" s="2010" t="s">
        <v>2620</v>
      </c>
      <c r="J2" s="2882"/>
      <c r="K2" s="2009" t="s">
        <v>2799</v>
      </c>
      <c r="L2" s="2010" t="s">
        <v>2800</v>
      </c>
      <c r="M2" s="2010" t="s">
        <v>2801</v>
      </c>
      <c r="N2" s="2010" t="s">
        <v>2802</v>
      </c>
      <c r="O2" s="2010" t="s">
        <v>2804</v>
      </c>
      <c r="P2" s="2010" t="s">
        <v>2620</v>
      </c>
      <c r="Q2" s="2882"/>
      <c r="R2" s="2009" t="s">
        <v>2799</v>
      </c>
      <c r="S2" s="2010" t="s">
        <v>2800</v>
      </c>
      <c r="T2" s="2010" t="s">
        <v>2801</v>
      </c>
      <c r="U2" s="2010" t="s">
        <v>2805</v>
      </c>
      <c r="V2" s="2010" t="s">
        <v>2806</v>
      </c>
      <c r="W2" s="2010" t="s">
        <v>2620</v>
      </c>
      <c r="X2" s="2882"/>
      <c r="Y2" s="2009" t="s">
        <v>2799</v>
      </c>
      <c r="Z2" s="2010" t="s">
        <v>2800</v>
      </c>
      <c r="AA2" s="2010" t="s">
        <v>2801</v>
      </c>
      <c r="AB2" s="2010" t="s">
        <v>2807</v>
      </c>
      <c r="AC2" s="2010" t="s">
        <v>2806</v>
      </c>
      <c r="AD2" s="2010" t="s">
        <v>2620</v>
      </c>
    </row>
    <row r="3" spans="1:30" s="2885" customFormat="1" ht="12.75">
      <c r="A3" s="2883" t="s">
        <v>2808</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3364</v>
      </c>
      <c r="B5" s="2029">
        <v>2025</v>
      </c>
      <c r="C5" s="2040">
        <v>1</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3373</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3" customFormat="1" ht="12.75">
      <c r="A7" s="2038" t="s">
        <v>3372</v>
      </c>
      <c r="B7" s="2029">
        <v>2024</v>
      </c>
      <c r="C7" s="2040">
        <v>3</v>
      </c>
      <c r="D7" s="2005">
        <v>-1.19</v>
      </c>
      <c r="E7" s="2005">
        <v>-0.47</v>
      </c>
      <c r="F7" s="2005">
        <v>-0.28999999999999998</v>
      </c>
      <c r="G7" s="2005">
        <v>-0.74</v>
      </c>
      <c r="H7" s="2005">
        <v>-0.21</v>
      </c>
      <c r="I7" s="2006">
        <f t="shared" ref="I7" si="26">F7</f>
        <v>-0.28999999999999998</v>
      </c>
      <c r="J7" s="2905"/>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5"/>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5"/>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4" t="s">
        <v>3365</v>
      </c>
      <c r="B8" s="2029">
        <v>2024</v>
      </c>
      <c r="C8" s="2040">
        <v>2</v>
      </c>
      <c r="D8" s="2005">
        <v>-0.59</v>
      </c>
      <c r="E8" s="2005">
        <v>-0.21</v>
      </c>
      <c r="F8" s="2005">
        <v>-1.38</v>
      </c>
      <c r="G8" s="2005">
        <v>-1.24</v>
      </c>
      <c r="H8" s="2916">
        <v>0.34</v>
      </c>
      <c r="I8" s="2006">
        <f t="shared" ref="I8:I21" si="37">F8</f>
        <v>-1.38</v>
      </c>
      <c r="J8" s="2905"/>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5"/>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5"/>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4" t="s">
        <v>3363</v>
      </c>
      <c r="B9" s="2029">
        <v>2024</v>
      </c>
      <c r="C9" s="2040">
        <v>1</v>
      </c>
      <c r="D9" s="2005">
        <v>0.08</v>
      </c>
      <c r="E9" s="2005">
        <v>0.46</v>
      </c>
      <c r="F9" s="2005">
        <v>-0.16</v>
      </c>
      <c r="G9" s="2005">
        <v>0.26</v>
      </c>
      <c r="H9" s="2916">
        <v>0.59</v>
      </c>
      <c r="I9" s="2006">
        <v>0</v>
      </c>
      <c r="J9" s="2905"/>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5"/>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5"/>
      <c r="Y9" s="2026"/>
      <c r="Z9" s="2026"/>
      <c r="AA9" s="2026"/>
      <c r="AB9" s="2026"/>
      <c r="AC9" s="2026"/>
      <c r="AD9" s="2026"/>
    </row>
    <row r="10" spans="1:30" s="2043" customFormat="1" ht="12.75">
      <c r="A10" s="2904" t="s">
        <v>3359</v>
      </c>
      <c r="B10" s="2029">
        <v>2023</v>
      </c>
      <c r="C10" s="2040">
        <v>4</v>
      </c>
      <c r="D10" s="2005">
        <v>0.19</v>
      </c>
      <c r="E10" s="2005">
        <v>0.24</v>
      </c>
      <c r="F10" s="2005">
        <v>-0.16</v>
      </c>
      <c r="G10" s="2005">
        <v>0.17</v>
      </c>
      <c r="H10" s="2916">
        <v>0.61</v>
      </c>
      <c r="I10" s="2006">
        <f>F10</f>
        <v>-0.16</v>
      </c>
      <c r="J10" s="2905"/>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5"/>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5"/>
      <c r="Y10" s="2026"/>
      <c r="Z10" s="2026"/>
      <c r="AA10" s="2026"/>
      <c r="AB10" s="2026"/>
      <c r="AC10" s="2026"/>
      <c r="AD10" s="2026"/>
    </row>
    <row r="11" spans="1:30" s="2043" customFormat="1" ht="12.75">
      <c r="A11" s="2904" t="s">
        <v>3358</v>
      </c>
      <c r="B11" s="2029">
        <v>2023</v>
      </c>
      <c r="C11" s="2040">
        <v>3</v>
      </c>
      <c r="D11" s="2005">
        <v>0.25</v>
      </c>
      <c r="E11" s="2005">
        <v>0.5</v>
      </c>
      <c r="F11" s="2005">
        <v>0.31</v>
      </c>
      <c r="G11" s="2005">
        <v>0.21</v>
      </c>
      <c r="H11" s="2916">
        <v>0.43</v>
      </c>
      <c r="I11" s="2006">
        <f t="shared" si="37"/>
        <v>0.31</v>
      </c>
      <c r="J11" s="2905"/>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5"/>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5"/>
      <c r="Y11" s="2026"/>
      <c r="Z11" s="2026"/>
      <c r="AA11" s="2026"/>
      <c r="AB11" s="2026"/>
      <c r="AC11" s="2026"/>
      <c r="AD11" s="2026"/>
    </row>
    <row r="12" spans="1:30" s="2043" customFormat="1" ht="12.75">
      <c r="A12" s="2904" t="s">
        <v>3356</v>
      </c>
      <c r="B12" s="2029">
        <v>2023</v>
      </c>
      <c r="C12" s="2040">
        <v>2</v>
      </c>
      <c r="D12" s="2005">
        <v>0.91</v>
      </c>
      <c r="E12" s="2005">
        <v>0.66</v>
      </c>
      <c r="F12" s="2005">
        <v>0.47</v>
      </c>
      <c r="G12" s="2005">
        <v>0.96</v>
      </c>
      <c r="H12" s="2916">
        <v>0.71</v>
      </c>
      <c r="I12" s="2006">
        <f t="shared" si="37"/>
        <v>0.47</v>
      </c>
      <c r="J12" s="2905"/>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5"/>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5"/>
      <c r="Y12" s="2026"/>
      <c r="Z12" s="2026"/>
      <c r="AA12" s="2026"/>
      <c r="AB12" s="2026"/>
      <c r="AC12" s="2026"/>
      <c r="AD12" s="2026"/>
    </row>
    <row r="13" spans="1:30" s="2043" customFormat="1" ht="12.75">
      <c r="A13" s="2904" t="s">
        <v>3355</v>
      </c>
      <c r="B13" s="2029">
        <v>2023</v>
      </c>
      <c r="C13" s="2040">
        <v>1</v>
      </c>
      <c r="D13" s="2005">
        <v>0.89</v>
      </c>
      <c r="E13" s="2005">
        <v>0.74</v>
      </c>
      <c r="F13" s="2005">
        <v>0.56999999999999995</v>
      </c>
      <c r="G13" s="2005">
        <v>0.92</v>
      </c>
      <c r="H13" s="2916">
        <v>0.5</v>
      </c>
      <c r="I13" s="2006">
        <f t="shared" si="37"/>
        <v>0.56999999999999995</v>
      </c>
      <c r="J13" s="2905"/>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5"/>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5"/>
      <c r="Y13" s="2026"/>
      <c r="Z13" s="2026"/>
      <c r="AA13" s="2026"/>
      <c r="AB13" s="2026"/>
      <c r="AC13" s="2026"/>
      <c r="AD13" s="2026"/>
    </row>
    <row r="14" spans="1:30" s="2043" customFormat="1" ht="12.75">
      <c r="A14" s="2904" t="s">
        <v>3354</v>
      </c>
      <c r="B14" s="2029">
        <v>2022</v>
      </c>
      <c r="C14" s="2040">
        <v>4</v>
      </c>
      <c r="D14" s="2005">
        <v>0.62</v>
      </c>
      <c r="E14" s="2005">
        <v>0.2</v>
      </c>
      <c r="F14" s="2005">
        <v>0.11</v>
      </c>
      <c r="G14" s="2005">
        <v>0.69</v>
      </c>
      <c r="H14" s="2916">
        <v>0.53</v>
      </c>
      <c r="I14" s="2006">
        <f t="shared" si="37"/>
        <v>0.11</v>
      </c>
      <c r="J14" s="2905"/>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5"/>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5"/>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4" t="s">
        <v>3352</v>
      </c>
      <c r="B15" s="2029">
        <v>2022</v>
      </c>
      <c r="C15" s="2040">
        <v>3</v>
      </c>
      <c r="D15" s="2005">
        <v>0.66</v>
      </c>
      <c r="E15" s="2005">
        <v>0.32</v>
      </c>
      <c r="F15" s="2005">
        <v>0.23</v>
      </c>
      <c r="G15" s="2005">
        <v>0.72</v>
      </c>
      <c r="H15" s="2916">
        <v>0.63</v>
      </c>
      <c r="I15" s="2006">
        <f t="shared" si="37"/>
        <v>0.23</v>
      </c>
      <c r="J15" s="2905"/>
      <c r="K15" s="2041">
        <f t="shared" si="38"/>
        <v>6.6E-3</v>
      </c>
      <c r="L15" s="2026">
        <f t="shared" si="38"/>
        <v>3.2000000000000002E-3</v>
      </c>
      <c r="M15" s="2026">
        <f t="shared" si="38"/>
        <v>2.3E-3</v>
      </c>
      <c r="N15" s="2026">
        <f t="shared" si="38"/>
        <v>7.1999999999999998E-3</v>
      </c>
      <c r="O15" s="2026">
        <f t="shared" si="38"/>
        <v>6.3E-3</v>
      </c>
      <c r="P15" s="2026">
        <f t="shared" si="58"/>
        <v>2.3E-3</v>
      </c>
      <c r="Q15" s="2905"/>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5"/>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4" t="s">
        <v>3343</v>
      </c>
      <c r="B16" s="2029">
        <v>2022</v>
      </c>
      <c r="C16" s="2040">
        <v>2</v>
      </c>
      <c r="D16" s="2005">
        <v>0.93</v>
      </c>
      <c r="E16" s="2005">
        <v>0.15</v>
      </c>
      <c r="F16" s="2005">
        <v>0.01</v>
      </c>
      <c r="G16" s="2005">
        <v>1.05</v>
      </c>
      <c r="H16" s="2916">
        <v>1.08</v>
      </c>
      <c r="I16" s="2006">
        <f t="shared" si="37"/>
        <v>0.01</v>
      </c>
      <c r="J16" s="2905"/>
      <c r="K16" s="2041">
        <f t="shared" si="38"/>
        <v>9.300000000000001E-3</v>
      </c>
      <c r="L16" s="2026">
        <f t="shared" si="38"/>
        <v>1.5E-3</v>
      </c>
      <c r="M16" s="2026">
        <f t="shared" si="38"/>
        <v>1E-4</v>
      </c>
      <c r="N16" s="2026">
        <f t="shared" si="38"/>
        <v>1.0500000000000001E-2</v>
      </c>
      <c r="O16" s="2026">
        <f t="shared" si="38"/>
        <v>1.0800000000000001E-2</v>
      </c>
      <c r="P16" s="2026">
        <f t="shared" si="58"/>
        <v>1E-4</v>
      </c>
      <c r="Q16" s="2905"/>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5"/>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4" t="s">
        <v>2809</v>
      </c>
      <c r="B17" s="2029">
        <v>2022</v>
      </c>
      <c r="C17" s="2040">
        <v>1</v>
      </c>
      <c r="D17" s="2005">
        <v>0.89</v>
      </c>
      <c r="E17" s="2005">
        <v>0.44</v>
      </c>
      <c r="F17" s="2005">
        <v>0.37</v>
      </c>
      <c r="G17" s="2005">
        <v>0.96</v>
      </c>
      <c r="H17" s="2916">
        <v>0.64</v>
      </c>
      <c r="I17" s="2006">
        <f t="shared" si="37"/>
        <v>0.37</v>
      </c>
      <c r="J17" s="2905"/>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5"/>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5"/>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4" t="s">
        <v>2810</v>
      </c>
      <c r="B18" s="2029">
        <v>2021</v>
      </c>
      <c r="C18" s="2040">
        <v>4</v>
      </c>
      <c r="D18" s="2005">
        <v>1.03</v>
      </c>
      <c r="E18" s="2005">
        <v>0.24</v>
      </c>
      <c r="F18" s="2005">
        <v>7.0000000000000007E-2</v>
      </c>
      <c r="G18" s="2005">
        <v>1.17</v>
      </c>
      <c r="H18" s="2916">
        <v>0.55000000000000004</v>
      </c>
      <c r="I18" s="2006">
        <f t="shared" si="37"/>
        <v>7.0000000000000007E-2</v>
      </c>
      <c r="J18" s="2905"/>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5"/>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5"/>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4" t="s">
        <v>2811</v>
      </c>
      <c r="B19" s="2029">
        <v>2021</v>
      </c>
      <c r="C19" s="2040">
        <v>3</v>
      </c>
      <c r="D19" s="2005">
        <v>0.47</v>
      </c>
      <c r="E19" s="2005">
        <v>0.41</v>
      </c>
      <c r="F19" s="2005">
        <v>0.24</v>
      </c>
      <c r="G19" s="2005">
        <v>0.48</v>
      </c>
      <c r="H19" s="2916">
        <v>0.48</v>
      </c>
      <c r="I19" s="2006">
        <f t="shared" si="37"/>
        <v>0.24</v>
      </c>
      <c r="J19" s="2905"/>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5"/>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5"/>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4" t="s">
        <v>2812</v>
      </c>
      <c r="B20" s="2029">
        <v>2021</v>
      </c>
      <c r="C20" s="2040">
        <v>2</v>
      </c>
      <c r="D20" s="2005">
        <v>0.92</v>
      </c>
      <c r="E20" s="2005">
        <v>0.72</v>
      </c>
      <c r="F20" s="2005">
        <v>0.41</v>
      </c>
      <c r="G20" s="2005">
        <v>0.95</v>
      </c>
      <c r="H20" s="2916">
        <v>1.01</v>
      </c>
      <c r="I20" s="2006">
        <f t="shared" si="37"/>
        <v>0.41</v>
      </c>
      <c r="J20" s="2905"/>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5"/>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5"/>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7" customFormat="1" thickBot="1">
      <c r="A21" s="2917" t="s">
        <v>2813</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3371</v>
      </c>
    </row>
    <row r="24" spans="1:30">
      <c r="I24" s="1405" t="s">
        <v>2814</v>
      </c>
    </row>
    <row r="26" spans="1:30" s="2007" customFormat="1" ht="12.75">
      <c r="B26" s="2928" t="s">
        <v>3369</v>
      </c>
      <c r="C26" s="2929"/>
      <c r="D26" s="2929"/>
      <c r="E26" s="2929"/>
      <c r="F26" s="2929"/>
      <c r="G26" s="2929"/>
      <c r="H26" s="2929"/>
      <c r="I26" s="2929"/>
      <c r="J26" s="2895"/>
      <c r="K26" s="2929" t="s">
        <v>2815</v>
      </c>
      <c r="L26" s="2929"/>
      <c r="M26" s="2929"/>
      <c r="N26" s="2929"/>
      <c r="O26" s="2929"/>
      <c r="P26" s="2929"/>
      <c r="Q26" s="2895"/>
      <c r="R26" s="3487" t="s">
        <v>2816</v>
      </c>
      <c r="S26" s="3488"/>
      <c r="T26" s="3488"/>
      <c r="U26" s="3488"/>
      <c r="V26" s="3488"/>
      <c r="W26" s="3488"/>
      <c r="X26" s="2895"/>
      <c r="Y26" s="3487" t="s">
        <v>2817</v>
      </c>
      <c r="Z26" s="3488"/>
      <c r="AA26" s="3488"/>
      <c r="AB26" s="3488"/>
      <c r="AC26" s="3488"/>
      <c r="AD26" s="3488"/>
    </row>
    <row r="27" spans="1:30" s="2008" customFormat="1" ht="14.25" thickBot="1">
      <c r="B27" s="2880"/>
      <c r="C27" s="2881"/>
      <c r="D27" s="2009" t="s">
        <v>2818</v>
      </c>
      <c r="E27" s="2010" t="s">
        <v>2819</v>
      </c>
      <c r="F27" s="2010" t="s">
        <v>2820</v>
      </c>
      <c r="G27" s="2010" t="s">
        <v>2821</v>
      </c>
      <c r="H27" s="2010"/>
      <c r="I27" s="2010" t="s">
        <v>2822</v>
      </c>
      <c r="J27" s="2882"/>
      <c r="K27" s="2009" t="s">
        <v>2818</v>
      </c>
      <c r="L27" s="2010" t="s">
        <v>2819</v>
      </c>
      <c r="M27" s="2010" t="s">
        <v>2820</v>
      </c>
      <c r="N27" s="2010" t="s">
        <v>2821</v>
      </c>
      <c r="O27" s="2010"/>
      <c r="P27" s="2010" t="s">
        <v>2822</v>
      </c>
      <c r="Q27" s="2882"/>
      <c r="R27" s="2009" t="s">
        <v>2818</v>
      </c>
      <c r="S27" s="2010" t="s">
        <v>2819</v>
      </c>
      <c r="T27" s="2010" t="s">
        <v>2820</v>
      </c>
      <c r="U27" s="2010" t="s">
        <v>2821</v>
      </c>
      <c r="V27" s="2010"/>
      <c r="W27" s="2010" t="s">
        <v>2822</v>
      </c>
      <c r="X27" s="2882"/>
      <c r="Y27" s="2009" t="s">
        <v>2818</v>
      </c>
      <c r="Z27" s="2010" t="s">
        <v>2819</v>
      </c>
      <c r="AA27" s="2010" t="s">
        <v>2820</v>
      </c>
      <c r="AB27" s="2010" t="s">
        <v>2821</v>
      </c>
      <c r="AC27" s="2010"/>
      <c r="AD27" s="2010" t="s">
        <v>2822</v>
      </c>
    </row>
    <row r="28" spans="1:30" s="2885" customFormat="1" ht="12.75">
      <c r="A28" s="2883" t="s">
        <v>2823</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7" customFormat="1" ht="12.75">
      <c r="B29" s="2023"/>
      <c r="J29" s="2895"/>
      <c r="K29" s="2896"/>
      <c r="L29" s="2897"/>
      <c r="M29" s="2897"/>
      <c r="N29" s="2897"/>
      <c r="O29" s="2897"/>
      <c r="P29" s="2897"/>
      <c r="Q29" s="2895"/>
      <c r="R29" s="2025"/>
      <c r="S29" s="2898"/>
      <c r="T29" s="2899"/>
      <c r="U29" s="2025"/>
      <c r="V29" s="2900"/>
      <c r="W29" s="2025"/>
      <c r="X29" s="2895"/>
      <c r="Y29" s="2026"/>
      <c r="Z29" s="2901"/>
      <c r="AA29" s="2902"/>
      <c r="AB29" s="2026"/>
      <c r="AC29" s="2903"/>
      <c r="AD29" s="2026"/>
    </row>
    <row r="30" spans="1:30" s="2043" customFormat="1" ht="12.75">
      <c r="A30" s="2038" t="s">
        <v>3364</v>
      </c>
      <c r="B30" s="2029">
        <v>2025</v>
      </c>
      <c r="C30" s="2040">
        <v>1</v>
      </c>
      <c r="D30" s="2005"/>
      <c r="E30" s="2005">
        <v>0</v>
      </c>
      <c r="F30" s="2005">
        <v>0</v>
      </c>
      <c r="G30" s="2005">
        <v>0</v>
      </c>
      <c r="H30" s="2005"/>
      <c r="I30" s="2006">
        <f t="shared" ref="I30" si="69">F30</f>
        <v>0</v>
      </c>
      <c r="J30" s="2905"/>
      <c r="K30" s="2041"/>
      <c r="L30" s="2026">
        <f t="shared" ref="L30" si="70">E30/100</f>
        <v>0</v>
      </c>
      <c r="M30" s="2026">
        <f t="shared" ref="M30" si="71">F30/100</f>
        <v>0</v>
      </c>
      <c r="N30" s="2026">
        <f t="shared" ref="N30" si="72">G30/100</f>
        <v>0</v>
      </c>
      <c r="O30" s="2026"/>
      <c r="P30" s="2026">
        <f>M30</f>
        <v>0</v>
      </c>
      <c r="Q30" s="2905"/>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5"/>
      <c r="Y30" s="2026"/>
      <c r="Z30" s="2901">
        <f t="shared" ref="Z30" si="73">IF(E30=0,0,ROUND(AVERAGE(E30:E43)/100,4))</f>
        <v>0</v>
      </c>
      <c r="AA30" s="2901">
        <f t="shared" ref="AA30" si="74">IF(F30=0,0,ROUND(AVERAGE(F30:F43)/100,4))</f>
        <v>0</v>
      </c>
      <c r="AB30" s="2901">
        <f t="shared" ref="AB30" si="75">IF(G30=0,0,ROUND(AVERAGE(G30:G43)/100,4))</f>
        <v>0</v>
      </c>
      <c r="AC30" s="2903"/>
      <c r="AD30" s="2026">
        <f>IF(I30=0,0,ROUND(AVERAGE(I30:I43)/100,4))</f>
        <v>0</v>
      </c>
    </row>
    <row r="31" spans="1:30" s="2915" customFormat="1" ht="12.75">
      <c r="A31" s="2906" t="s">
        <v>3366</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3" customFormat="1" ht="12.75">
      <c r="A32" s="2038" t="s">
        <v>3361</v>
      </c>
      <c r="B32" s="2029">
        <v>2024</v>
      </c>
      <c r="C32" s="2040">
        <v>3</v>
      </c>
      <c r="D32" s="2005"/>
      <c r="E32" s="2005">
        <v>-0.66</v>
      </c>
      <c r="F32" s="2005">
        <v>-0.52</v>
      </c>
      <c r="G32" s="2005">
        <v>-2.87</v>
      </c>
      <c r="H32" s="2005"/>
      <c r="I32" s="2006">
        <f t="shared" ref="I32" si="83">F32</f>
        <v>-0.52</v>
      </c>
      <c r="J32" s="2905"/>
      <c r="K32" s="2041"/>
      <c r="L32" s="2026">
        <f t="shared" ref="L32" si="84">E32/100</f>
        <v>-6.6E-3</v>
      </c>
      <c r="M32" s="2026">
        <f t="shared" ref="M32" si="85">F32/100</f>
        <v>-5.1999999999999998E-3</v>
      </c>
      <c r="N32" s="2026">
        <f t="shared" ref="N32" si="86">G32/100</f>
        <v>-2.87E-2</v>
      </c>
      <c r="O32" s="2026"/>
      <c r="P32" s="2026">
        <f>M32</f>
        <v>-5.1999999999999998E-3</v>
      </c>
      <c r="Q32" s="2905"/>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5"/>
      <c r="Y32" s="2026"/>
      <c r="Z32" s="2901">
        <f t="shared" ref="Z32:AB33" si="87">IF(E32=0,0,ROUND(AVERAGE(E32:E45)/100,4))</f>
        <v>2.5999999999999999E-3</v>
      </c>
      <c r="AA32" s="2901">
        <f t="shared" si="87"/>
        <v>1.6999999999999999E-3</v>
      </c>
      <c r="AB32" s="2901">
        <f t="shared" si="87"/>
        <v>3.3999999999999998E-3</v>
      </c>
      <c r="AC32" s="2903"/>
      <c r="AD32" s="2026">
        <f>IF(I32=0,0,ROUND(AVERAGE(I32:I45)/100,4))</f>
        <v>1.6999999999999999E-3</v>
      </c>
    </row>
    <row r="33" spans="1:30" s="2043" customFormat="1" ht="12.75">
      <c r="A33" s="2904" t="s">
        <v>3367</v>
      </c>
      <c r="B33" s="2029">
        <v>2024</v>
      </c>
      <c r="C33" s="2040">
        <v>2</v>
      </c>
      <c r="D33" s="2005"/>
      <c r="E33" s="2005">
        <v>-0.31</v>
      </c>
      <c r="F33" s="2005">
        <v>-0.39</v>
      </c>
      <c r="G33" s="2005">
        <v>1.23</v>
      </c>
      <c r="H33" s="2916"/>
      <c r="I33" s="2006">
        <f t="shared" ref="I33:I46" si="88">F33</f>
        <v>-0.39</v>
      </c>
      <c r="J33" s="2905"/>
      <c r="K33" s="2041"/>
      <c r="L33" s="2026">
        <f t="shared" ref="L33:N46" si="89">E33/100</f>
        <v>-3.0999999999999999E-3</v>
      </c>
      <c r="M33" s="2026">
        <f t="shared" si="89"/>
        <v>-3.9000000000000003E-3</v>
      </c>
      <c r="N33" s="2026">
        <f t="shared" si="89"/>
        <v>1.23E-2</v>
      </c>
      <c r="O33" s="2026"/>
      <c r="P33" s="2026">
        <f>M33</f>
        <v>-3.9000000000000003E-3</v>
      </c>
      <c r="Q33" s="2905"/>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5"/>
      <c r="Y33" s="2026"/>
      <c r="Z33" s="2901">
        <f t="shared" si="87"/>
        <v>3.3E-3</v>
      </c>
      <c r="AA33" s="2902">
        <f t="shared" si="87"/>
        <v>2.3999999999999998E-3</v>
      </c>
      <c r="AB33" s="2026">
        <f t="shared" si="87"/>
        <v>6.1999999999999998E-3</v>
      </c>
      <c r="AC33" s="2903"/>
      <c r="AD33" s="2026">
        <f>IF(I33=0,0,ROUND(AVERAGE(I33:I46)/100,4))</f>
        <v>2.3999999999999998E-3</v>
      </c>
    </row>
    <row r="34" spans="1:30" s="2043" customFormat="1" ht="12.75">
      <c r="A34" s="2904" t="s">
        <v>3362</v>
      </c>
      <c r="B34" s="2029">
        <v>2024</v>
      </c>
      <c r="C34" s="2040">
        <v>1</v>
      </c>
      <c r="D34" s="2005"/>
      <c r="E34" s="2005">
        <v>0.25</v>
      </c>
      <c r="F34" s="2005">
        <v>0.4</v>
      </c>
      <c r="G34" s="2005">
        <v>-0.63</v>
      </c>
      <c r="H34" s="2916"/>
      <c r="I34" s="2006">
        <f t="shared" ref="I34:I35" si="90">F34</f>
        <v>0.4</v>
      </c>
      <c r="J34" s="2905"/>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5"/>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5"/>
      <c r="Y34" s="2026"/>
      <c r="Z34" s="2901"/>
      <c r="AA34" s="2902"/>
      <c r="AB34" s="2026"/>
      <c r="AC34" s="2903"/>
      <c r="AD34" s="2026"/>
    </row>
    <row r="35" spans="1:30" s="2043" customFormat="1" ht="12.75">
      <c r="A35" s="2904" t="s">
        <v>3360</v>
      </c>
      <c r="B35" s="2029">
        <v>2023</v>
      </c>
      <c r="C35" s="2040">
        <v>4</v>
      </c>
      <c r="D35" s="2005"/>
      <c r="E35" s="2005">
        <v>7.0000000000000007E-2</v>
      </c>
      <c r="F35" s="2005">
        <v>0.09</v>
      </c>
      <c r="G35" s="2005">
        <v>0.03</v>
      </c>
      <c r="H35" s="2916"/>
      <c r="I35" s="2006">
        <f t="shared" si="90"/>
        <v>0.09</v>
      </c>
      <c r="J35" s="2905"/>
      <c r="K35" s="2041"/>
      <c r="L35" s="2026">
        <f t="shared" si="89"/>
        <v>7.000000000000001E-4</v>
      </c>
      <c r="M35" s="2026">
        <f t="shared" si="89"/>
        <v>8.9999999999999998E-4</v>
      </c>
      <c r="N35" s="2026">
        <f t="shared" si="89"/>
        <v>2.9999999999999997E-4</v>
      </c>
      <c r="O35" s="2026"/>
      <c r="P35" s="2026">
        <f t="shared" ref="P35" si="96">M35</f>
        <v>8.9999999999999998E-4</v>
      </c>
      <c r="Q35" s="2905"/>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5"/>
      <c r="Y35" s="2026"/>
      <c r="Z35" s="2901"/>
      <c r="AA35" s="2902"/>
      <c r="AB35" s="2026"/>
      <c r="AC35" s="2903"/>
      <c r="AD35" s="2026"/>
    </row>
    <row r="36" spans="1:30" s="2043" customFormat="1" ht="12.75">
      <c r="A36" s="2904" t="s">
        <v>3358</v>
      </c>
      <c r="B36" s="2029">
        <v>2023</v>
      </c>
      <c r="C36" s="2040">
        <v>3</v>
      </c>
      <c r="D36" s="2005"/>
      <c r="E36" s="2005">
        <v>0.35</v>
      </c>
      <c r="F36" s="2005">
        <v>0.17</v>
      </c>
      <c r="G36" s="2005">
        <v>0.52</v>
      </c>
      <c r="H36" s="2916"/>
      <c r="I36" s="2006">
        <f t="shared" si="88"/>
        <v>0.17</v>
      </c>
      <c r="J36" s="2905"/>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5"/>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5"/>
      <c r="Y36" s="2026"/>
      <c r="Z36" s="2901"/>
      <c r="AA36" s="2902"/>
      <c r="AB36" s="2026"/>
      <c r="AC36" s="2903"/>
      <c r="AD36" s="2026"/>
    </row>
    <row r="37" spans="1:30" s="2043" customFormat="1" ht="12.75">
      <c r="A37" s="2904" t="s">
        <v>3357</v>
      </c>
      <c r="B37" s="2029">
        <v>2023</v>
      </c>
      <c r="C37" s="2040">
        <v>2</v>
      </c>
      <c r="D37" s="2005"/>
      <c r="E37" s="2005">
        <v>0.5</v>
      </c>
      <c r="F37" s="2005">
        <v>0.45</v>
      </c>
      <c r="G37" s="2005">
        <v>0.89</v>
      </c>
      <c r="H37" s="2916"/>
      <c r="I37" s="2006">
        <f t="shared" si="88"/>
        <v>0.45</v>
      </c>
      <c r="J37" s="2905"/>
      <c r="K37" s="2041"/>
      <c r="L37" s="2026">
        <f t="shared" si="98"/>
        <v>5.0000000000000001E-3</v>
      </c>
      <c r="M37" s="2026">
        <f t="shared" si="99"/>
        <v>4.5000000000000005E-3</v>
      </c>
      <c r="N37" s="2026">
        <f t="shared" si="100"/>
        <v>8.8999999999999999E-3</v>
      </c>
      <c r="O37" s="2026"/>
      <c r="P37" s="2026">
        <f t="shared" si="101"/>
        <v>4.5000000000000005E-3</v>
      </c>
      <c r="Q37" s="2905"/>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5"/>
      <c r="Y37" s="2026"/>
      <c r="Z37" s="2901"/>
      <c r="AA37" s="2902"/>
      <c r="AB37" s="2026"/>
      <c r="AC37" s="2903"/>
      <c r="AD37" s="2026"/>
    </row>
    <row r="38" spans="1:30" s="2043" customFormat="1" ht="12.75">
      <c r="A38" s="2904" t="s">
        <v>3355</v>
      </c>
      <c r="B38" s="2029">
        <v>2023</v>
      </c>
      <c r="C38" s="2040">
        <v>1</v>
      </c>
      <c r="D38" s="2005"/>
      <c r="E38" s="2005">
        <v>0.55000000000000004</v>
      </c>
      <c r="F38" s="2005">
        <v>0.59</v>
      </c>
      <c r="G38" s="2005">
        <v>0.64</v>
      </c>
      <c r="H38" s="2916"/>
      <c r="I38" s="2006">
        <f t="shared" si="88"/>
        <v>0.59</v>
      </c>
      <c r="J38" s="2905"/>
      <c r="K38" s="2041"/>
      <c r="L38" s="2026">
        <f t="shared" si="98"/>
        <v>5.5000000000000005E-3</v>
      </c>
      <c r="M38" s="2026">
        <f t="shared" si="99"/>
        <v>5.8999999999999999E-3</v>
      </c>
      <c r="N38" s="2026">
        <f t="shared" si="100"/>
        <v>6.4000000000000003E-3</v>
      </c>
      <c r="O38" s="2026"/>
      <c r="P38" s="2026">
        <f t="shared" si="101"/>
        <v>5.8999999999999999E-3</v>
      </c>
      <c r="Q38" s="2905"/>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5"/>
      <c r="Y38" s="2026"/>
      <c r="Z38" s="2901"/>
      <c r="AA38" s="2902"/>
      <c r="AB38" s="2026"/>
      <c r="AC38" s="2903"/>
      <c r="AD38" s="2026"/>
    </row>
    <row r="39" spans="1:30" s="2043" customFormat="1" ht="12.75">
      <c r="A39" s="2904" t="s">
        <v>3354</v>
      </c>
      <c r="B39" s="2029">
        <v>2022</v>
      </c>
      <c r="C39" s="2040">
        <v>4</v>
      </c>
      <c r="D39" s="2005"/>
      <c r="E39" s="2005">
        <v>0.45</v>
      </c>
      <c r="F39" s="2005">
        <v>0.2</v>
      </c>
      <c r="G39" s="2005">
        <v>0.38</v>
      </c>
      <c r="H39" s="2916"/>
      <c r="I39" s="2006">
        <f t="shared" si="88"/>
        <v>0.2</v>
      </c>
      <c r="J39" s="2905"/>
      <c r="K39" s="2041"/>
      <c r="L39" s="2026">
        <f t="shared" si="89"/>
        <v>4.5000000000000005E-3</v>
      </c>
      <c r="M39" s="2026">
        <f t="shared" si="89"/>
        <v>2E-3</v>
      </c>
      <c r="N39" s="2026">
        <f t="shared" si="89"/>
        <v>3.8E-3</v>
      </c>
      <c r="O39" s="2026"/>
      <c r="P39" s="2026">
        <f t="shared" ref="P39:P46" si="103">M39</f>
        <v>2E-3</v>
      </c>
      <c r="Q39" s="2905"/>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5"/>
      <c r="Y39" s="2026"/>
      <c r="Z39" s="2901">
        <f t="shared" ref="Z39:AD46" si="105">IF(E39=0,0,ROUND(AVERAGE(E39:E47)/100,4))</f>
        <v>4.0000000000000001E-3</v>
      </c>
      <c r="AA39" s="2902">
        <f t="shared" si="105"/>
        <v>2.5999999999999999E-3</v>
      </c>
      <c r="AB39" s="2026">
        <f t="shared" si="105"/>
        <v>7.4000000000000003E-3</v>
      </c>
      <c r="AC39" s="2903"/>
      <c r="AD39" s="2026">
        <f t="shared" si="105"/>
        <v>2.5999999999999999E-3</v>
      </c>
    </row>
    <row r="40" spans="1:30" s="2043" customFormat="1" ht="12.75">
      <c r="A40" s="2904" t="s">
        <v>3353</v>
      </c>
      <c r="B40" s="2029">
        <v>2022</v>
      </c>
      <c r="C40" s="2040">
        <v>3</v>
      </c>
      <c r="D40" s="2005"/>
      <c r="E40" s="2005">
        <v>0.3</v>
      </c>
      <c r="F40" s="2005">
        <v>0.28999999999999998</v>
      </c>
      <c r="G40" s="2005">
        <v>0.83</v>
      </c>
      <c r="H40" s="2916"/>
      <c r="I40" s="2006">
        <f t="shared" si="88"/>
        <v>0.28999999999999998</v>
      </c>
      <c r="J40" s="2905"/>
      <c r="K40" s="2041"/>
      <c r="L40" s="2026">
        <f t="shared" si="89"/>
        <v>3.0000000000000001E-3</v>
      </c>
      <c r="M40" s="2026">
        <f t="shared" si="89"/>
        <v>2.8999999999999998E-3</v>
      </c>
      <c r="N40" s="2026">
        <f t="shared" si="89"/>
        <v>8.3000000000000001E-3</v>
      </c>
      <c r="O40" s="2026"/>
      <c r="P40" s="2026">
        <f t="shared" si="103"/>
        <v>2.8999999999999998E-3</v>
      </c>
      <c r="Q40" s="2905"/>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5"/>
      <c r="Y40" s="2026"/>
      <c r="Z40" s="2901">
        <f t="shared" si="105"/>
        <v>3.8999999999999998E-3</v>
      </c>
      <c r="AA40" s="2902">
        <f t="shared" si="105"/>
        <v>2.7000000000000001E-3</v>
      </c>
      <c r="AB40" s="2026">
        <f t="shared" si="105"/>
        <v>7.9000000000000008E-3</v>
      </c>
      <c r="AC40" s="2903"/>
      <c r="AD40" s="2026">
        <f t="shared" si="105"/>
        <v>2.7000000000000001E-3</v>
      </c>
    </row>
    <row r="41" spans="1:30" s="2043" customFormat="1" ht="12.75">
      <c r="A41" s="2904" t="s">
        <v>3343</v>
      </c>
      <c r="B41" s="2029">
        <v>2022</v>
      </c>
      <c r="C41" s="2040">
        <v>2</v>
      </c>
      <c r="D41" s="2005"/>
      <c r="E41" s="2005">
        <v>-0.11</v>
      </c>
      <c r="F41" s="2005">
        <v>-0.13</v>
      </c>
      <c r="G41" s="2005">
        <v>0.53</v>
      </c>
      <c r="H41" s="2916"/>
      <c r="I41" s="2006">
        <f t="shared" si="88"/>
        <v>-0.13</v>
      </c>
      <c r="J41" s="2905"/>
      <c r="K41" s="2041"/>
      <c r="L41" s="2026">
        <f t="shared" si="89"/>
        <v>-1.1000000000000001E-3</v>
      </c>
      <c r="M41" s="2026">
        <f t="shared" si="89"/>
        <v>-1.2999999999999999E-3</v>
      </c>
      <c r="N41" s="2026">
        <f t="shared" si="89"/>
        <v>5.3E-3</v>
      </c>
      <c r="O41" s="2026"/>
      <c r="P41" s="2026">
        <f t="shared" si="103"/>
        <v>-1.2999999999999999E-3</v>
      </c>
      <c r="Q41" s="2905"/>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5"/>
      <c r="Y41" s="2026"/>
      <c r="Z41" s="2901">
        <f t="shared" si="105"/>
        <v>4.1000000000000003E-3</v>
      </c>
      <c r="AA41" s="2902">
        <f t="shared" si="105"/>
        <v>2.7000000000000001E-3</v>
      </c>
      <c r="AB41" s="2026">
        <f t="shared" si="105"/>
        <v>7.9000000000000008E-3</v>
      </c>
      <c r="AC41" s="2903"/>
      <c r="AD41" s="2026">
        <f t="shared" si="105"/>
        <v>2.7000000000000001E-3</v>
      </c>
    </row>
    <row r="42" spans="1:30" s="2043" customFormat="1" ht="12.75">
      <c r="A42" s="2904" t="s">
        <v>2824</v>
      </c>
      <c r="B42" s="2029">
        <v>2022</v>
      </c>
      <c r="C42" s="2040">
        <v>1</v>
      </c>
      <c r="D42" s="2005"/>
      <c r="E42" s="2005">
        <v>0.6</v>
      </c>
      <c r="F42" s="2005">
        <v>0.45</v>
      </c>
      <c r="G42" s="2005">
        <v>0.53</v>
      </c>
      <c r="H42" s="2916"/>
      <c r="I42" s="2006">
        <f t="shared" si="88"/>
        <v>0.45</v>
      </c>
      <c r="J42" s="2905"/>
      <c r="K42" s="2041"/>
      <c r="L42" s="2026">
        <f t="shared" si="89"/>
        <v>6.0000000000000001E-3</v>
      </c>
      <c r="M42" s="2026">
        <f t="shared" si="89"/>
        <v>4.5000000000000005E-3</v>
      </c>
      <c r="N42" s="2026">
        <f t="shared" si="89"/>
        <v>5.3E-3</v>
      </c>
      <c r="O42" s="2026"/>
      <c r="P42" s="2026">
        <f t="shared" si="103"/>
        <v>4.5000000000000005E-3</v>
      </c>
      <c r="Q42" s="2905"/>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5"/>
      <c r="Y42" s="2026"/>
      <c r="Z42" s="2901">
        <f t="shared" si="105"/>
        <v>5.1000000000000004E-3</v>
      </c>
      <c r="AA42" s="2902">
        <f t="shared" si="105"/>
        <v>3.5000000000000001E-3</v>
      </c>
      <c r="AB42" s="2026">
        <f t="shared" si="105"/>
        <v>8.3999999999999995E-3</v>
      </c>
      <c r="AC42" s="2903"/>
      <c r="AD42" s="2026">
        <f t="shared" si="105"/>
        <v>3.5000000000000001E-3</v>
      </c>
    </row>
    <row r="43" spans="1:30" s="2043" customFormat="1" ht="12.75">
      <c r="A43" s="2904" t="s">
        <v>2825</v>
      </c>
      <c r="B43" s="2029">
        <v>2021</v>
      </c>
      <c r="C43" s="2040">
        <v>4</v>
      </c>
      <c r="D43" s="2005"/>
      <c r="E43" s="2005">
        <v>0.57999999999999996</v>
      </c>
      <c r="F43" s="2005">
        <v>0.08</v>
      </c>
      <c r="G43" s="2005">
        <v>0.68</v>
      </c>
      <c r="H43" s="2916"/>
      <c r="I43" s="2006">
        <f t="shared" si="88"/>
        <v>0.08</v>
      </c>
      <c r="J43" s="2905"/>
      <c r="K43" s="2041"/>
      <c r="L43" s="2026">
        <f t="shared" si="89"/>
        <v>5.7999999999999996E-3</v>
      </c>
      <c r="M43" s="2026">
        <f t="shared" si="89"/>
        <v>8.0000000000000004E-4</v>
      </c>
      <c r="N43" s="2026">
        <f t="shared" si="89"/>
        <v>6.8000000000000005E-3</v>
      </c>
      <c r="O43" s="2026"/>
      <c r="P43" s="2026">
        <f t="shared" si="103"/>
        <v>8.0000000000000004E-4</v>
      </c>
      <c r="Q43" s="2905"/>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5"/>
      <c r="Y43" s="2026"/>
      <c r="Z43" s="2901">
        <f t="shared" si="105"/>
        <v>4.8999999999999998E-3</v>
      </c>
      <c r="AA43" s="2902">
        <f t="shared" si="105"/>
        <v>3.3E-3</v>
      </c>
      <c r="AB43" s="2026">
        <f t="shared" si="105"/>
        <v>9.1999999999999998E-3</v>
      </c>
      <c r="AC43" s="2903"/>
      <c r="AD43" s="2026">
        <f t="shared" si="105"/>
        <v>3.3E-3</v>
      </c>
    </row>
    <row r="44" spans="1:30" s="2043" customFormat="1" ht="12.75">
      <c r="A44" s="2904" t="s">
        <v>2826</v>
      </c>
      <c r="B44" s="2029">
        <v>2021</v>
      </c>
      <c r="C44" s="2040">
        <v>3</v>
      </c>
      <c r="D44" s="2005"/>
      <c r="E44" s="2005">
        <v>0.47</v>
      </c>
      <c r="F44" s="2005">
        <v>0.28000000000000003</v>
      </c>
      <c r="G44" s="2005">
        <v>0.91</v>
      </c>
      <c r="H44" s="2916"/>
      <c r="I44" s="2006">
        <f t="shared" si="88"/>
        <v>0.28000000000000003</v>
      </c>
      <c r="J44" s="2905"/>
      <c r="K44" s="2041"/>
      <c r="L44" s="2026">
        <f t="shared" si="89"/>
        <v>4.6999999999999993E-3</v>
      </c>
      <c r="M44" s="2026">
        <f t="shared" si="89"/>
        <v>2.8000000000000004E-3</v>
      </c>
      <c r="N44" s="2026">
        <f t="shared" si="89"/>
        <v>9.1000000000000004E-3</v>
      </c>
      <c r="O44" s="2026"/>
      <c r="P44" s="2026">
        <f t="shared" si="103"/>
        <v>2.8000000000000004E-3</v>
      </c>
      <c r="Q44" s="2905"/>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5"/>
      <c r="Y44" s="2026"/>
      <c r="Z44" s="2901">
        <f t="shared" si="105"/>
        <v>4.5999999999999999E-3</v>
      </c>
      <c r="AA44" s="2902">
        <f t="shared" si="105"/>
        <v>4.1000000000000003E-3</v>
      </c>
      <c r="AB44" s="2026">
        <f t="shared" si="105"/>
        <v>0.01</v>
      </c>
      <c r="AC44" s="2903"/>
      <c r="AD44" s="2026">
        <f t="shared" si="105"/>
        <v>4.1000000000000003E-3</v>
      </c>
    </row>
    <row r="45" spans="1:30" s="2043" customFormat="1" ht="12.75">
      <c r="A45" s="2904" t="s">
        <v>2827</v>
      </c>
      <c r="B45" s="2029">
        <v>2021</v>
      </c>
      <c r="C45" s="2040">
        <v>2</v>
      </c>
      <c r="D45" s="2005"/>
      <c r="E45" s="2005">
        <v>0.55000000000000004</v>
      </c>
      <c r="F45" s="2005">
        <v>0.46</v>
      </c>
      <c r="G45" s="2005">
        <v>1.1000000000000001</v>
      </c>
      <c r="H45" s="2916"/>
      <c r="I45" s="2006">
        <f t="shared" si="88"/>
        <v>0.46</v>
      </c>
      <c r="J45" s="2905"/>
      <c r="K45" s="2041"/>
      <c r="L45" s="2026">
        <f t="shared" si="89"/>
        <v>5.5000000000000005E-3</v>
      </c>
      <c r="M45" s="2026">
        <f t="shared" si="89"/>
        <v>4.5999999999999999E-3</v>
      </c>
      <c r="N45" s="2026">
        <f t="shared" si="89"/>
        <v>1.1000000000000001E-2</v>
      </c>
      <c r="O45" s="2026"/>
      <c r="P45" s="2026">
        <f t="shared" si="103"/>
        <v>4.5999999999999999E-3</v>
      </c>
      <c r="Q45" s="2905"/>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5"/>
      <c r="Y45" s="2026"/>
      <c r="Z45" s="2901">
        <f t="shared" si="105"/>
        <v>4.4999999999999997E-3</v>
      </c>
      <c r="AA45" s="2902">
        <f t="shared" si="105"/>
        <v>4.7000000000000002E-3</v>
      </c>
      <c r="AB45" s="2026">
        <f t="shared" si="105"/>
        <v>1.04E-2</v>
      </c>
      <c r="AC45" s="2903"/>
      <c r="AD45" s="2026">
        <f t="shared" si="105"/>
        <v>4.7000000000000002E-3</v>
      </c>
    </row>
    <row r="46" spans="1:30" s="2927" customFormat="1" thickBot="1">
      <c r="A46" s="2917" t="s">
        <v>2813</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08" customFormat="1" ht="14.25" thickBot="1">
      <c r="B2" s="2009" t="s">
        <v>458</v>
      </c>
      <c r="C2" s="2009" t="s">
        <v>459</v>
      </c>
      <c r="D2" s="2010" t="s">
        <v>460</v>
      </c>
      <c r="E2" s="2010" t="s">
        <v>461</v>
      </c>
      <c r="F2" s="2009" t="s">
        <v>462</v>
      </c>
      <c r="G2" s="2011"/>
      <c r="I2" s="2009" t="s">
        <v>458</v>
      </c>
      <c r="J2" s="2010" t="s">
        <v>674</v>
      </c>
      <c r="K2" s="2010" t="s">
        <v>308</v>
      </c>
      <c r="L2" s="2009" t="s">
        <v>462</v>
      </c>
      <c r="N2" s="2009" t="s">
        <v>458</v>
      </c>
      <c r="O2" s="2010" t="s">
        <v>674</v>
      </c>
      <c r="P2" s="2010" t="s">
        <v>308</v>
      </c>
      <c r="Q2" s="2009" t="s">
        <v>462</v>
      </c>
      <c r="S2" s="2009" t="s">
        <v>458</v>
      </c>
      <c r="T2" s="2010" t="s">
        <v>674</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2112</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2113</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3349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2425</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2302</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2301</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2300</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2297</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2296</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2128</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2126</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2125</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2124</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2122</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2121</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2123</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2119</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2118</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2111</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2109</v>
      </c>
      <c r="B25" s="2047">
        <v>439</v>
      </c>
      <c r="C25" s="2047">
        <v>327</v>
      </c>
      <c r="D25" s="2047">
        <f>C25</f>
        <v>327</v>
      </c>
      <c r="E25" s="2047">
        <v>627</v>
      </c>
      <c r="F25" s="2048">
        <v>283</v>
      </c>
      <c r="G25" s="349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2110</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675</v>
      </c>
      <c r="B27" s="2039">
        <f t="shared" si="232"/>
        <v>419.31181600000002</v>
      </c>
      <c r="C27" s="2039">
        <f t="shared" si="233"/>
        <v>313.95436800000004</v>
      </c>
      <c r="D27" s="2039">
        <f t="shared" si="234"/>
        <v>313.95436800000004</v>
      </c>
      <c r="E27" s="2039">
        <f t="shared" si="235"/>
        <v>596.63028431999999</v>
      </c>
      <c r="F27" s="2039">
        <f t="shared" si="236"/>
        <v>274.74220703999998</v>
      </c>
      <c r="G27" s="349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估价结果一览表</v>
      </c>
      <c r="B1" s="3174"/>
      <c r="C1" s="3174"/>
      <c r="D1" s="3174"/>
      <c r="E1" s="3174"/>
      <c r="F1" s="3174"/>
      <c r="G1" s="3174"/>
      <c r="H1" s="3174"/>
      <c r="I1" s="3174"/>
    </row>
    <row r="2" spans="1:9" ht="30" customHeight="1" thickTop="1">
      <c r="A2" s="3175" t="s">
        <v>926</v>
      </c>
      <c r="B2" s="3175" t="s">
        <v>927</v>
      </c>
      <c r="C2" s="3175" t="s">
        <v>928</v>
      </c>
      <c r="D2" s="3175" t="str">
        <f>'结果表-住宅'!D116</f>
        <v>出让国有建设用地使用权价值</v>
      </c>
      <c r="E2" s="3175"/>
      <c r="F2" s="3175" t="str">
        <f>'结果表-住宅'!F116</f>
        <v>在建建筑物价值</v>
      </c>
      <c r="G2" s="3175"/>
      <c r="H2" s="3175" t="str">
        <f>IF(项目基本情况!B9="房地产市场价值","房地产市场价值","房地产价值")</f>
        <v>房地产市场价值</v>
      </c>
      <c r="I2" s="3175"/>
    </row>
    <row r="3" spans="1:9" ht="15">
      <c r="A3" s="3176"/>
      <c r="B3" s="3176"/>
      <c r="C3" s="3176"/>
      <c r="D3" s="801" t="s">
        <v>923</v>
      </c>
      <c r="E3" s="801" t="s">
        <v>929</v>
      </c>
      <c r="F3" s="801" t="s">
        <v>923</v>
      </c>
      <c r="G3" s="801" t="s">
        <v>924</v>
      </c>
      <c r="H3" s="801" t="s">
        <v>923</v>
      </c>
      <c r="I3" s="801" t="s">
        <v>924</v>
      </c>
    </row>
    <row r="4" spans="1:9" ht="15">
      <c r="A4" s="1403" t="str">
        <f>项目基本情况!S2</f>
        <v>北京市房地产</v>
      </c>
      <c r="B4" s="801">
        <f>项目基本情况!C17</f>
        <v>155425.82999999999</v>
      </c>
      <c r="C4" s="801">
        <f>项目基本情况!C18</f>
        <v>0</v>
      </c>
      <c r="D4" s="801" t="e">
        <f ca="1">'结果表-住宅'!D118</f>
        <v>#REF!</v>
      </c>
      <c r="E4" s="801" t="e">
        <f ca="1">'结果表-住宅'!E118</f>
        <v>#REF!</v>
      </c>
      <c r="F4" s="801" t="e">
        <f ca="1">'结果表-住宅'!F118</f>
        <v>#REF!</v>
      </c>
      <c r="G4" s="801" t="e">
        <f ca="1">'结果表-住宅'!G118</f>
        <v>#REF!</v>
      </c>
      <c r="H4" s="801">
        <f ca="1">'结果表-住宅'!H118</f>
        <v>346733</v>
      </c>
      <c r="I4" s="801">
        <f ca="1">'结果表-住宅'!I118</f>
        <v>26668</v>
      </c>
    </row>
    <row r="5" spans="1:9" ht="30" customHeight="1">
      <c r="A5" s="3176" t="s">
        <v>925</v>
      </c>
      <c r="B5" s="3176"/>
      <c r="C5" s="3176"/>
      <c r="D5" s="3176" t="e">
        <f ca="1">'结果表-住宅'!D119</f>
        <v>#REF!</v>
      </c>
      <c r="E5" s="3176"/>
      <c r="F5" s="3176" t="e">
        <f ca="1">'结果表-住宅'!F119</f>
        <v>#REF!</v>
      </c>
      <c r="G5" s="3176"/>
      <c r="H5" s="3176" t="str">
        <f ca="1">'结果表-住宅'!H119</f>
        <v>叁拾肆亿陆仟柒佰叁拾叁万元整</v>
      </c>
      <c r="I5" s="3176"/>
    </row>
    <row r="6" spans="1:9" ht="15.75">
      <c r="A6" s="3177" t="str">
        <f>'结果表-住宅'!A120</f>
        <v/>
      </c>
      <c r="B6" s="3177"/>
      <c r="C6" s="3177"/>
      <c r="D6" s="3177">
        <f>'结果表-住宅'!D120</f>
        <v>0</v>
      </c>
      <c r="E6" s="3177"/>
      <c r="F6" s="3177"/>
      <c r="G6" s="3177"/>
      <c r="H6" s="3177"/>
      <c r="I6" s="3177"/>
    </row>
    <row r="7" spans="1:9" ht="15">
      <c r="A7" s="3176" t="s">
        <v>925</v>
      </c>
      <c r="B7" s="3176"/>
      <c r="C7" s="3176"/>
      <c r="D7" s="3178" t="str">
        <f>'结果表-住宅'!D121</f>
        <v>零元整</v>
      </c>
      <c r="E7" s="3179"/>
      <c r="F7" s="3179"/>
      <c r="G7" s="3179"/>
      <c r="H7" s="3179"/>
      <c r="I7" s="3180"/>
    </row>
    <row r="8" spans="1:9" ht="15.75">
      <c r="A8" s="3177" t="str">
        <f>'结果表-住宅'!A122</f>
        <v/>
      </c>
      <c r="B8" s="3177"/>
      <c r="C8" s="3177"/>
      <c r="D8" s="3177">
        <f ca="1">'结果表-住宅'!D122</f>
        <v>346733</v>
      </c>
      <c r="E8" s="3177"/>
      <c r="F8" s="3177"/>
      <c r="G8" s="3177"/>
      <c r="H8" s="3177"/>
      <c r="I8" s="3177"/>
    </row>
    <row r="9" spans="1:9" ht="15">
      <c r="A9" s="3176" t="s">
        <v>925</v>
      </c>
      <c r="B9" s="3176"/>
      <c r="C9" s="3176"/>
      <c r="D9" s="3176" t="str">
        <f ca="1">'结果表-住宅'!D123</f>
        <v>叁拾肆亿陆仟柒佰叁拾叁万元整</v>
      </c>
      <c r="E9" s="3176"/>
      <c r="F9" s="3176"/>
      <c r="G9" s="3176"/>
      <c r="H9" s="3176"/>
      <c r="I9" s="3176"/>
    </row>
    <row r="10" spans="1:9" ht="15.75">
      <c r="A10" s="3177" t="str">
        <f>'结果表-住宅'!A124</f>
        <v/>
      </c>
      <c r="B10" s="3177"/>
      <c r="C10" s="3177"/>
      <c r="D10" s="3177" t="str">
        <f>'结果表-住宅'!D124</f>
        <v>——</v>
      </c>
      <c r="E10" s="3177"/>
      <c r="F10" s="3177"/>
      <c r="G10" s="3177"/>
      <c r="H10" s="3177"/>
      <c r="I10" s="3177"/>
    </row>
    <row r="11" spans="1:9" ht="15">
      <c r="A11" s="3176" t="s">
        <v>925</v>
      </c>
      <c r="B11" s="3176"/>
      <c r="C11" s="3176"/>
      <c r="D11" s="3176" t="e">
        <f>'结果表-住宅'!D125</f>
        <v>#VALUE!</v>
      </c>
      <c r="E11" s="3176"/>
      <c r="F11" s="3176"/>
      <c r="G11" s="3176"/>
      <c r="H11" s="3176"/>
      <c r="I11" s="3176"/>
    </row>
    <row r="12" spans="1:9" ht="15.75">
      <c r="A12" s="3177" t="str">
        <f>'结果表-住宅'!A126</f>
        <v/>
      </c>
      <c r="B12" s="3177"/>
      <c r="C12" s="3177"/>
      <c r="D12" s="3177" t="str">
        <f>'结果表-住宅'!D126</f>
        <v>——</v>
      </c>
      <c r="E12" s="3177"/>
      <c r="F12" s="3177"/>
      <c r="G12" s="3177"/>
      <c r="H12" s="3177"/>
      <c r="I12" s="3177"/>
    </row>
    <row r="13" spans="1:9" ht="15.75" thickBot="1">
      <c r="A13" s="3181" t="s">
        <v>925</v>
      </c>
      <c r="B13" s="3181"/>
      <c r="C13" s="3181"/>
      <c r="D13" s="3181" t="e">
        <f>'结果表-住宅'!D127</f>
        <v>#VALUE!</v>
      </c>
      <c r="E13" s="3181"/>
      <c r="F13" s="3181"/>
      <c r="G13" s="3181"/>
      <c r="H13" s="3181"/>
      <c r="I13" s="3181"/>
    </row>
    <row r="14" spans="1:9" ht="15" thickTop="1">
      <c r="A14" s="3182" t="s">
        <v>930</v>
      </c>
      <c r="B14" s="3182"/>
      <c r="C14" s="3182"/>
      <c r="D14" s="3182"/>
      <c r="E14" s="3182"/>
      <c r="F14" s="3182"/>
      <c r="G14" s="3182"/>
      <c r="H14" s="3182"/>
      <c r="I14" s="3182"/>
    </row>
    <row r="16" spans="1:9" ht="18.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I8" sqref="I8:J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45741</v>
      </c>
      <c r="D1" s="1217" t="s">
        <v>603</v>
      </c>
      <c r="E1" s="1212">
        <f>'数据-取费表'!B22</f>
        <v>2.5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2298</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947</v>
      </c>
      <c r="B1" s="3183"/>
      <c r="C1" s="3183"/>
      <c r="D1" s="3183"/>
    </row>
    <row r="2" spans="1:4" ht="18">
      <c r="A2" s="3184" t="s">
        <v>931</v>
      </c>
      <c r="B2" s="3184"/>
      <c r="C2" s="3184"/>
      <c r="D2" s="3184"/>
    </row>
    <row r="3" spans="1:4" ht="18.75">
      <c r="A3" s="1407" t="s">
        <v>932</v>
      </c>
      <c r="B3" s="1407" t="s">
        <v>933</v>
      </c>
      <c r="C3" s="1407" t="s">
        <v>934</v>
      </c>
      <c r="D3" s="1407" t="s">
        <v>935</v>
      </c>
    </row>
    <row r="4" spans="1:4" ht="56.25" customHeight="1">
      <c r="A4" s="1408">
        <f>项目基本情况!B4</f>
        <v>0</v>
      </c>
      <c r="B4" s="1409">
        <f>项目基本情况!C4</f>
        <v>0</v>
      </c>
      <c r="C4" s="1410"/>
      <c r="D4" s="1411" t="s">
        <v>936</v>
      </c>
    </row>
    <row r="5" spans="1:4" ht="56.25" customHeight="1">
      <c r="A5" s="1408">
        <f>项目基本情况!D4</f>
        <v>0</v>
      </c>
      <c r="B5" s="1409">
        <f>项目基本情况!E4</f>
        <v>0</v>
      </c>
      <c r="C5" s="1412"/>
      <c r="D5" s="1411" t="s">
        <v>936</v>
      </c>
    </row>
    <row r="6" spans="1:4" ht="18">
      <c r="A6" s="3184" t="s">
        <v>937</v>
      </c>
      <c r="B6" s="3184"/>
      <c r="C6" s="3184"/>
      <c r="D6" s="3184"/>
    </row>
    <row r="7" spans="1:4" ht="18.75">
      <c r="A7" s="1407" t="s">
        <v>932</v>
      </c>
      <c r="B7" s="1409" t="s">
        <v>938</v>
      </c>
      <c r="C7" s="1407" t="s">
        <v>934</v>
      </c>
      <c r="D7" s="1407" t="s">
        <v>935</v>
      </c>
    </row>
    <row r="8" spans="1:4" ht="56.25" customHeight="1">
      <c r="A8" s="1413" t="s">
        <v>390</v>
      </c>
      <c r="B8" s="1413" t="s">
        <v>0</v>
      </c>
      <c r="C8" s="1410"/>
      <c r="D8" s="1411" t="s">
        <v>936</v>
      </c>
    </row>
    <row r="10" spans="1:4" ht="18.75">
      <c r="A10" s="1414" t="s">
        <v>939</v>
      </c>
    </row>
    <row r="11" spans="1:4" ht="30" customHeight="1">
      <c r="A11" s="3185" t="s">
        <v>940</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7"/>
      <c r="C12" s="3187"/>
      <c r="D12" s="3187"/>
    </row>
    <row r="13" spans="1:4" ht="30" customHeight="1">
      <c r="A13" s="3186" t="str">
        <f>IF(项目基本情况!B8="抵押","3.抵押双方在办理抵押登记手续时，应使用本公司出具的正式《房地产评估报告》，特提醒报告使用者注意。","——")</f>
        <v>——</v>
      </c>
      <c r="B13" s="3187"/>
      <c r="C13" s="3187"/>
      <c r="D13" s="3187"/>
    </row>
    <row r="14" spans="1:4" ht="15.75" customHeight="1">
      <c r="A14" s="3186" t="str">
        <f>IF(项目基本情况!B8="抵押","4.本次评估估价师所知悉的法定优先受偿款情况说明如下：","——")</f>
        <v>——</v>
      </c>
      <c r="B14" s="3187"/>
      <c r="C14" s="3187"/>
      <c r="D14" s="3187"/>
    </row>
    <row r="15" spans="1:4" ht="42" customHeight="1">
      <c r="A15" s="3186" t="str">
        <f>IF(项目基本情况!B8="抵押","（1）"&amp;CONCATENATE(项目基本情况!L20,项目基本情况!L21,项目基本情况!L22),"——")</f>
        <v>——</v>
      </c>
      <c r="B15" s="3186"/>
      <c r="C15" s="3186"/>
      <c r="D15" s="3186"/>
    </row>
    <row r="16" spans="1:4" ht="30" customHeight="1">
      <c r="A16" s="3189" t="s">
        <v>941</v>
      </c>
      <c r="B16" s="3189"/>
      <c r="C16" s="3189"/>
      <c r="D16" s="3189"/>
    </row>
    <row r="17" spans="1:4" ht="144" customHeight="1">
      <c r="A17" s="3189" t="s">
        <v>942</v>
      </c>
      <c r="B17" s="3189"/>
      <c r="C17" s="3189"/>
      <c r="D17" s="3189"/>
    </row>
    <row r="18" spans="1:4" ht="15.75" customHeight="1">
      <c r="A18" s="3186" t="str">
        <f>IF(项目基本情况!B8="抵押",'结果表-住宅'!K120,"——")</f>
        <v>——</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943</v>
      </c>
      <c r="B22" s="3191"/>
      <c r="C22" s="3191"/>
      <c r="D22" s="3191"/>
    </row>
    <row r="23" spans="1:4">
      <c r="A23" s="1415"/>
      <c r="B23" s="459"/>
      <c r="C23" s="459"/>
      <c r="D23" s="459"/>
    </row>
    <row r="24" spans="1:4">
      <c r="A24" s="1415"/>
      <c r="B24" s="459"/>
      <c r="C24" s="459"/>
      <c r="D24" s="459"/>
    </row>
    <row r="25" spans="1:4" ht="18.75">
      <c r="A25" s="1416" t="s">
        <v>944</v>
      </c>
    </row>
    <row r="26" spans="1:4" ht="18">
      <c r="A26" s="1387"/>
    </row>
    <row r="27" spans="1:4" ht="18.75">
      <c r="A27" s="1387" t="s">
        <v>945</v>
      </c>
    </row>
    <row r="30" spans="1:4" ht="18.75">
      <c r="D30" s="1416" t="s">
        <v>946</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3.5">
      <c r="A15" s="3197" t="s">
        <v>954</v>
      </c>
      <c r="B15" s="3192" t="s">
        <v>109</v>
      </c>
      <c r="C15" s="3193"/>
    </row>
    <row r="16" spans="1:7" ht="13.5">
      <c r="A16" s="3198"/>
      <c r="B16" s="3192" t="s">
        <v>42</v>
      </c>
      <c r="C16" s="3193"/>
    </row>
    <row r="17" spans="1:3" ht="13.5">
      <c r="A17" s="3198"/>
      <c r="B17" s="3195" t="s">
        <v>955</v>
      </c>
      <c r="C17" s="1429" t="s">
        <v>954</v>
      </c>
    </row>
    <row r="18" spans="1:3" ht="13.5">
      <c r="A18" s="3198"/>
      <c r="B18" s="3195"/>
      <c r="C18" s="1429" t="s">
        <v>956</v>
      </c>
    </row>
    <row r="19" spans="1:3" ht="13.5">
      <c r="A19" s="3198"/>
      <c r="B19" s="3195"/>
      <c r="C19" s="1429" t="s">
        <v>957</v>
      </c>
    </row>
    <row r="20" spans="1:3" ht="13.5">
      <c r="A20" s="3199"/>
      <c r="B20" s="3194" t="s">
        <v>958</v>
      </c>
      <c r="C20" s="3193"/>
    </row>
    <row r="21" spans="1:3" ht="13.5">
      <c r="A21" s="1430" t="s">
        <v>959</v>
      </c>
      <c r="B21" s="1431"/>
      <c r="C21" s="1432"/>
    </row>
    <row r="22" spans="1:3" ht="13.5">
      <c r="A22" s="3196" t="s">
        <v>960</v>
      </c>
      <c r="B22" s="3194" t="s">
        <v>961</v>
      </c>
      <c r="C22" s="3193"/>
    </row>
    <row r="23" spans="1:3" ht="13.5">
      <c r="A23" s="3196"/>
      <c r="B23" s="3194" t="s">
        <v>962</v>
      </c>
      <c r="C23" s="3193"/>
    </row>
    <row r="24" spans="1:3" ht="13.5">
      <c r="A24" s="3196"/>
      <c r="B24" s="3194" t="s">
        <v>963</v>
      </c>
      <c r="C24" s="3193"/>
    </row>
    <row r="25" spans="1:3" ht="13.5">
      <c r="A25" s="3196"/>
      <c r="B25" s="3195" t="s">
        <v>964</v>
      </c>
      <c r="C25" s="1429" t="s">
        <v>965</v>
      </c>
    </row>
    <row r="26" spans="1:3" ht="13.5">
      <c r="A26" s="3196"/>
      <c r="B26" s="3195"/>
      <c r="C26" s="1429" t="s">
        <v>966</v>
      </c>
    </row>
    <row r="27" spans="1:3" ht="13.5">
      <c r="A27" s="3196"/>
      <c r="B27" s="3195"/>
      <c r="C27" s="1429" t="s">
        <v>967</v>
      </c>
    </row>
    <row r="28" spans="1:3" ht="13.5">
      <c r="A28" s="3196"/>
      <c r="B28" s="3195"/>
      <c r="C28" s="1429" t="s">
        <v>968</v>
      </c>
    </row>
    <row r="29" spans="1:3" ht="13.5">
      <c r="A29" s="3196"/>
      <c r="B29" s="3195"/>
      <c r="C29" s="1429" t="s">
        <v>969</v>
      </c>
    </row>
    <row r="30" spans="1:3" ht="13.5">
      <c r="A30" s="3196"/>
      <c r="B30" s="3195"/>
      <c r="C30" s="1429" t="s">
        <v>970</v>
      </c>
    </row>
    <row r="31" spans="1:3" ht="13.5">
      <c r="A31" s="3196"/>
      <c r="B31" s="3195"/>
      <c r="C31" s="1429" t="s">
        <v>971</v>
      </c>
    </row>
    <row r="32" spans="1:3" ht="13.5">
      <c r="A32" s="3196"/>
      <c r="B32" s="3195"/>
      <c r="C32" s="1429" t="s">
        <v>972</v>
      </c>
    </row>
    <row r="33" spans="1:3" ht="13.5">
      <c r="A33" s="3196"/>
      <c r="B33" s="3195"/>
      <c r="C33" s="1429" t="s">
        <v>973</v>
      </c>
    </row>
    <row r="34" spans="1:3">
      <c r="A34" s="1433" t="s">
        <v>49</v>
      </c>
    </row>
    <row r="37" spans="1:3">
      <c r="A37" s="1433" t="s">
        <v>974</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2137</v>
      </c>
      <c r="B2" s="2155">
        <f ca="1">TODAY()</f>
        <v>45744</v>
      </c>
      <c r="C2" s="2156" t="s">
        <v>2138</v>
      </c>
      <c r="D2" s="2156"/>
      <c r="E2" s="2156"/>
      <c r="F2" s="2152"/>
      <c r="G2" s="2152"/>
      <c r="H2" s="2152"/>
    </row>
    <row r="3" spans="1:8" ht="24" customHeight="1">
      <c r="A3" s="2157" t="s">
        <v>2139</v>
      </c>
      <c r="B3" s="1219" t="s">
        <v>2140</v>
      </c>
      <c r="C3" s="1219" t="s">
        <v>2141</v>
      </c>
      <c r="D3" s="2158" t="s">
        <v>2142</v>
      </c>
      <c r="E3" s="2159" t="s">
        <v>2143</v>
      </c>
      <c r="F3" s="1219" t="s">
        <v>2144</v>
      </c>
      <c r="G3" s="1219" t="s">
        <v>2141</v>
      </c>
      <c r="H3" s="2158" t="s">
        <v>2145</v>
      </c>
    </row>
    <row r="4" spans="1:8" ht="24" customHeight="1">
      <c r="A4" s="1219" t="s">
        <v>2146</v>
      </c>
      <c r="B4" s="1219">
        <f ca="1">IF(C4&lt;B2,"已过期",1119970066)</f>
        <v>1119970066</v>
      </c>
      <c r="C4" s="2160">
        <v>45937</v>
      </c>
      <c r="D4" s="2161" t="str">
        <f ca="1">A4&amp;"（注册号："&amp;B4&amp;"）"</f>
        <v>梁津（注册号：1119970066）</v>
      </c>
      <c r="E4" s="2162" t="s">
        <v>2146</v>
      </c>
      <c r="F4" s="1219">
        <f ca="1">IF(G4&lt;B2,"已过期",96010014)</f>
        <v>96010014</v>
      </c>
      <c r="G4" s="2163">
        <v>47118</v>
      </c>
      <c r="H4" s="2164" t="str">
        <f ca="1">E4&amp;"（注册号："&amp;F4&amp;"）"</f>
        <v>梁津（注册号：96010014）</v>
      </c>
    </row>
    <row r="5" spans="1:8" ht="24" customHeight="1">
      <c r="A5" s="1219" t="s">
        <v>2147</v>
      </c>
      <c r="B5" s="1219">
        <f ca="1">IF(C5&lt;B2,"已过期",1119970111)</f>
        <v>1119970111</v>
      </c>
      <c r="C5" s="2160">
        <v>45937</v>
      </c>
      <c r="D5" s="2161" t="str">
        <f t="shared" ref="D5:D15" ca="1" si="0">A5&amp;"（注册号："&amp;B5&amp;"）"</f>
        <v>叶凌（注册号：1119970111）</v>
      </c>
      <c r="E5" s="2162" t="s">
        <v>2147</v>
      </c>
      <c r="F5" s="1219">
        <f ca="1">IF(G5&lt;B2,"已过期",94010078)</f>
        <v>94010078</v>
      </c>
      <c r="G5" s="2163">
        <v>46387</v>
      </c>
      <c r="H5" s="2164" t="str">
        <f t="shared" ref="H5:H16" ca="1" si="1">E5&amp;"（注册号："&amp;F5&amp;"）"</f>
        <v>叶凌（注册号：94010078）</v>
      </c>
    </row>
    <row r="6" spans="1:8" ht="24" customHeight="1">
      <c r="A6" s="1219" t="s">
        <v>2148</v>
      </c>
      <c r="B6" s="1219" t="str">
        <f ca="1">IF(C6&lt;B2,"已过期",1120050019)</f>
        <v>已过期</v>
      </c>
      <c r="C6" s="2160">
        <v>45410</v>
      </c>
      <c r="D6" s="2161" t="str">
        <f t="shared" ca="1" si="0"/>
        <v>王鹏（注册号：已过期）</v>
      </c>
      <c r="E6" s="2162" t="s">
        <v>2148</v>
      </c>
      <c r="F6" s="1219">
        <f ca="1">IF(G6&lt;B2,"已过期",2002110030)</f>
        <v>2002110030</v>
      </c>
      <c r="G6" s="2163">
        <v>46387</v>
      </c>
      <c r="H6" s="2164" t="str">
        <f t="shared" ca="1" si="1"/>
        <v>王鹏（注册号：2002110030）</v>
      </c>
    </row>
    <row r="7" spans="1:8" ht="24" customHeight="1">
      <c r="A7" s="1219" t="s">
        <v>2149</v>
      </c>
      <c r="B7" s="1219">
        <f ca="1">IF(C7&lt;B2,"已过期",1120000080)</f>
        <v>1120000080</v>
      </c>
      <c r="C7" s="2160">
        <v>45937</v>
      </c>
      <c r="D7" s="2161" t="str">
        <f t="shared" ca="1" si="0"/>
        <v>欧红伟（注册号：1120000080）</v>
      </c>
      <c r="E7" s="2162" t="s">
        <v>2149</v>
      </c>
      <c r="F7" s="1219">
        <f ca="1">IF(G7&lt;B2,"已过期",2000110082)</f>
        <v>2000110082</v>
      </c>
      <c r="G7" s="2163">
        <v>46387</v>
      </c>
      <c r="H7" s="2164" t="str">
        <f t="shared" ca="1" si="1"/>
        <v>欧红伟（注册号：2000110082）</v>
      </c>
    </row>
    <row r="8" spans="1:8" ht="24" customHeight="1">
      <c r="A8" s="1219" t="s">
        <v>2150</v>
      </c>
      <c r="B8" s="1219">
        <f ca="1">IF(C8&lt;B2,"已过期",1419970001)</f>
        <v>1419970001</v>
      </c>
      <c r="C8" s="2160">
        <v>45937</v>
      </c>
      <c r="D8" s="2161" t="str">
        <f t="shared" ca="1" si="0"/>
        <v>吴薇（注册号：1419970001）</v>
      </c>
      <c r="E8" s="2162" t="s">
        <v>2150</v>
      </c>
      <c r="F8" s="1219">
        <f ca="1">IF(G8&lt;B2,"已过期",2002110125)</f>
        <v>2002110125</v>
      </c>
      <c r="G8" s="2163">
        <v>47118</v>
      </c>
      <c r="H8" s="2164" t="str">
        <f t="shared" ca="1" si="1"/>
        <v>吴薇（注册号：2002110125）</v>
      </c>
    </row>
    <row r="9" spans="1:8" ht="24" customHeight="1">
      <c r="A9" s="1219" t="s">
        <v>2151</v>
      </c>
      <c r="B9" s="1219" t="str">
        <f ca="1">IF(C9&lt;B2,"已过期",1120060040)</f>
        <v>已过期</v>
      </c>
      <c r="C9" s="2165">
        <v>45592</v>
      </c>
      <c r="D9" s="2161" t="str">
        <f t="shared" ca="1" si="0"/>
        <v>陈颖（注册号：已过期）</v>
      </c>
      <c r="E9" s="2162" t="s">
        <v>2151</v>
      </c>
      <c r="F9" s="1219">
        <f ca="1">IF(G9&lt;B2,"已过期",2004110096)</f>
        <v>2004110096</v>
      </c>
      <c r="G9" s="2163">
        <v>47118</v>
      </c>
      <c r="H9" s="2164" t="str">
        <f t="shared" ca="1" si="1"/>
        <v>陈颖（注册号：2004110096）</v>
      </c>
    </row>
    <row r="10" spans="1:8" ht="24" customHeight="1">
      <c r="A10" s="1219" t="s">
        <v>2152</v>
      </c>
      <c r="B10" s="1219">
        <f ca="1">IF(C10&lt;B2,"已过期",1120100036)</f>
        <v>1120100036</v>
      </c>
      <c r="C10" s="2165">
        <v>45752</v>
      </c>
      <c r="D10" s="2161" t="str">
        <f t="shared" ca="1" si="0"/>
        <v>崔锴（注册号：1120100036）</v>
      </c>
      <c r="E10" s="2162" t="s">
        <v>2152</v>
      </c>
      <c r="F10" s="1219">
        <f ca="1">IF(G10&lt;B2,"已过期",2010110070)</f>
        <v>2010110070</v>
      </c>
      <c r="G10" s="2163">
        <v>47907</v>
      </c>
      <c r="H10" s="2164" t="str">
        <f t="shared" ca="1" si="1"/>
        <v>崔锴（注册号：2010110070）</v>
      </c>
    </row>
    <row r="11" spans="1:8" ht="24" customHeight="1">
      <c r="A11" s="1219" t="s">
        <v>2153</v>
      </c>
      <c r="B11" s="1219">
        <f ca="1">IF(C11&lt;B2,"已过期",1120070131)</f>
        <v>1120070131</v>
      </c>
      <c r="C11" s="2160">
        <v>45937</v>
      </c>
      <c r="D11" s="2161" t="str">
        <f t="shared" ca="1" si="0"/>
        <v>郑燚（注册号：1120070131）</v>
      </c>
      <c r="E11" s="2162" t="s">
        <v>2153</v>
      </c>
      <c r="F11" s="1219">
        <f ca="1">IF(G11&lt;B2,"已过期",2014110011)</f>
        <v>2014110011</v>
      </c>
      <c r="G11" s="2163">
        <v>49302</v>
      </c>
      <c r="H11" s="2164" t="str">
        <f t="shared" ca="1" si="1"/>
        <v>郑燚（注册号：2014110011）</v>
      </c>
    </row>
    <row r="12" spans="1:8" ht="24" customHeight="1">
      <c r="A12" s="1219" t="s">
        <v>2154</v>
      </c>
      <c r="B12" s="1219">
        <f ca="1">IF(C12&lt;B2,"已过期",1120040230)</f>
        <v>1120040230</v>
      </c>
      <c r="C12" s="2165">
        <v>45937</v>
      </c>
      <c r="D12" s="2161" t="str">
        <f t="shared" ca="1" si="0"/>
        <v>苏海（注册号：1120040230）</v>
      </c>
      <c r="E12" s="2162" t="s">
        <v>2154</v>
      </c>
      <c r="F12" s="1219">
        <f ca="1">IF(G12&lt;B2,"已过期",98030020)</f>
        <v>98030020</v>
      </c>
      <c r="G12" s="2163">
        <v>47118</v>
      </c>
      <c r="H12" s="2164" t="str">
        <f t="shared" ca="1" si="1"/>
        <v>苏海（注册号：98030020）</v>
      </c>
    </row>
    <row r="13" spans="1:8" ht="24" customHeight="1">
      <c r="A13" s="1219" t="s">
        <v>2155</v>
      </c>
      <c r="B13" s="1219" t="str">
        <f ca="1">IF(C13&lt;B2,"已过期",1120020033)</f>
        <v>已过期</v>
      </c>
      <c r="C13" s="2160">
        <v>45375</v>
      </c>
      <c r="D13" s="2161" t="str">
        <f t="shared" ca="1" si="0"/>
        <v>刘敬东（注册号：已过期）</v>
      </c>
      <c r="E13" s="2162" t="s">
        <v>2155</v>
      </c>
      <c r="F13" s="1219">
        <f ca="1">IF(G13&lt;B2,"已过期",2000110137)</f>
        <v>2000110137</v>
      </c>
      <c r="G13" s="2163">
        <v>46387</v>
      </c>
      <c r="H13" s="2164" t="str">
        <f t="shared" ca="1" si="1"/>
        <v>刘敬东（注册号：2000110137）</v>
      </c>
    </row>
    <row r="14" spans="1:8" ht="24" customHeight="1">
      <c r="A14" s="1219" t="s">
        <v>2156</v>
      </c>
      <c r="B14" s="1219" t="str">
        <f ca="1">IF(C14&lt;B2,"已过期",1119980106)</f>
        <v>已过期</v>
      </c>
      <c r="C14" s="2165">
        <v>44969</v>
      </c>
      <c r="D14" s="2161" t="str">
        <f t="shared" ca="1" si="0"/>
        <v>刘俊财（注册号：已过期）</v>
      </c>
      <c r="E14" s="2162" t="s">
        <v>2156</v>
      </c>
      <c r="F14" s="1219">
        <f ca="1">IF(G14&lt;B2,"已过期",96010063)</f>
        <v>96010063</v>
      </c>
      <c r="G14" s="2163">
        <v>47483</v>
      </c>
      <c r="H14" s="2164" t="str">
        <f t="shared" ca="1" si="1"/>
        <v>刘俊财（注册号：96010063）</v>
      </c>
    </row>
    <row r="15" spans="1:8" ht="24" customHeight="1">
      <c r="A15" s="1219" t="s">
        <v>2426</v>
      </c>
      <c r="B15" s="1219">
        <v>1120210056</v>
      </c>
      <c r="C15" s="2165">
        <v>45410</v>
      </c>
      <c r="D15" s="2161" t="str">
        <f t="shared" si="0"/>
        <v>宁小鳗（注册号：1120210056）</v>
      </c>
      <c r="E15" s="2162" t="s">
        <v>2157</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00" t="s">
        <v>2158</v>
      </c>
      <c r="B17" s="3200"/>
      <c r="C17" s="3200"/>
      <c r="D17" s="3200"/>
      <c r="E17" s="3200"/>
      <c r="F17" s="3200"/>
      <c r="G17" s="3200"/>
      <c r="H17" s="3200"/>
    </row>
    <row r="18" spans="1:8" ht="24" customHeight="1">
      <c r="A18" s="3201" t="s">
        <v>2159</v>
      </c>
      <c r="B18" s="3201"/>
      <c r="C18" s="3201"/>
      <c r="D18" s="2158"/>
      <c r="E18" s="3202" t="s">
        <v>2160</v>
      </c>
      <c r="F18" s="3201"/>
      <c r="G18" s="3201"/>
    </row>
    <row r="19" spans="1:8" s="2168" customFormat="1" ht="24" customHeight="1">
      <c r="A19" s="2167" t="s">
        <v>2161</v>
      </c>
      <c r="B19" s="1219" t="s">
        <v>2162</v>
      </c>
      <c r="C19" s="1219" t="s">
        <v>2141</v>
      </c>
      <c r="D19" s="2158"/>
      <c r="E19" s="2162" t="s">
        <v>2161</v>
      </c>
      <c r="F19" s="1219" t="s">
        <v>2162</v>
      </c>
      <c r="G19" s="1219" t="s">
        <v>2141</v>
      </c>
    </row>
    <row r="20" spans="1:8" s="2168" customFormat="1" ht="24" customHeight="1">
      <c r="A20" s="2169" t="s">
        <v>2163</v>
      </c>
      <c r="B20" s="2169" t="s">
        <v>2164</v>
      </c>
      <c r="C20" s="2163">
        <v>45898</v>
      </c>
      <c r="D20" s="2170"/>
      <c r="E20" s="2171" t="s">
        <v>2165</v>
      </c>
      <c r="F20" s="2174" t="s">
        <v>2427</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规证面积</vt:lpstr>
      <vt:lpstr>数据-汇总表</vt:lpstr>
      <vt:lpstr>数据-取费表</vt:lpstr>
      <vt:lpstr>估价对象房地状况</vt:lpstr>
      <vt:lpstr>系统读取表</vt:lpstr>
      <vt:lpstr>结果表-住宅</vt:lpstr>
      <vt:lpstr>成本法</vt:lpstr>
      <vt:lpstr>成本法 (元)</vt:lpstr>
      <vt:lpstr>假设开发法</vt:lpstr>
      <vt:lpstr>收益法</vt:lpstr>
      <vt:lpstr>收益法 (元)</vt:lpstr>
      <vt:lpstr>收益法-酒店模型</vt:lpstr>
      <vt:lpstr>收益法（汇总）</vt:lpstr>
      <vt:lpstr>比较法-住宅</vt:lpstr>
      <vt:lpstr>住宅案例</vt:lpstr>
      <vt:lpstr>比较法-商业</vt:lpstr>
      <vt:lpstr>比较法-办公</vt:lpstr>
      <vt:lpstr>比较法-工业</vt:lpstr>
      <vt:lpstr>结果表-车位</vt:lpstr>
      <vt:lpstr>比较法-车位</vt:lpstr>
      <vt:lpstr>车位案例</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'结果表-车位'!Print_Area</vt:lpstr>
      <vt:lpstr>'结果表-住宅'!Print_Area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2025-03-28T02:20:55Z</cp:lastPrinted>
  <dcterms:created xsi:type="dcterms:W3CDTF">2015-07-13T07:17:23Z</dcterms:created>
  <dcterms:modified xsi:type="dcterms:W3CDTF">2025-03-28T03:25:25Z</dcterms:modified>
</cp:coreProperties>
</file>