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王曦\☆报告☆\2019\2019-1-0515-P02DYGJ1青岛万达广场港湾店\"/>
    </mc:Choice>
  </mc:AlternateContent>
  <bookViews>
    <workbookView xWindow="11628" yWindow="168" windowWidth="11388" windowHeight="9468" tabRatio="899" firstSheet="10" activeTab="10"/>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案例" sheetId="77" r:id="rId15"/>
    <sheet name="数据-取费表" sheetId="1"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汇总）" sheetId="70" state="hidden" r:id="rId25"/>
    <sheet name="酒店收入计算" sheetId="66"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r:id="rId33"/>
    <sheet name="土地案例" sheetId="78" r:id="rId34"/>
    <sheet name="土地比较法-工业" sheetId="40" state="hidden" r:id="rId35"/>
    <sheet name="基准地价修正" sheetId="43"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62913" concurrentCalc="0"/>
</workbook>
</file>

<file path=xl/calcChain.xml><?xml version="1.0" encoding="utf-8"?>
<calcChain xmlns="http://schemas.openxmlformats.org/spreadsheetml/2006/main">
  <c r="D117" i="39" l="1"/>
  <c r="E117" i="39"/>
  <c r="F117" i="39"/>
  <c r="G117" i="39"/>
  <c r="H117" i="39"/>
  <c r="I117" i="39"/>
  <c r="J117" i="39"/>
  <c r="D118" i="39"/>
  <c r="D3" i="4"/>
  <c r="C1" i="73"/>
  <c r="J1" i="73"/>
  <c r="D6" i="73"/>
  <c r="B22" i="1"/>
  <c r="E1" i="73"/>
  <c r="K1" i="73"/>
  <c r="D5" i="73"/>
  <c r="G1" i="73"/>
  <c r="B40" i="1"/>
  <c r="F22" i="68"/>
  <c r="E46" i="39"/>
  <c r="R46" i="39"/>
  <c r="E7"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P23" i="43"/>
  <c r="B71" i="39"/>
  <c r="F7" i="39"/>
  <c r="AA7" i="39"/>
  <c r="F8" i="39"/>
  <c r="AA8" i="39"/>
  <c r="F9" i="39"/>
  <c r="AA9" i="39"/>
  <c r="D81" i="39"/>
  <c r="E81" i="39"/>
  <c r="AN13" i="3"/>
  <c r="I13" i="3"/>
  <c r="F19" i="6"/>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73" i="3"/>
  <c r="BB574" i="3"/>
  <c r="BB575" i="3"/>
  <c r="BB576" i="3"/>
  <c r="BB577" i="3"/>
  <c r="BB578" i="3"/>
  <c r="BB579" i="3"/>
  <c r="BB580" i="3"/>
  <c r="BB581" i="3"/>
  <c r="BB582" i="3"/>
  <c r="BB583" i="3"/>
  <c r="BB584" i="3"/>
  <c r="BB585" i="3"/>
  <c r="BB586" i="3"/>
  <c r="BB587"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73" i="3"/>
  <c r="BC574" i="3"/>
  <c r="BC575" i="3"/>
  <c r="BC576" i="3"/>
  <c r="BC577" i="3"/>
  <c r="BC578" i="3"/>
  <c r="BC579" i="3"/>
  <c r="BC580" i="3"/>
  <c r="BC581" i="3"/>
  <c r="BC582" i="3"/>
  <c r="BC583" i="3"/>
  <c r="BC584" i="3"/>
  <c r="BC585" i="3"/>
  <c r="BC586" i="3"/>
  <c r="BC587" i="3"/>
  <c r="BC5"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73" i="3"/>
  <c r="BE574" i="3"/>
  <c r="BE575" i="3"/>
  <c r="BE576" i="3"/>
  <c r="BE577" i="3"/>
  <c r="BE578" i="3"/>
  <c r="BE579" i="3"/>
  <c r="BE580" i="3"/>
  <c r="BE581" i="3"/>
  <c r="BE582" i="3"/>
  <c r="BE583" i="3"/>
  <c r="BE584" i="3"/>
  <c r="BE585" i="3"/>
  <c r="BE586" i="3"/>
  <c r="BE587"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73" i="3"/>
  <c r="BF574" i="3"/>
  <c r="BF575" i="3"/>
  <c r="BF576" i="3"/>
  <c r="BF577" i="3"/>
  <c r="BF578" i="3"/>
  <c r="BF579" i="3"/>
  <c r="BF580" i="3"/>
  <c r="BF581" i="3"/>
  <c r="BF582" i="3"/>
  <c r="BF583" i="3"/>
  <c r="BF584" i="3"/>
  <c r="BF585" i="3"/>
  <c r="BF586" i="3"/>
  <c r="BF587"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73" i="3"/>
  <c r="BG574" i="3"/>
  <c r="BG575" i="3"/>
  <c r="BG576" i="3"/>
  <c r="BG577" i="3"/>
  <c r="BG578" i="3"/>
  <c r="BG579" i="3"/>
  <c r="BG580" i="3"/>
  <c r="BG581" i="3"/>
  <c r="BG582" i="3"/>
  <c r="BG583" i="3"/>
  <c r="BG584" i="3"/>
  <c r="BG585" i="3"/>
  <c r="BG586" i="3"/>
  <c r="BG587"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73" i="3"/>
  <c r="BH574" i="3"/>
  <c r="BH575" i="3"/>
  <c r="BH576" i="3"/>
  <c r="BH577" i="3"/>
  <c r="BH578" i="3"/>
  <c r="BH579" i="3"/>
  <c r="BH580" i="3"/>
  <c r="BH581" i="3"/>
  <c r="BH582" i="3"/>
  <c r="BH583" i="3"/>
  <c r="BH584" i="3"/>
  <c r="BH585" i="3"/>
  <c r="BH586" i="3"/>
  <c r="BH587"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73" i="3"/>
  <c r="BI574" i="3"/>
  <c r="BI575" i="3"/>
  <c r="BI576" i="3"/>
  <c r="BI577" i="3"/>
  <c r="BI578" i="3"/>
  <c r="BI579" i="3"/>
  <c r="BI580" i="3"/>
  <c r="BI581" i="3"/>
  <c r="BI582" i="3"/>
  <c r="BI583" i="3"/>
  <c r="BI584" i="3"/>
  <c r="BI585" i="3"/>
  <c r="BI586" i="3"/>
  <c r="BI587"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73" i="3"/>
  <c r="BJ574" i="3"/>
  <c r="BJ575" i="3"/>
  <c r="BJ576" i="3"/>
  <c r="BJ577" i="3"/>
  <c r="BJ578" i="3"/>
  <c r="BJ579" i="3"/>
  <c r="BJ580" i="3"/>
  <c r="BJ581" i="3"/>
  <c r="BJ582" i="3"/>
  <c r="BJ583" i="3"/>
  <c r="BJ584" i="3"/>
  <c r="BJ585" i="3"/>
  <c r="BJ586" i="3"/>
  <c r="BJ587"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73" i="3"/>
  <c r="BK574" i="3"/>
  <c r="BK575" i="3"/>
  <c r="BK576" i="3"/>
  <c r="BK577" i="3"/>
  <c r="BK578" i="3"/>
  <c r="BK579" i="3"/>
  <c r="BK580" i="3"/>
  <c r="BK581" i="3"/>
  <c r="BK582" i="3"/>
  <c r="BK583" i="3"/>
  <c r="BK584" i="3"/>
  <c r="BK585" i="3"/>
  <c r="BK586" i="3"/>
  <c r="BK587" i="3"/>
  <c r="BK5" i="3"/>
  <c r="E8" i="6"/>
  <c r="F27" i="6"/>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M13" i="3"/>
  <c r="BM14" i="3"/>
  <c r="BM15" i="3"/>
  <c r="BM16" i="3"/>
  <c r="BM17" i="3"/>
  <c r="BM18" i="3"/>
  <c r="BM19" i="3"/>
  <c r="BM20" i="3"/>
  <c r="BM21" i="3"/>
  <c r="BM22" i="3"/>
  <c r="BM23" i="3"/>
  <c r="BM24" i="3"/>
  <c r="BM25" i="3"/>
  <c r="BM26" i="3"/>
  <c r="BM27" i="3"/>
  <c r="BM28" i="3"/>
  <c r="BM29" i="3"/>
  <c r="BM30" i="3"/>
  <c r="BM31" i="3"/>
  <c r="BM32" i="3"/>
  <c r="BM33" i="3"/>
  <c r="BM34" i="3"/>
  <c r="BM35" i="3"/>
  <c r="BM36" i="3"/>
  <c r="BM37" i="3"/>
  <c r="BM38" i="3"/>
  <c r="BM39" i="3"/>
  <c r="BM40" i="3"/>
  <c r="BM41" i="3"/>
  <c r="BM42" i="3"/>
  <c r="BM43" i="3"/>
  <c r="BM44" i="3"/>
  <c r="BM45" i="3"/>
  <c r="BM46" i="3"/>
  <c r="BM47" i="3"/>
  <c r="BM48" i="3"/>
  <c r="BM49" i="3"/>
  <c r="BM50" i="3"/>
  <c r="BM51" i="3"/>
  <c r="BM52" i="3"/>
  <c r="BM53" i="3"/>
  <c r="BM54" i="3"/>
  <c r="BM55" i="3"/>
  <c r="BM56" i="3"/>
  <c r="BM57" i="3"/>
  <c r="BM58" i="3"/>
  <c r="BM59" i="3"/>
  <c r="BM60" i="3"/>
  <c r="BM61" i="3"/>
  <c r="BM62" i="3"/>
  <c r="BM63" i="3"/>
  <c r="BM64" i="3"/>
  <c r="BM65" i="3"/>
  <c r="BM66" i="3"/>
  <c r="BM67" i="3"/>
  <c r="BM68" i="3"/>
  <c r="BM69" i="3"/>
  <c r="BM70" i="3"/>
  <c r="BM71" i="3"/>
  <c r="BM72" i="3"/>
  <c r="BM73" i="3"/>
  <c r="BM74" i="3"/>
  <c r="BM75" i="3"/>
  <c r="BM76" i="3"/>
  <c r="BM77" i="3"/>
  <c r="BM78" i="3"/>
  <c r="BM79" i="3"/>
  <c r="BM80" i="3"/>
  <c r="BM81" i="3"/>
  <c r="BM82" i="3"/>
  <c r="BM83" i="3"/>
  <c r="BM84" i="3"/>
  <c r="BM85" i="3"/>
  <c r="BM86" i="3"/>
  <c r="BM87" i="3"/>
  <c r="BM88" i="3"/>
  <c r="BM89" i="3"/>
  <c r="BM90" i="3"/>
  <c r="BM91" i="3"/>
  <c r="BM92" i="3"/>
  <c r="BM93" i="3"/>
  <c r="BM94" i="3"/>
  <c r="BM95" i="3"/>
  <c r="BM96" i="3"/>
  <c r="BM97" i="3"/>
  <c r="BM98" i="3"/>
  <c r="BM99" i="3"/>
  <c r="BM100" i="3"/>
  <c r="BM101" i="3"/>
  <c r="BM102" i="3"/>
  <c r="BM103" i="3"/>
  <c r="BM104" i="3"/>
  <c r="BM105" i="3"/>
  <c r="BM106" i="3"/>
  <c r="BM107" i="3"/>
  <c r="BM108" i="3"/>
  <c r="BM109" i="3"/>
  <c r="BM110" i="3"/>
  <c r="BM111" i="3"/>
  <c r="BM112" i="3"/>
  <c r="BM113" i="3"/>
  <c r="BM114" i="3"/>
  <c r="BM115" i="3"/>
  <c r="BM116" i="3"/>
  <c r="BM117" i="3"/>
  <c r="BM118" i="3"/>
  <c r="BM119" i="3"/>
  <c r="BM120" i="3"/>
  <c r="BM121" i="3"/>
  <c r="BM122" i="3"/>
  <c r="BM123" i="3"/>
  <c r="BM124" i="3"/>
  <c r="BM125" i="3"/>
  <c r="BM126" i="3"/>
  <c r="BM127" i="3"/>
  <c r="BM128" i="3"/>
  <c r="BM129" i="3"/>
  <c r="BM130" i="3"/>
  <c r="BM131" i="3"/>
  <c r="BM132" i="3"/>
  <c r="BM133" i="3"/>
  <c r="BM134" i="3"/>
  <c r="BM135" i="3"/>
  <c r="BM136" i="3"/>
  <c r="BM137" i="3"/>
  <c r="BM138" i="3"/>
  <c r="BM139" i="3"/>
  <c r="BM140" i="3"/>
  <c r="BM141" i="3"/>
  <c r="BM142" i="3"/>
  <c r="BM143" i="3"/>
  <c r="BM144" i="3"/>
  <c r="BM145" i="3"/>
  <c r="BM146" i="3"/>
  <c r="BM147" i="3"/>
  <c r="BM148" i="3"/>
  <c r="BM149" i="3"/>
  <c r="BM150" i="3"/>
  <c r="BM151" i="3"/>
  <c r="BM152" i="3"/>
  <c r="BM153" i="3"/>
  <c r="BM154" i="3"/>
  <c r="BM155" i="3"/>
  <c r="BM156" i="3"/>
  <c r="BM157" i="3"/>
  <c r="BM158" i="3"/>
  <c r="BM159" i="3"/>
  <c r="BM160" i="3"/>
  <c r="BM161" i="3"/>
  <c r="BM162" i="3"/>
  <c r="BM163" i="3"/>
  <c r="BM164" i="3"/>
  <c r="BM165" i="3"/>
  <c r="BM166" i="3"/>
  <c r="BM167" i="3"/>
  <c r="BM168" i="3"/>
  <c r="BM169" i="3"/>
  <c r="BM170" i="3"/>
  <c r="BM171" i="3"/>
  <c r="BM172" i="3"/>
  <c r="BM173" i="3"/>
  <c r="BM174" i="3"/>
  <c r="BM175" i="3"/>
  <c r="BM176" i="3"/>
  <c r="BM177" i="3"/>
  <c r="BM178" i="3"/>
  <c r="BM179" i="3"/>
  <c r="BM180" i="3"/>
  <c r="BM181" i="3"/>
  <c r="BM182" i="3"/>
  <c r="BM183" i="3"/>
  <c r="BM184" i="3"/>
  <c r="BM185" i="3"/>
  <c r="BM186" i="3"/>
  <c r="BM187" i="3"/>
  <c r="BM188" i="3"/>
  <c r="BM189" i="3"/>
  <c r="BM190" i="3"/>
  <c r="BM191" i="3"/>
  <c r="BM192" i="3"/>
  <c r="BM193" i="3"/>
  <c r="BM194" i="3"/>
  <c r="BM195" i="3"/>
  <c r="BM196" i="3"/>
  <c r="BM197" i="3"/>
  <c r="BM198" i="3"/>
  <c r="BM199" i="3"/>
  <c r="BM200" i="3"/>
  <c r="BM201" i="3"/>
  <c r="BM202" i="3"/>
  <c r="BM203" i="3"/>
  <c r="BM204" i="3"/>
  <c r="BM205" i="3"/>
  <c r="BM206" i="3"/>
  <c r="BM207" i="3"/>
  <c r="BM208" i="3"/>
  <c r="BM209" i="3"/>
  <c r="BM210" i="3"/>
  <c r="BM211" i="3"/>
  <c r="BM212" i="3"/>
  <c r="BM213" i="3"/>
  <c r="BM214" i="3"/>
  <c r="BM215" i="3"/>
  <c r="BM216" i="3"/>
  <c r="BM217" i="3"/>
  <c r="BM218" i="3"/>
  <c r="BM219" i="3"/>
  <c r="BM220" i="3"/>
  <c r="BM221" i="3"/>
  <c r="BM222" i="3"/>
  <c r="BM223" i="3"/>
  <c r="BM224" i="3"/>
  <c r="BM225" i="3"/>
  <c r="BM226" i="3"/>
  <c r="BM227" i="3"/>
  <c r="BM228" i="3"/>
  <c r="BM229" i="3"/>
  <c r="BM230" i="3"/>
  <c r="BM231" i="3"/>
  <c r="BM232" i="3"/>
  <c r="BM233" i="3"/>
  <c r="BM234" i="3"/>
  <c r="BM235" i="3"/>
  <c r="BM236" i="3"/>
  <c r="BM237" i="3"/>
  <c r="BM238" i="3"/>
  <c r="BM239" i="3"/>
  <c r="BM240" i="3"/>
  <c r="BM241" i="3"/>
  <c r="BM242" i="3"/>
  <c r="BM243" i="3"/>
  <c r="BM244" i="3"/>
  <c r="BM245" i="3"/>
  <c r="BM246" i="3"/>
  <c r="BM247" i="3"/>
  <c r="BM248" i="3"/>
  <c r="BM249" i="3"/>
  <c r="BM250" i="3"/>
  <c r="BM251" i="3"/>
  <c r="BM252" i="3"/>
  <c r="BM253" i="3"/>
  <c r="BM254" i="3"/>
  <c r="BM255" i="3"/>
  <c r="BM256" i="3"/>
  <c r="BM257" i="3"/>
  <c r="BM258" i="3"/>
  <c r="BM259" i="3"/>
  <c r="BM260" i="3"/>
  <c r="BM261" i="3"/>
  <c r="BM262" i="3"/>
  <c r="BM263" i="3"/>
  <c r="BM264" i="3"/>
  <c r="BM265" i="3"/>
  <c r="BM266" i="3"/>
  <c r="BM267" i="3"/>
  <c r="BM268" i="3"/>
  <c r="BM269" i="3"/>
  <c r="BM270" i="3"/>
  <c r="BM271" i="3"/>
  <c r="BM272" i="3"/>
  <c r="BM273" i="3"/>
  <c r="BM274" i="3"/>
  <c r="BM275" i="3"/>
  <c r="BM276" i="3"/>
  <c r="BM277" i="3"/>
  <c r="BM278" i="3"/>
  <c r="BM279" i="3"/>
  <c r="BM280" i="3"/>
  <c r="BM281" i="3"/>
  <c r="BM282" i="3"/>
  <c r="BM283" i="3"/>
  <c r="BM284" i="3"/>
  <c r="BM285" i="3"/>
  <c r="BM286" i="3"/>
  <c r="BM287" i="3"/>
  <c r="BM288" i="3"/>
  <c r="BM289" i="3"/>
  <c r="BM290" i="3"/>
  <c r="BM291" i="3"/>
  <c r="BM292" i="3"/>
  <c r="BM293" i="3"/>
  <c r="BM294" i="3"/>
  <c r="BM295" i="3"/>
  <c r="BM296" i="3"/>
  <c r="BM297" i="3"/>
  <c r="BM298" i="3"/>
  <c r="BM299" i="3"/>
  <c r="BM300" i="3"/>
  <c r="BM301" i="3"/>
  <c r="BM302" i="3"/>
  <c r="BM303" i="3"/>
  <c r="BM304" i="3"/>
  <c r="BM305" i="3"/>
  <c r="BM306" i="3"/>
  <c r="BM307" i="3"/>
  <c r="BM308" i="3"/>
  <c r="BM309" i="3"/>
  <c r="BM310" i="3"/>
  <c r="BM311" i="3"/>
  <c r="BM312" i="3"/>
  <c r="BM313" i="3"/>
  <c r="BM314" i="3"/>
  <c r="BM315" i="3"/>
  <c r="BM316" i="3"/>
  <c r="BM317" i="3"/>
  <c r="BM318" i="3"/>
  <c r="BM319" i="3"/>
  <c r="BM320" i="3"/>
  <c r="BM321" i="3"/>
  <c r="BM322" i="3"/>
  <c r="BM323" i="3"/>
  <c r="BM324" i="3"/>
  <c r="BM325" i="3"/>
  <c r="BM326" i="3"/>
  <c r="BM327" i="3"/>
  <c r="BM328" i="3"/>
  <c r="BM329" i="3"/>
  <c r="BM330" i="3"/>
  <c r="BM331" i="3"/>
  <c r="BM332" i="3"/>
  <c r="BM333" i="3"/>
  <c r="BM334" i="3"/>
  <c r="BM335" i="3"/>
  <c r="BM336" i="3"/>
  <c r="BM337" i="3"/>
  <c r="BM338" i="3"/>
  <c r="BM339" i="3"/>
  <c r="BM340" i="3"/>
  <c r="BM341" i="3"/>
  <c r="BM342" i="3"/>
  <c r="BM343" i="3"/>
  <c r="BM344" i="3"/>
  <c r="BM345" i="3"/>
  <c r="BM346" i="3"/>
  <c r="BM347" i="3"/>
  <c r="BM348" i="3"/>
  <c r="BM349" i="3"/>
  <c r="BM350" i="3"/>
  <c r="BM351" i="3"/>
  <c r="BM352" i="3"/>
  <c r="BM353" i="3"/>
  <c r="BM354" i="3"/>
  <c r="BM355" i="3"/>
  <c r="BM356" i="3"/>
  <c r="BM357" i="3"/>
  <c r="BM358" i="3"/>
  <c r="BM359" i="3"/>
  <c r="BM360" i="3"/>
  <c r="BM361" i="3"/>
  <c r="BM362" i="3"/>
  <c r="BM363" i="3"/>
  <c r="BM364" i="3"/>
  <c r="BM365" i="3"/>
  <c r="BM366" i="3"/>
  <c r="BM367" i="3"/>
  <c r="BM368" i="3"/>
  <c r="BM369" i="3"/>
  <c r="BM370" i="3"/>
  <c r="BM371" i="3"/>
  <c r="BM372" i="3"/>
  <c r="BM373" i="3"/>
  <c r="BM374" i="3"/>
  <c r="BM375" i="3"/>
  <c r="BM376" i="3"/>
  <c r="BM377" i="3"/>
  <c r="BM378" i="3"/>
  <c r="BM379" i="3"/>
  <c r="BM380" i="3"/>
  <c r="BM381" i="3"/>
  <c r="BM382" i="3"/>
  <c r="BM383" i="3"/>
  <c r="BM384" i="3"/>
  <c r="BM385" i="3"/>
  <c r="BM386" i="3"/>
  <c r="BM387" i="3"/>
  <c r="BM388" i="3"/>
  <c r="BM389" i="3"/>
  <c r="BM390" i="3"/>
  <c r="BM391" i="3"/>
  <c r="BM392" i="3"/>
  <c r="BM393" i="3"/>
  <c r="BM394" i="3"/>
  <c r="BM395" i="3"/>
  <c r="BM396" i="3"/>
  <c r="BM397" i="3"/>
  <c r="BM398" i="3"/>
  <c r="BM399" i="3"/>
  <c r="BM400" i="3"/>
  <c r="BM401" i="3"/>
  <c r="BM402" i="3"/>
  <c r="BM403" i="3"/>
  <c r="BM404" i="3"/>
  <c r="BM405" i="3"/>
  <c r="BM406" i="3"/>
  <c r="BM407" i="3"/>
  <c r="BM408" i="3"/>
  <c r="BM409" i="3"/>
  <c r="BM410" i="3"/>
  <c r="BM411" i="3"/>
  <c r="BM412" i="3"/>
  <c r="BM413" i="3"/>
  <c r="BM414" i="3"/>
  <c r="BM415" i="3"/>
  <c r="BM416" i="3"/>
  <c r="BM417" i="3"/>
  <c r="BM418" i="3"/>
  <c r="BM419" i="3"/>
  <c r="BM420" i="3"/>
  <c r="BM421" i="3"/>
  <c r="BM422" i="3"/>
  <c r="BM423" i="3"/>
  <c r="BM424" i="3"/>
  <c r="BM425" i="3"/>
  <c r="BM426" i="3"/>
  <c r="BM427" i="3"/>
  <c r="BM428" i="3"/>
  <c r="BM429" i="3"/>
  <c r="BM430" i="3"/>
  <c r="BM431" i="3"/>
  <c r="BM432" i="3"/>
  <c r="BM433" i="3"/>
  <c r="BM434" i="3"/>
  <c r="BM435" i="3"/>
  <c r="BM436" i="3"/>
  <c r="BM437" i="3"/>
  <c r="BM438" i="3"/>
  <c r="BM439" i="3"/>
  <c r="BM440" i="3"/>
  <c r="BM441" i="3"/>
  <c r="BM442" i="3"/>
  <c r="BM443" i="3"/>
  <c r="BM444" i="3"/>
  <c r="BM445" i="3"/>
  <c r="BM446" i="3"/>
  <c r="BM447" i="3"/>
  <c r="BM448" i="3"/>
  <c r="BM449" i="3"/>
  <c r="BM450" i="3"/>
  <c r="BM451" i="3"/>
  <c r="BM452" i="3"/>
  <c r="BM453" i="3"/>
  <c r="BM454" i="3"/>
  <c r="BM455" i="3"/>
  <c r="BM456" i="3"/>
  <c r="BM457" i="3"/>
  <c r="BM458" i="3"/>
  <c r="BM459" i="3"/>
  <c r="BM460" i="3"/>
  <c r="BM461" i="3"/>
  <c r="BM462" i="3"/>
  <c r="BM463" i="3"/>
  <c r="BM464" i="3"/>
  <c r="BM465" i="3"/>
  <c r="BM466" i="3"/>
  <c r="BM467" i="3"/>
  <c r="BM468" i="3"/>
  <c r="BM469" i="3"/>
  <c r="BM470" i="3"/>
  <c r="BM471" i="3"/>
  <c r="BM472" i="3"/>
  <c r="BM473" i="3"/>
  <c r="BM474" i="3"/>
  <c r="BM475" i="3"/>
  <c r="BM476" i="3"/>
  <c r="BM477" i="3"/>
  <c r="BM478" i="3"/>
  <c r="BM479" i="3"/>
  <c r="BM480" i="3"/>
  <c r="BM481" i="3"/>
  <c r="BM482" i="3"/>
  <c r="BM483" i="3"/>
  <c r="BM484" i="3"/>
  <c r="BM485" i="3"/>
  <c r="BM486" i="3"/>
  <c r="BM487" i="3"/>
  <c r="BM488" i="3"/>
  <c r="BM489" i="3"/>
  <c r="BM490" i="3"/>
  <c r="BM491" i="3"/>
  <c r="BM492" i="3"/>
  <c r="BM493" i="3"/>
  <c r="BM494" i="3"/>
  <c r="BM495" i="3"/>
  <c r="BM496" i="3"/>
  <c r="BM497" i="3"/>
  <c r="BM498" i="3"/>
  <c r="BM499" i="3"/>
  <c r="BM500" i="3"/>
  <c r="BM501" i="3"/>
  <c r="BM502" i="3"/>
  <c r="BM503" i="3"/>
  <c r="BM504" i="3"/>
  <c r="BM505" i="3"/>
  <c r="BM506" i="3"/>
  <c r="BM507" i="3"/>
  <c r="BM508" i="3"/>
  <c r="BM509" i="3"/>
  <c r="BM510" i="3"/>
  <c r="BM511" i="3"/>
  <c r="BM512" i="3"/>
  <c r="BM513" i="3"/>
  <c r="BM514" i="3"/>
  <c r="BM515" i="3"/>
  <c r="BM516" i="3"/>
  <c r="BM517" i="3"/>
  <c r="BM518" i="3"/>
  <c r="BM519" i="3"/>
  <c r="BM520" i="3"/>
  <c r="BM521" i="3"/>
  <c r="BM522" i="3"/>
  <c r="BM523" i="3"/>
  <c r="BM524" i="3"/>
  <c r="BM525" i="3"/>
  <c r="BM526" i="3"/>
  <c r="BM527" i="3"/>
  <c r="BM528" i="3"/>
  <c r="BM529" i="3"/>
  <c r="BM530" i="3"/>
  <c r="BM531" i="3"/>
  <c r="BM532" i="3"/>
  <c r="BM533" i="3"/>
  <c r="BM534" i="3"/>
  <c r="BM535" i="3"/>
  <c r="BM536" i="3"/>
  <c r="BM537" i="3"/>
  <c r="BM538" i="3"/>
  <c r="BM539" i="3"/>
  <c r="BM540" i="3"/>
  <c r="BM541" i="3"/>
  <c r="BM542" i="3"/>
  <c r="BM543" i="3"/>
  <c r="BM544" i="3"/>
  <c r="BM545" i="3"/>
  <c r="BM546" i="3"/>
  <c r="BM547" i="3"/>
  <c r="BM548" i="3"/>
  <c r="BM549" i="3"/>
  <c r="BM550" i="3"/>
  <c r="BM551" i="3"/>
  <c r="BM552" i="3"/>
  <c r="BM553" i="3"/>
  <c r="BM554" i="3"/>
  <c r="BM555" i="3"/>
  <c r="BM556" i="3"/>
  <c r="BM557" i="3"/>
  <c r="BM558" i="3"/>
  <c r="BM559" i="3"/>
  <c r="BM560" i="3"/>
  <c r="BM561" i="3"/>
  <c r="BM562" i="3"/>
  <c r="BM563" i="3"/>
  <c r="BM564" i="3"/>
  <c r="BM565" i="3"/>
  <c r="BM566" i="3"/>
  <c r="BM567" i="3"/>
  <c r="BM568" i="3"/>
  <c r="BM569" i="3"/>
  <c r="BM570" i="3"/>
  <c r="BM571" i="3"/>
  <c r="BM572" i="3"/>
  <c r="BM573" i="3"/>
  <c r="BM574" i="3"/>
  <c r="BM575" i="3"/>
  <c r="BM576" i="3"/>
  <c r="BM577" i="3"/>
  <c r="BM578" i="3"/>
  <c r="BM579" i="3"/>
  <c r="BM580" i="3"/>
  <c r="BM581" i="3"/>
  <c r="BM582" i="3"/>
  <c r="BM583" i="3"/>
  <c r="BM584" i="3"/>
  <c r="BM585" i="3"/>
  <c r="BM586" i="3"/>
  <c r="BM587" i="3"/>
  <c r="BM5" i="3"/>
  <c r="BO13" i="3"/>
  <c r="BO14" i="3"/>
  <c r="BO15" i="3"/>
  <c r="BO16" i="3"/>
  <c r="BO17" i="3"/>
  <c r="BO18" i="3"/>
  <c r="BO19" i="3"/>
  <c r="BO20" i="3"/>
  <c r="BO21" i="3"/>
  <c r="BO22" i="3"/>
  <c r="BO23" i="3"/>
  <c r="BO24" i="3"/>
  <c r="BO25" i="3"/>
  <c r="BO26" i="3"/>
  <c r="BO27" i="3"/>
  <c r="BO28" i="3"/>
  <c r="BO29" i="3"/>
  <c r="BO30" i="3"/>
  <c r="BO31" i="3"/>
  <c r="BO32" i="3"/>
  <c r="BO33" i="3"/>
  <c r="BO34" i="3"/>
  <c r="BO35" i="3"/>
  <c r="BO36" i="3"/>
  <c r="BO37" i="3"/>
  <c r="BO38" i="3"/>
  <c r="BO39" i="3"/>
  <c r="BO40" i="3"/>
  <c r="BO41" i="3"/>
  <c r="BO42" i="3"/>
  <c r="BO43" i="3"/>
  <c r="BO44" i="3"/>
  <c r="BO45" i="3"/>
  <c r="BO46" i="3"/>
  <c r="BO47" i="3"/>
  <c r="BO48" i="3"/>
  <c r="BO49" i="3"/>
  <c r="BO50" i="3"/>
  <c r="BO51" i="3"/>
  <c r="BO52" i="3"/>
  <c r="BO53" i="3"/>
  <c r="BO54" i="3"/>
  <c r="BO55" i="3"/>
  <c r="BO56" i="3"/>
  <c r="BO57" i="3"/>
  <c r="BO58" i="3"/>
  <c r="BO59" i="3"/>
  <c r="BO60" i="3"/>
  <c r="BO61" i="3"/>
  <c r="BO62" i="3"/>
  <c r="BO63" i="3"/>
  <c r="BO64" i="3"/>
  <c r="BO65" i="3"/>
  <c r="BO66" i="3"/>
  <c r="BO67" i="3"/>
  <c r="BO68" i="3"/>
  <c r="BO69" i="3"/>
  <c r="BO70" i="3"/>
  <c r="BO71" i="3"/>
  <c r="BO72" i="3"/>
  <c r="BO73" i="3"/>
  <c r="BO74" i="3"/>
  <c r="BO75" i="3"/>
  <c r="BO76" i="3"/>
  <c r="BO77" i="3"/>
  <c r="BO78" i="3"/>
  <c r="BO79" i="3"/>
  <c r="BO80" i="3"/>
  <c r="BO81" i="3"/>
  <c r="BO82" i="3"/>
  <c r="BO83" i="3"/>
  <c r="BO84" i="3"/>
  <c r="BO85" i="3"/>
  <c r="BO86" i="3"/>
  <c r="BO87" i="3"/>
  <c r="BO88" i="3"/>
  <c r="BO89" i="3"/>
  <c r="BO90" i="3"/>
  <c r="BO91" i="3"/>
  <c r="BO92" i="3"/>
  <c r="BO93" i="3"/>
  <c r="BO94" i="3"/>
  <c r="BO95" i="3"/>
  <c r="BO96" i="3"/>
  <c r="BO97" i="3"/>
  <c r="BO98" i="3"/>
  <c r="BO99" i="3"/>
  <c r="BO100" i="3"/>
  <c r="BO101" i="3"/>
  <c r="BO102" i="3"/>
  <c r="BO103" i="3"/>
  <c r="BO104" i="3"/>
  <c r="BO105" i="3"/>
  <c r="BO106" i="3"/>
  <c r="BO107" i="3"/>
  <c r="BO108" i="3"/>
  <c r="BO109" i="3"/>
  <c r="BO110" i="3"/>
  <c r="BO111" i="3"/>
  <c r="BO112" i="3"/>
  <c r="BO113" i="3"/>
  <c r="BO114" i="3"/>
  <c r="BO115" i="3"/>
  <c r="BO116" i="3"/>
  <c r="BO117" i="3"/>
  <c r="BO118" i="3"/>
  <c r="BO119" i="3"/>
  <c r="BO120" i="3"/>
  <c r="BO121" i="3"/>
  <c r="BO122" i="3"/>
  <c r="BO123" i="3"/>
  <c r="BO124" i="3"/>
  <c r="BO125" i="3"/>
  <c r="BO126" i="3"/>
  <c r="BO127" i="3"/>
  <c r="BO128" i="3"/>
  <c r="BO129" i="3"/>
  <c r="BO130" i="3"/>
  <c r="BO131" i="3"/>
  <c r="BO132" i="3"/>
  <c r="BO133" i="3"/>
  <c r="BO134" i="3"/>
  <c r="BO135" i="3"/>
  <c r="BO136" i="3"/>
  <c r="BO137" i="3"/>
  <c r="BO138" i="3"/>
  <c r="BO139" i="3"/>
  <c r="BO140" i="3"/>
  <c r="BO141" i="3"/>
  <c r="BO142" i="3"/>
  <c r="BO143" i="3"/>
  <c r="BO144" i="3"/>
  <c r="BO145" i="3"/>
  <c r="BO146" i="3"/>
  <c r="BO147" i="3"/>
  <c r="BO148" i="3"/>
  <c r="BO149" i="3"/>
  <c r="BO150" i="3"/>
  <c r="BO151" i="3"/>
  <c r="BO152" i="3"/>
  <c r="BO153" i="3"/>
  <c r="BO154" i="3"/>
  <c r="BO155" i="3"/>
  <c r="BO156" i="3"/>
  <c r="BO157" i="3"/>
  <c r="BO158" i="3"/>
  <c r="BO159" i="3"/>
  <c r="BO160" i="3"/>
  <c r="BO161" i="3"/>
  <c r="BO162" i="3"/>
  <c r="BO163" i="3"/>
  <c r="BO164" i="3"/>
  <c r="BO165" i="3"/>
  <c r="BO166" i="3"/>
  <c r="BO167" i="3"/>
  <c r="BO168" i="3"/>
  <c r="BO169" i="3"/>
  <c r="BO170" i="3"/>
  <c r="BO171" i="3"/>
  <c r="BO172" i="3"/>
  <c r="BO173" i="3"/>
  <c r="BO174" i="3"/>
  <c r="BO175" i="3"/>
  <c r="BO176" i="3"/>
  <c r="BO177" i="3"/>
  <c r="BO178" i="3"/>
  <c r="BO179" i="3"/>
  <c r="BO180" i="3"/>
  <c r="BO181" i="3"/>
  <c r="BO182" i="3"/>
  <c r="BO183" i="3"/>
  <c r="BO184" i="3"/>
  <c r="BO185" i="3"/>
  <c r="BO186" i="3"/>
  <c r="BO187" i="3"/>
  <c r="BO188" i="3"/>
  <c r="BO189" i="3"/>
  <c r="BO190" i="3"/>
  <c r="BO191" i="3"/>
  <c r="BO192" i="3"/>
  <c r="BO193" i="3"/>
  <c r="BO194" i="3"/>
  <c r="BO195" i="3"/>
  <c r="BO196" i="3"/>
  <c r="BO197" i="3"/>
  <c r="BO198" i="3"/>
  <c r="BO199" i="3"/>
  <c r="BO200" i="3"/>
  <c r="BO201" i="3"/>
  <c r="BO202" i="3"/>
  <c r="BO203" i="3"/>
  <c r="BO204" i="3"/>
  <c r="BO205" i="3"/>
  <c r="BO206" i="3"/>
  <c r="BO207" i="3"/>
  <c r="BO208" i="3"/>
  <c r="BO209" i="3"/>
  <c r="BO210" i="3"/>
  <c r="BO211" i="3"/>
  <c r="BO212" i="3"/>
  <c r="BO213" i="3"/>
  <c r="BO214" i="3"/>
  <c r="BO215" i="3"/>
  <c r="BO216" i="3"/>
  <c r="BO217" i="3"/>
  <c r="BO218" i="3"/>
  <c r="BO219" i="3"/>
  <c r="BO220" i="3"/>
  <c r="BO221" i="3"/>
  <c r="BO222" i="3"/>
  <c r="BO223" i="3"/>
  <c r="BO224" i="3"/>
  <c r="BO225" i="3"/>
  <c r="BO226" i="3"/>
  <c r="BO227" i="3"/>
  <c r="BO228" i="3"/>
  <c r="BO229" i="3"/>
  <c r="BO230" i="3"/>
  <c r="BO231" i="3"/>
  <c r="BO232" i="3"/>
  <c r="BO233" i="3"/>
  <c r="BO234" i="3"/>
  <c r="BO235" i="3"/>
  <c r="BO236" i="3"/>
  <c r="BO237" i="3"/>
  <c r="BO238" i="3"/>
  <c r="BO239" i="3"/>
  <c r="BO240" i="3"/>
  <c r="BO241" i="3"/>
  <c r="BO242" i="3"/>
  <c r="BO243" i="3"/>
  <c r="BO244" i="3"/>
  <c r="BO245" i="3"/>
  <c r="BO246" i="3"/>
  <c r="BO247" i="3"/>
  <c r="BO248" i="3"/>
  <c r="BO249" i="3"/>
  <c r="BO250" i="3"/>
  <c r="BO251" i="3"/>
  <c r="BO252" i="3"/>
  <c r="BO253" i="3"/>
  <c r="BO254" i="3"/>
  <c r="BO255" i="3"/>
  <c r="BO256" i="3"/>
  <c r="BO257" i="3"/>
  <c r="BO258" i="3"/>
  <c r="BO259" i="3"/>
  <c r="BO260" i="3"/>
  <c r="BO261" i="3"/>
  <c r="BO262" i="3"/>
  <c r="BO263" i="3"/>
  <c r="BO264" i="3"/>
  <c r="BO265" i="3"/>
  <c r="BO266" i="3"/>
  <c r="BO267" i="3"/>
  <c r="BO268" i="3"/>
  <c r="BO269" i="3"/>
  <c r="BO270" i="3"/>
  <c r="BO271" i="3"/>
  <c r="BO272" i="3"/>
  <c r="BO273" i="3"/>
  <c r="BO274" i="3"/>
  <c r="BO275" i="3"/>
  <c r="BO276" i="3"/>
  <c r="BO277" i="3"/>
  <c r="BO278" i="3"/>
  <c r="BO279" i="3"/>
  <c r="BO280" i="3"/>
  <c r="BO281" i="3"/>
  <c r="BO282" i="3"/>
  <c r="BO283" i="3"/>
  <c r="BO284" i="3"/>
  <c r="BO285" i="3"/>
  <c r="BO286" i="3"/>
  <c r="BO287" i="3"/>
  <c r="BO288" i="3"/>
  <c r="BO289" i="3"/>
  <c r="BO290" i="3"/>
  <c r="BO291" i="3"/>
  <c r="BO292" i="3"/>
  <c r="BO293" i="3"/>
  <c r="BO294" i="3"/>
  <c r="BO295" i="3"/>
  <c r="BO296" i="3"/>
  <c r="BO297" i="3"/>
  <c r="BO298" i="3"/>
  <c r="BO299" i="3"/>
  <c r="BO300" i="3"/>
  <c r="BO301" i="3"/>
  <c r="BO302" i="3"/>
  <c r="BO303" i="3"/>
  <c r="BO304" i="3"/>
  <c r="BO305" i="3"/>
  <c r="BO306" i="3"/>
  <c r="BO307" i="3"/>
  <c r="BO308" i="3"/>
  <c r="BO309" i="3"/>
  <c r="BO310" i="3"/>
  <c r="BO311" i="3"/>
  <c r="BO312" i="3"/>
  <c r="BO313" i="3"/>
  <c r="BO314" i="3"/>
  <c r="BO315" i="3"/>
  <c r="BO316" i="3"/>
  <c r="BO317" i="3"/>
  <c r="BO318" i="3"/>
  <c r="BO319" i="3"/>
  <c r="BO320" i="3"/>
  <c r="BO321" i="3"/>
  <c r="BO322" i="3"/>
  <c r="BO323" i="3"/>
  <c r="BO324" i="3"/>
  <c r="BO325" i="3"/>
  <c r="BO326" i="3"/>
  <c r="BO327" i="3"/>
  <c r="BO328" i="3"/>
  <c r="BO329" i="3"/>
  <c r="BO330" i="3"/>
  <c r="BO331" i="3"/>
  <c r="BO332" i="3"/>
  <c r="BO333" i="3"/>
  <c r="BO334" i="3"/>
  <c r="BO335" i="3"/>
  <c r="BO336" i="3"/>
  <c r="BO337" i="3"/>
  <c r="BO338" i="3"/>
  <c r="BO339" i="3"/>
  <c r="BO340" i="3"/>
  <c r="BO341" i="3"/>
  <c r="BO342" i="3"/>
  <c r="BO343" i="3"/>
  <c r="BO344" i="3"/>
  <c r="BO345" i="3"/>
  <c r="BO346" i="3"/>
  <c r="BO347" i="3"/>
  <c r="BO348" i="3"/>
  <c r="BO349" i="3"/>
  <c r="BO350" i="3"/>
  <c r="BO351" i="3"/>
  <c r="BO352" i="3"/>
  <c r="BO353" i="3"/>
  <c r="BO354" i="3"/>
  <c r="BO355" i="3"/>
  <c r="BO356" i="3"/>
  <c r="BO357" i="3"/>
  <c r="BO358" i="3"/>
  <c r="BO359" i="3"/>
  <c r="BO360" i="3"/>
  <c r="BO361" i="3"/>
  <c r="BO362" i="3"/>
  <c r="BO363" i="3"/>
  <c r="BO364" i="3"/>
  <c r="BO365" i="3"/>
  <c r="BO366" i="3"/>
  <c r="BO367" i="3"/>
  <c r="BO368" i="3"/>
  <c r="BO369" i="3"/>
  <c r="BO370" i="3"/>
  <c r="BO371" i="3"/>
  <c r="BO372" i="3"/>
  <c r="BO373" i="3"/>
  <c r="BO374" i="3"/>
  <c r="BO375" i="3"/>
  <c r="BO376" i="3"/>
  <c r="BO377" i="3"/>
  <c r="BO378" i="3"/>
  <c r="BO379" i="3"/>
  <c r="BO380" i="3"/>
  <c r="BO381" i="3"/>
  <c r="BO382" i="3"/>
  <c r="BO383" i="3"/>
  <c r="BO384" i="3"/>
  <c r="BO385" i="3"/>
  <c r="BO386" i="3"/>
  <c r="BO387" i="3"/>
  <c r="BO388" i="3"/>
  <c r="BO389" i="3"/>
  <c r="BO390" i="3"/>
  <c r="BO391" i="3"/>
  <c r="BO392" i="3"/>
  <c r="BO393" i="3"/>
  <c r="BO394" i="3"/>
  <c r="BO395" i="3"/>
  <c r="BO396" i="3"/>
  <c r="BO397" i="3"/>
  <c r="BO398" i="3"/>
  <c r="BO399" i="3"/>
  <c r="BO400" i="3"/>
  <c r="BO401" i="3"/>
  <c r="BO402" i="3"/>
  <c r="BO403" i="3"/>
  <c r="BO404" i="3"/>
  <c r="BO405" i="3"/>
  <c r="BO406" i="3"/>
  <c r="BO407" i="3"/>
  <c r="BO408" i="3"/>
  <c r="BO409" i="3"/>
  <c r="BO410" i="3"/>
  <c r="BO411" i="3"/>
  <c r="BO412" i="3"/>
  <c r="BO413" i="3"/>
  <c r="BO414" i="3"/>
  <c r="BO415" i="3"/>
  <c r="BO416" i="3"/>
  <c r="BO417" i="3"/>
  <c r="BO418" i="3"/>
  <c r="BO419" i="3"/>
  <c r="BO420" i="3"/>
  <c r="BO421" i="3"/>
  <c r="BO422" i="3"/>
  <c r="BO423" i="3"/>
  <c r="BO424" i="3"/>
  <c r="BO425" i="3"/>
  <c r="BO426" i="3"/>
  <c r="BO427" i="3"/>
  <c r="BO428" i="3"/>
  <c r="BO429" i="3"/>
  <c r="BO430" i="3"/>
  <c r="BO431" i="3"/>
  <c r="BO432" i="3"/>
  <c r="BO433" i="3"/>
  <c r="BO434" i="3"/>
  <c r="BO435" i="3"/>
  <c r="BO436" i="3"/>
  <c r="BO437" i="3"/>
  <c r="BO438" i="3"/>
  <c r="BO439" i="3"/>
  <c r="BO440" i="3"/>
  <c r="BO441" i="3"/>
  <c r="BO442" i="3"/>
  <c r="BO443" i="3"/>
  <c r="BO444" i="3"/>
  <c r="BO445" i="3"/>
  <c r="BO446" i="3"/>
  <c r="BO447" i="3"/>
  <c r="BO448" i="3"/>
  <c r="BO449" i="3"/>
  <c r="BO450" i="3"/>
  <c r="BO451" i="3"/>
  <c r="BO452" i="3"/>
  <c r="BO453" i="3"/>
  <c r="BO454" i="3"/>
  <c r="BO455" i="3"/>
  <c r="BO456" i="3"/>
  <c r="BO457" i="3"/>
  <c r="BO458" i="3"/>
  <c r="BO459" i="3"/>
  <c r="BO460" i="3"/>
  <c r="BO461" i="3"/>
  <c r="BO462" i="3"/>
  <c r="BO463" i="3"/>
  <c r="BO464" i="3"/>
  <c r="BO465" i="3"/>
  <c r="BO466" i="3"/>
  <c r="BO467" i="3"/>
  <c r="BO468" i="3"/>
  <c r="BO469" i="3"/>
  <c r="BO470" i="3"/>
  <c r="BO471" i="3"/>
  <c r="BO472" i="3"/>
  <c r="BO473" i="3"/>
  <c r="BO474" i="3"/>
  <c r="BO475" i="3"/>
  <c r="BO476" i="3"/>
  <c r="BO477" i="3"/>
  <c r="BO478" i="3"/>
  <c r="BO479" i="3"/>
  <c r="BO480" i="3"/>
  <c r="BO481" i="3"/>
  <c r="BO482" i="3"/>
  <c r="BO483" i="3"/>
  <c r="BO484" i="3"/>
  <c r="BO485" i="3"/>
  <c r="BO486" i="3"/>
  <c r="BO487" i="3"/>
  <c r="BO488" i="3"/>
  <c r="BO489" i="3"/>
  <c r="BO490" i="3"/>
  <c r="BO491" i="3"/>
  <c r="BO492" i="3"/>
  <c r="BO493" i="3"/>
  <c r="BO494" i="3"/>
  <c r="BO495" i="3"/>
  <c r="BO496" i="3"/>
  <c r="BO497" i="3"/>
  <c r="BO498" i="3"/>
  <c r="BO499" i="3"/>
  <c r="BO500" i="3"/>
  <c r="BO501" i="3"/>
  <c r="BO502" i="3"/>
  <c r="BO503" i="3"/>
  <c r="BO504" i="3"/>
  <c r="BO505" i="3"/>
  <c r="BO506" i="3"/>
  <c r="BO507" i="3"/>
  <c r="BO508" i="3"/>
  <c r="BO509" i="3"/>
  <c r="BO510" i="3"/>
  <c r="BO511" i="3"/>
  <c r="BO512" i="3"/>
  <c r="BO513" i="3"/>
  <c r="BO514" i="3"/>
  <c r="BO515" i="3"/>
  <c r="BO516" i="3"/>
  <c r="BO517" i="3"/>
  <c r="BO518" i="3"/>
  <c r="BO519" i="3"/>
  <c r="BO520" i="3"/>
  <c r="BO521" i="3"/>
  <c r="BO522" i="3"/>
  <c r="BO523" i="3"/>
  <c r="BO524" i="3"/>
  <c r="BO525" i="3"/>
  <c r="BO526" i="3"/>
  <c r="BO527" i="3"/>
  <c r="BO528" i="3"/>
  <c r="BO529" i="3"/>
  <c r="BO530" i="3"/>
  <c r="BO531" i="3"/>
  <c r="BO532" i="3"/>
  <c r="BO533" i="3"/>
  <c r="BO534" i="3"/>
  <c r="BO535" i="3"/>
  <c r="BO536" i="3"/>
  <c r="BO537" i="3"/>
  <c r="BO538" i="3"/>
  <c r="BO539" i="3"/>
  <c r="BO540" i="3"/>
  <c r="BO541" i="3"/>
  <c r="BO542" i="3"/>
  <c r="BO543" i="3"/>
  <c r="BO544" i="3"/>
  <c r="BO545" i="3"/>
  <c r="BO546" i="3"/>
  <c r="BO547" i="3"/>
  <c r="BO548" i="3"/>
  <c r="BO549" i="3"/>
  <c r="BO550" i="3"/>
  <c r="BO551" i="3"/>
  <c r="BO552" i="3"/>
  <c r="BO553" i="3"/>
  <c r="BO554" i="3"/>
  <c r="BO555" i="3"/>
  <c r="BO556" i="3"/>
  <c r="BO557" i="3"/>
  <c r="BO558" i="3"/>
  <c r="BO559" i="3"/>
  <c r="BO560" i="3"/>
  <c r="BO561" i="3"/>
  <c r="BO562" i="3"/>
  <c r="BO563" i="3"/>
  <c r="BO564" i="3"/>
  <c r="BO565" i="3"/>
  <c r="BO566" i="3"/>
  <c r="BO567" i="3"/>
  <c r="BO568" i="3"/>
  <c r="BO569" i="3"/>
  <c r="BO570" i="3"/>
  <c r="BO571" i="3"/>
  <c r="BO572" i="3"/>
  <c r="BO573" i="3"/>
  <c r="BO574" i="3"/>
  <c r="BO575" i="3"/>
  <c r="BO576" i="3"/>
  <c r="BO577" i="3"/>
  <c r="BO578" i="3"/>
  <c r="BO579" i="3"/>
  <c r="BO580" i="3"/>
  <c r="BO581" i="3"/>
  <c r="BO582" i="3"/>
  <c r="BO583" i="3"/>
  <c r="BO584" i="3"/>
  <c r="BO585" i="3"/>
  <c r="BO586" i="3"/>
  <c r="BO587" i="3"/>
  <c r="BO5" i="3"/>
  <c r="F29" i="6"/>
  <c r="F30" i="6"/>
  <c r="F31" i="6"/>
  <c r="BA13" i="3"/>
  <c r="BN13" i="3"/>
  <c r="BP13" i="3"/>
  <c r="BR13" i="3"/>
  <c r="BT13" i="3"/>
  <c r="BL13" i="3"/>
  <c r="AZ13" i="3"/>
  <c r="BA14" i="3"/>
  <c r="BN14" i="3"/>
  <c r="BP14" i="3"/>
  <c r="BR14" i="3"/>
  <c r="BT14" i="3"/>
  <c r="BL14" i="3"/>
  <c r="AZ14" i="3"/>
  <c r="BA15" i="3"/>
  <c r="BN15" i="3"/>
  <c r="BP15" i="3"/>
  <c r="BR15" i="3"/>
  <c r="BT15" i="3"/>
  <c r="BL15" i="3"/>
  <c r="AZ15" i="3"/>
  <c r="BA16" i="3"/>
  <c r="BN16" i="3"/>
  <c r="BP16" i="3"/>
  <c r="BR16" i="3"/>
  <c r="BT16" i="3"/>
  <c r="BL16" i="3"/>
  <c r="AZ16" i="3"/>
  <c r="BA17" i="3"/>
  <c r="BN17" i="3"/>
  <c r="BP17" i="3"/>
  <c r="BR17" i="3"/>
  <c r="BT17" i="3"/>
  <c r="BL17" i="3"/>
  <c r="AZ17" i="3"/>
  <c r="BA18" i="3"/>
  <c r="BN18" i="3"/>
  <c r="BP18" i="3"/>
  <c r="BR18" i="3"/>
  <c r="BT18" i="3"/>
  <c r="BL18" i="3"/>
  <c r="AZ18" i="3"/>
  <c r="BA19" i="3"/>
  <c r="BN19" i="3"/>
  <c r="BP19" i="3"/>
  <c r="BR19" i="3"/>
  <c r="BT19" i="3"/>
  <c r="BL19" i="3"/>
  <c r="AZ19" i="3"/>
  <c r="BA20" i="3"/>
  <c r="BN20" i="3"/>
  <c r="BP20" i="3"/>
  <c r="BR20" i="3"/>
  <c r="BT20" i="3"/>
  <c r="BL20" i="3"/>
  <c r="AZ20" i="3"/>
  <c r="BA21" i="3"/>
  <c r="BN21" i="3"/>
  <c r="BP21" i="3"/>
  <c r="BR21" i="3"/>
  <c r="BT21" i="3"/>
  <c r="BL21" i="3"/>
  <c r="AZ21" i="3"/>
  <c r="BA22" i="3"/>
  <c r="BN22" i="3"/>
  <c r="BP22" i="3"/>
  <c r="BR22" i="3"/>
  <c r="BT22" i="3"/>
  <c r="BL22" i="3"/>
  <c r="AZ22" i="3"/>
  <c r="BA23" i="3"/>
  <c r="BN23" i="3"/>
  <c r="BP23" i="3"/>
  <c r="BR23" i="3"/>
  <c r="BT23" i="3"/>
  <c r="BL23" i="3"/>
  <c r="AZ23" i="3"/>
  <c r="BA24" i="3"/>
  <c r="BN24" i="3"/>
  <c r="BP24" i="3"/>
  <c r="BR24" i="3"/>
  <c r="BT24" i="3"/>
  <c r="BL24" i="3"/>
  <c r="AZ24" i="3"/>
  <c r="BA25" i="3"/>
  <c r="BN25" i="3"/>
  <c r="BP25" i="3"/>
  <c r="BR25" i="3"/>
  <c r="BT25" i="3"/>
  <c r="BL25" i="3"/>
  <c r="AZ25" i="3"/>
  <c r="BA26" i="3"/>
  <c r="BN26" i="3"/>
  <c r="BP26" i="3"/>
  <c r="BR26" i="3"/>
  <c r="BT26" i="3"/>
  <c r="BL26" i="3"/>
  <c r="AZ26" i="3"/>
  <c r="BA27" i="3"/>
  <c r="BN27" i="3"/>
  <c r="BP27" i="3"/>
  <c r="BR27" i="3"/>
  <c r="BT27" i="3"/>
  <c r="BL27" i="3"/>
  <c r="AZ27" i="3"/>
  <c r="BA28" i="3"/>
  <c r="BN28" i="3"/>
  <c r="BP28" i="3"/>
  <c r="BR28" i="3"/>
  <c r="BT28" i="3"/>
  <c r="BL28" i="3"/>
  <c r="AZ28" i="3"/>
  <c r="BA29" i="3"/>
  <c r="BN29" i="3"/>
  <c r="BP29" i="3"/>
  <c r="BR29" i="3"/>
  <c r="BT29" i="3"/>
  <c r="BL29" i="3"/>
  <c r="AZ29" i="3"/>
  <c r="BA30" i="3"/>
  <c r="BN30" i="3"/>
  <c r="BP30" i="3"/>
  <c r="BR30" i="3"/>
  <c r="BT30" i="3"/>
  <c r="BL30" i="3"/>
  <c r="AZ30" i="3"/>
  <c r="BA31" i="3"/>
  <c r="BN31" i="3"/>
  <c r="BP31" i="3"/>
  <c r="BR31" i="3"/>
  <c r="BT31" i="3"/>
  <c r="BL31" i="3"/>
  <c r="AZ31" i="3"/>
  <c r="BA32" i="3"/>
  <c r="BN32" i="3"/>
  <c r="BP32" i="3"/>
  <c r="BR32" i="3"/>
  <c r="BT32" i="3"/>
  <c r="BL32" i="3"/>
  <c r="AZ32" i="3"/>
  <c r="BA33" i="3"/>
  <c r="BN33" i="3"/>
  <c r="BP33" i="3"/>
  <c r="BR33" i="3"/>
  <c r="BT33" i="3"/>
  <c r="BL33" i="3"/>
  <c r="AZ33" i="3"/>
  <c r="BA34" i="3"/>
  <c r="BN34" i="3"/>
  <c r="BP34" i="3"/>
  <c r="BR34" i="3"/>
  <c r="BT34" i="3"/>
  <c r="BL34" i="3"/>
  <c r="AZ34" i="3"/>
  <c r="BA35" i="3"/>
  <c r="BN35" i="3"/>
  <c r="BP35" i="3"/>
  <c r="BR35" i="3"/>
  <c r="BT35" i="3"/>
  <c r="BL35" i="3"/>
  <c r="AZ35" i="3"/>
  <c r="BA36" i="3"/>
  <c r="BN36" i="3"/>
  <c r="BP36" i="3"/>
  <c r="BR36" i="3"/>
  <c r="BT36" i="3"/>
  <c r="BL36" i="3"/>
  <c r="AZ36" i="3"/>
  <c r="BA37" i="3"/>
  <c r="BN37" i="3"/>
  <c r="BP37" i="3"/>
  <c r="BR37" i="3"/>
  <c r="BT37" i="3"/>
  <c r="BL37" i="3"/>
  <c r="AZ37" i="3"/>
  <c r="BA38" i="3"/>
  <c r="BN38" i="3"/>
  <c r="BP38" i="3"/>
  <c r="BR38" i="3"/>
  <c r="BT38" i="3"/>
  <c r="BL38" i="3"/>
  <c r="AZ38" i="3"/>
  <c r="BA39" i="3"/>
  <c r="BN39" i="3"/>
  <c r="BP39" i="3"/>
  <c r="BR39" i="3"/>
  <c r="BT39" i="3"/>
  <c r="BL39" i="3"/>
  <c r="AZ39" i="3"/>
  <c r="BA40" i="3"/>
  <c r="BN40" i="3"/>
  <c r="BP40" i="3"/>
  <c r="BR40" i="3"/>
  <c r="BT40" i="3"/>
  <c r="BL40" i="3"/>
  <c r="AZ40" i="3"/>
  <c r="BA41" i="3"/>
  <c r="BN41" i="3"/>
  <c r="BP41" i="3"/>
  <c r="BR41" i="3"/>
  <c r="BT41" i="3"/>
  <c r="BL41" i="3"/>
  <c r="AZ41" i="3"/>
  <c r="BA42" i="3"/>
  <c r="BN42" i="3"/>
  <c r="BP42" i="3"/>
  <c r="BR42" i="3"/>
  <c r="BT42" i="3"/>
  <c r="BL42" i="3"/>
  <c r="AZ42" i="3"/>
  <c r="BA43" i="3"/>
  <c r="BN43" i="3"/>
  <c r="BP43" i="3"/>
  <c r="BR43" i="3"/>
  <c r="BT43" i="3"/>
  <c r="BL43" i="3"/>
  <c r="AZ43" i="3"/>
  <c r="BA44" i="3"/>
  <c r="BN44" i="3"/>
  <c r="BP44" i="3"/>
  <c r="BR44" i="3"/>
  <c r="BT44" i="3"/>
  <c r="BL44" i="3"/>
  <c r="AZ44" i="3"/>
  <c r="BA45" i="3"/>
  <c r="BN45" i="3"/>
  <c r="BP45" i="3"/>
  <c r="BR45" i="3"/>
  <c r="BT45" i="3"/>
  <c r="BL45" i="3"/>
  <c r="AZ45" i="3"/>
  <c r="BA46" i="3"/>
  <c r="BN46" i="3"/>
  <c r="BP46" i="3"/>
  <c r="BR46" i="3"/>
  <c r="BT46" i="3"/>
  <c r="BL46" i="3"/>
  <c r="AZ46" i="3"/>
  <c r="BA47" i="3"/>
  <c r="BN47" i="3"/>
  <c r="BP47" i="3"/>
  <c r="BR47" i="3"/>
  <c r="BT47" i="3"/>
  <c r="BL47" i="3"/>
  <c r="AZ47" i="3"/>
  <c r="BA48" i="3"/>
  <c r="BN48" i="3"/>
  <c r="BP48" i="3"/>
  <c r="BR48" i="3"/>
  <c r="BT48" i="3"/>
  <c r="BL48" i="3"/>
  <c r="AZ48" i="3"/>
  <c r="BA49" i="3"/>
  <c r="BN49" i="3"/>
  <c r="BP49" i="3"/>
  <c r="BR49" i="3"/>
  <c r="BT49" i="3"/>
  <c r="BL49" i="3"/>
  <c r="AZ49" i="3"/>
  <c r="BA50" i="3"/>
  <c r="BN50" i="3"/>
  <c r="BP50" i="3"/>
  <c r="BR50" i="3"/>
  <c r="BT50" i="3"/>
  <c r="BL50" i="3"/>
  <c r="AZ50" i="3"/>
  <c r="BA51" i="3"/>
  <c r="BN51" i="3"/>
  <c r="BP51" i="3"/>
  <c r="BR51" i="3"/>
  <c r="BT51" i="3"/>
  <c r="BL51" i="3"/>
  <c r="AZ51" i="3"/>
  <c r="BA52" i="3"/>
  <c r="BN52" i="3"/>
  <c r="BP52" i="3"/>
  <c r="BR52" i="3"/>
  <c r="BT52" i="3"/>
  <c r="BL52" i="3"/>
  <c r="AZ52" i="3"/>
  <c r="BA53" i="3"/>
  <c r="BN53" i="3"/>
  <c r="BP53" i="3"/>
  <c r="BR53" i="3"/>
  <c r="BT53" i="3"/>
  <c r="BL53" i="3"/>
  <c r="AZ53" i="3"/>
  <c r="BA54" i="3"/>
  <c r="BN54" i="3"/>
  <c r="BP54" i="3"/>
  <c r="BR54" i="3"/>
  <c r="BT54" i="3"/>
  <c r="BL54" i="3"/>
  <c r="AZ54" i="3"/>
  <c r="BA55" i="3"/>
  <c r="BN55" i="3"/>
  <c r="BP55" i="3"/>
  <c r="BR55" i="3"/>
  <c r="BT55" i="3"/>
  <c r="BL55" i="3"/>
  <c r="AZ55" i="3"/>
  <c r="BA56" i="3"/>
  <c r="BN56" i="3"/>
  <c r="BP56" i="3"/>
  <c r="BR56" i="3"/>
  <c r="BT56" i="3"/>
  <c r="BL56" i="3"/>
  <c r="AZ56" i="3"/>
  <c r="BA57" i="3"/>
  <c r="BN57" i="3"/>
  <c r="BP57" i="3"/>
  <c r="BR57" i="3"/>
  <c r="BT57" i="3"/>
  <c r="BL57" i="3"/>
  <c r="AZ57" i="3"/>
  <c r="BA58" i="3"/>
  <c r="BN58" i="3"/>
  <c r="BP58" i="3"/>
  <c r="BR58" i="3"/>
  <c r="BT58" i="3"/>
  <c r="BL58" i="3"/>
  <c r="AZ58" i="3"/>
  <c r="BA59" i="3"/>
  <c r="BN59" i="3"/>
  <c r="BP59" i="3"/>
  <c r="BR59" i="3"/>
  <c r="BT59" i="3"/>
  <c r="BL59" i="3"/>
  <c r="AZ59" i="3"/>
  <c r="BA60" i="3"/>
  <c r="BN60" i="3"/>
  <c r="BP60" i="3"/>
  <c r="BR60" i="3"/>
  <c r="BT60" i="3"/>
  <c r="BL60" i="3"/>
  <c r="AZ60" i="3"/>
  <c r="BA61" i="3"/>
  <c r="BN61" i="3"/>
  <c r="BP61" i="3"/>
  <c r="BR61" i="3"/>
  <c r="BT61" i="3"/>
  <c r="BL61" i="3"/>
  <c r="AZ61" i="3"/>
  <c r="BA62" i="3"/>
  <c r="BN62" i="3"/>
  <c r="BP62" i="3"/>
  <c r="BR62" i="3"/>
  <c r="BT62" i="3"/>
  <c r="BL62" i="3"/>
  <c r="AZ62" i="3"/>
  <c r="BA63" i="3"/>
  <c r="BN63" i="3"/>
  <c r="BP63" i="3"/>
  <c r="BR63" i="3"/>
  <c r="BT63" i="3"/>
  <c r="BL63" i="3"/>
  <c r="AZ63" i="3"/>
  <c r="BA64" i="3"/>
  <c r="BN64" i="3"/>
  <c r="BP64" i="3"/>
  <c r="BR64" i="3"/>
  <c r="BT64" i="3"/>
  <c r="BL64" i="3"/>
  <c r="AZ64" i="3"/>
  <c r="BA65" i="3"/>
  <c r="BN65" i="3"/>
  <c r="BP65" i="3"/>
  <c r="BR65" i="3"/>
  <c r="BT65" i="3"/>
  <c r="BL65" i="3"/>
  <c r="AZ65" i="3"/>
  <c r="BA66" i="3"/>
  <c r="BN66" i="3"/>
  <c r="BP66" i="3"/>
  <c r="BR66" i="3"/>
  <c r="BT66" i="3"/>
  <c r="BL66" i="3"/>
  <c r="AZ66" i="3"/>
  <c r="BA67" i="3"/>
  <c r="BN67" i="3"/>
  <c r="BP67" i="3"/>
  <c r="BR67" i="3"/>
  <c r="BT67" i="3"/>
  <c r="BL67" i="3"/>
  <c r="AZ67" i="3"/>
  <c r="BA68" i="3"/>
  <c r="BN68" i="3"/>
  <c r="BP68" i="3"/>
  <c r="BR68" i="3"/>
  <c r="BT68" i="3"/>
  <c r="BL68" i="3"/>
  <c r="AZ68" i="3"/>
  <c r="BA69" i="3"/>
  <c r="BN69" i="3"/>
  <c r="BP69" i="3"/>
  <c r="BR69" i="3"/>
  <c r="BT69" i="3"/>
  <c r="BL69" i="3"/>
  <c r="AZ69" i="3"/>
  <c r="BA70" i="3"/>
  <c r="BN70" i="3"/>
  <c r="BP70" i="3"/>
  <c r="BR70" i="3"/>
  <c r="BT70" i="3"/>
  <c r="BL70" i="3"/>
  <c r="AZ70" i="3"/>
  <c r="BA71" i="3"/>
  <c r="BN71" i="3"/>
  <c r="BP71" i="3"/>
  <c r="BR71" i="3"/>
  <c r="BT71" i="3"/>
  <c r="BL71" i="3"/>
  <c r="AZ71" i="3"/>
  <c r="BA72" i="3"/>
  <c r="BN72" i="3"/>
  <c r="BP72" i="3"/>
  <c r="BR72" i="3"/>
  <c r="BT72" i="3"/>
  <c r="BL72" i="3"/>
  <c r="AZ72" i="3"/>
  <c r="BA73" i="3"/>
  <c r="BN73" i="3"/>
  <c r="BP73" i="3"/>
  <c r="BR73" i="3"/>
  <c r="BT73" i="3"/>
  <c r="BL73" i="3"/>
  <c r="AZ73" i="3"/>
  <c r="BA74" i="3"/>
  <c r="BN74" i="3"/>
  <c r="BP74" i="3"/>
  <c r="BR74" i="3"/>
  <c r="BT74" i="3"/>
  <c r="BL74" i="3"/>
  <c r="AZ74" i="3"/>
  <c r="BA75" i="3"/>
  <c r="BN75" i="3"/>
  <c r="BP75" i="3"/>
  <c r="BR75" i="3"/>
  <c r="BT75" i="3"/>
  <c r="BL75" i="3"/>
  <c r="AZ75" i="3"/>
  <c r="BA76" i="3"/>
  <c r="BN76" i="3"/>
  <c r="BP76" i="3"/>
  <c r="BR76" i="3"/>
  <c r="BT76" i="3"/>
  <c r="BL76" i="3"/>
  <c r="AZ76" i="3"/>
  <c r="BA77" i="3"/>
  <c r="BN77" i="3"/>
  <c r="BP77" i="3"/>
  <c r="BR77" i="3"/>
  <c r="BT77" i="3"/>
  <c r="BL77" i="3"/>
  <c r="AZ77" i="3"/>
  <c r="BA78" i="3"/>
  <c r="BN78" i="3"/>
  <c r="BP78" i="3"/>
  <c r="BR78" i="3"/>
  <c r="BT78" i="3"/>
  <c r="BL78" i="3"/>
  <c r="AZ78" i="3"/>
  <c r="BA79" i="3"/>
  <c r="BN79" i="3"/>
  <c r="BP79" i="3"/>
  <c r="BR79" i="3"/>
  <c r="BT79" i="3"/>
  <c r="BL79" i="3"/>
  <c r="AZ79" i="3"/>
  <c r="BA80" i="3"/>
  <c r="BN80" i="3"/>
  <c r="BP80" i="3"/>
  <c r="BR80" i="3"/>
  <c r="BT80" i="3"/>
  <c r="BL80" i="3"/>
  <c r="AZ80" i="3"/>
  <c r="BA81" i="3"/>
  <c r="BN81" i="3"/>
  <c r="BP81" i="3"/>
  <c r="BR81" i="3"/>
  <c r="BT81" i="3"/>
  <c r="BL81" i="3"/>
  <c r="AZ81" i="3"/>
  <c r="BA82" i="3"/>
  <c r="BN82" i="3"/>
  <c r="BP82" i="3"/>
  <c r="BR82" i="3"/>
  <c r="BT82" i="3"/>
  <c r="BL82" i="3"/>
  <c r="AZ82" i="3"/>
  <c r="BA83" i="3"/>
  <c r="BN83" i="3"/>
  <c r="BP83" i="3"/>
  <c r="BR83" i="3"/>
  <c r="BT83" i="3"/>
  <c r="BL83" i="3"/>
  <c r="AZ83" i="3"/>
  <c r="BA84" i="3"/>
  <c r="BN84" i="3"/>
  <c r="BP84" i="3"/>
  <c r="BR84" i="3"/>
  <c r="BT84" i="3"/>
  <c r="BL84" i="3"/>
  <c r="AZ84" i="3"/>
  <c r="BA85" i="3"/>
  <c r="BN85" i="3"/>
  <c r="BP85" i="3"/>
  <c r="BR85" i="3"/>
  <c r="BT85" i="3"/>
  <c r="BL85" i="3"/>
  <c r="AZ85" i="3"/>
  <c r="BA86" i="3"/>
  <c r="BN86" i="3"/>
  <c r="BP86" i="3"/>
  <c r="BR86" i="3"/>
  <c r="BT86" i="3"/>
  <c r="BL86" i="3"/>
  <c r="AZ86" i="3"/>
  <c r="BA87" i="3"/>
  <c r="BN87" i="3"/>
  <c r="BP87" i="3"/>
  <c r="BR87" i="3"/>
  <c r="BT87" i="3"/>
  <c r="BL87" i="3"/>
  <c r="AZ87" i="3"/>
  <c r="BA88" i="3"/>
  <c r="BN88" i="3"/>
  <c r="BP88" i="3"/>
  <c r="BR88" i="3"/>
  <c r="BT88" i="3"/>
  <c r="BL88" i="3"/>
  <c r="AZ88" i="3"/>
  <c r="BA89" i="3"/>
  <c r="BN89" i="3"/>
  <c r="BP89" i="3"/>
  <c r="BR89" i="3"/>
  <c r="BT89" i="3"/>
  <c r="BL89" i="3"/>
  <c r="AZ89" i="3"/>
  <c r="BA90" i="3"/>
  <c r="BN90" i="3"/>
  <c r="BP90" i="3"/>
  <c r="BR90" i="3"/>
  <c r="BT90" i="3"/>
  <c r="BL90" i="3"/>
  <c r="AZ90" i="3"/>
  <c r="BA91" i="3"/>
  <c r="BN91" i="3"/>
  <c r="BP91" i="3"/>
  <c r="BR91" i="3"/>
  <c r="BT91" i="3"/>
  <c r="BL91" i="3"/>
  <c r="AZ91" i="3"/>
  <c r="BA92" i="3"/>
  <c r="BN92" i="3"/>
  <c r="BP92" i="3"/>
  <c r="BR92" i="3"/>
  <c r="BT92" i="3"/>
  <c r="BL92" i="3"/>
  <c r="AZ92" i="3"/>
  <c r="BA93" i="3"/>
  <c r="BN93" i="3"/>
  <c r="BP93" i="3"/>
  <c r="BR93" i="3"/>
  <c r="BT93" i="3"/>
  <c r="BL93" i="3"/>
  <c r="AZ93" i="3"/>
  <c r="BA94" i="3"/>
  <c r="BN94" i="3"/>
  <c r="BP94" i="3"/>
  <c r="BR94" i="3"/>
  <c r="BT94" i="3"/>
  <c r="BL94" i="3"/>
  <c r="AZ94" i="3"/>
  <c r="BA95" i="3"/>
  <c r="BN95" i="3"/>
  <c r="BP95" i="3"/>
  <c r="BR95" i="3"/>
  <c r="BT95" i="3"/>
  <c r="BL95" i="3"/>
  <c r="AZ95" i="3"/>
  <c r="BA96" i="3"/>
  <c r="BN96" i="3"/>
  <c r="BP96" i="3"/>
  <c r="BR96" i="3"/>
  <c r="BT96" i="3"/>
  <c r="BL96" i="3"/>
  <c r="AZ96" i="3"/>
  <c r="BA97" i="3"/>
  <c r="BN97" i="3"/>
  <c r="BP97" i="3"/>
  <c r="BR97" i="3"/>
  <c r="BT97" i="3"/>
  <c r="BL97" i="3"/>
  <c r="AZ97" i="3"/>
  <c r="BA98" i="3"/>
  <c r="BN98" i="3"/>
  <c r="BP98" i="3"/>
  <c r="BR98" i="3"/>
  <c r="BT98" i="3"/>
  <c r="BL98" i="3"/>
  <c r="AZ98" i="3"/>
  <c r="BA99" i="3"/>
  <c r="BN99" i="3"/>
  <c r="BP99" i="3"/>
  <c r="BR99" i="3"/>
  <c r="BT99" i="3"/>
  <c r="BL99" i="3"/>
  <c r="AZ99" i="3"/>
  <c r="BA100" i="3"/>
  <c r="BN100" i="3"/>
  <c r="BP100" i="3"/>
  <c r="BR100" i="3"/>
  <c r="BT100" i="3"/>
  <c r="BL100" i="3"/>
  <c r="AZ100" i="3"/>
  <c r="BA101" i="3"/>
  <c r="BN101" i="3"/>
  <c r="BP101" i="3"/>
  <c r="BR101" i="3"/>
  <c r="BT101" i="3"/>
  <c r="BL101" i="3"/>
  <c r="AZ101" i="3"/>
  <c r="BA102" i="3"/>
  <c r="BN102" i="3"/>
  <c r="BP102" i="3"/>
  <c r="BR102" i="3"/>
  <c r="BT102" i="3"/>
  <c r="BL102" i="3"/>
  <c r="AZ102" i="3"/>
  <c r="BA103" i="3"/>
  <c r="BN103" i="3"/>
  <c r="BP103" i="3"/>
  <c r="BR103" i="3"/>
  <c r="BT103" i="3"/>
  <c r="BL103" i="3"/>
  <c r="AZ103" i="3"/>
  <c r="BA104" i="3"/>
  <c r="BN104" i="3"/>
  <c r="BP104" i="3"/>
  <c r="BR104" i="3"/>
  <c r="BT104" i="3"/>
  <c r="BL104" i="3"/>
  <c r="AZ104" i="3"/>
  <c r="BA105" i="3"/>
  <c r="BN105" i="3"/>
  <c r="BP105" i="3"/>
  <c r="BR105" i="3"/>
  <c r="BT105" i="3"/>
  <c r="BL105" i="3"/>
  <c r="AZ105" i="3"/>
  <c r="BA106" i="3"/>
  <c r="BN106" i="3"/>
  <c r="BP106" i="3"/>
  <c r="BR106" i="3"/>
  <c r="BT106" i="3"/>
  <c r="BL106" i="3"/>
  <c r="AZ106" i="3"/>
  <c r="BA107" i="3"/>
  <c r="BN107" i="3"/>
  <c r="BP107" i="3"/>
  <c r="BR107" i="3"/>
  <c r="BT107" i="3"/>
  <c r="BL107" i="3"/>
  <c r="AZ107" i="3"/>
  <c r="BA108" i="3"/>
  <c r="BN108" i="3"/>
  <c r="BP108" i="3"/>
  <c r="BR108" i="3"/>
  <c r="BT108" i="3"/>
  <c r="BL108" i="3"/>
  <c r="AZ108" i="3"/>
  <c r="BA109" i="3"/>
  <c r="BN109" i="3"/>
  <c r="BP109" i="3"/>
  <c r="BR109" i="3"/>
  <c r="BT109" i="3"/>
  <c r="BL109" i="3"/>
  <c r="AZ109" i="3"/>
  <c r="BA110" i="3"/>
  <c r="BN110" i="3"/>
  <c r="BP110" i="3"/>
  <c r="BR110" i="3"/>
  <c r="BT110" i="3"/>
  <c r="BL110" i="3"/>
  <c r="AZ110" i="3"/>
  <c r="BA111" i="3"/>
  <c r="BN111" i="3"/>
  <c r="BP111" i="3"/>
  <c r="BR111" i="3"/>
  <c r="BT111" i="3"/>
  <c r="BL111" i="3"/>
  <c r="AZ111" i="3"/>
  <c r="BA112" i="3"/>
  <c r="BN112" i="3"/>
  <c r="BP112" i="3"/>
  <c r="BR112" i="3"/>
  <c r="BT112" i="3"/>
  <c r="BL112" i="3"/>
  <c r="AZ112" i="3"/>
  <c r="BA113" i="3"/>
  <c r="BN113" i="3"/>
  <c r="BP113" i="3"/>
  <c r="BR113" i="3"/>
  <c r="BT113" i="3"/>
  <c r="BL113" i="3"/>
  <c r="AZ113" i="3"/>
  <c r="BA114" i="3"/>
  <c r="BN114" i="3"/>
  <c r="BP114" i="3"/>
  <c r="BR114" i="3"/>
  <c r="BT114" i="3"/>
  <c r="BL114" i="3"/>
  <c r="AZ114" i="3"/>
  <c r="BA115" i="3"/>
  <c r="BN115" i="3"/>
  <c r="BP115" i="3"/>
  <c r="BR115" i="3"/>
  <c r="BT115" i="3"/>
  <c r="BL115" i="3"/>
  <c r="AZ115" i="3"/>
  <c r="BA116" i="3"/>
  <c r="BN116" i="3"/>
  <c r="BP116" i="3"/>
  <c r="BR116" i="3"/>
  <c r="BT116" i="3"/>
  <c r="BL116" i="3"/>
  <c r="AZ116" i="3"/>
  <c r="BA117" i="3"/>
  <c r="BN117" i="3"/>
  <c r="BP117" i="3"/>
  <c r="BR117" i="3"/>
  <c r="BT117" i="3"/>
  <c r="BL117" i="3"/>
  <c r="AZ117" i="3"/>
  <c r="BA118" i="3"/>
  <c r="BN118" i="3"/>
  <c r="BP118" i="3"/>
  <c r="BR118" i="3"/>
  <c r="BT118" i="3"/>
  <c r="BL118" i="3"/>
  <c r="AZ118" i="3"/>
  <c r="BA119" i="3"/>
  <c r="BN119" i="3"/>
  <c r="BP119" i="3"/>
  <c r="BR119" i="3"/>
  <c r="BT119" i="3"/>
  <c r="BL119" i="3"/>
  <c r="AZ119" i="3"/>
  <c r="BA120" i="3"/>
  <c r="BN120" i="3"/>
  <c r="BP120" i="3"/>
  <c r="BR120" i="3"/>
  <c r="BT120" i="3"/>
  <c r="BL120" i="3"/>
  <c r="AZ120" i="3"/>
  <c r="BA121" i="3"/>
  <c r="BN121" i="3"/>
  <c r="BP121" i="3"/>
  <c r="BR121" i="3"/>
  <c r="BT121" i="3"/>
  <c r="BL121" i="3"/>
  <c r="AZ121" i="3"/>
  <c r="BA122" i="3"/>
  <c r="BN122" i="3"/>
  <c r="BP122" i="3"/>
  <c r="BR122" i="3"/>
  <c r="BT122" i="3"/>
  <c r="BL122" i="3"/>
  <c r="AZ122" i="3"/>
  <c r="BA123" i="3"/>
  <c r="BN123" i="3"/>
  <c r="BP123" i="3"/>
  <c r="BR123" i="3"/>
  <c r="BT123" i="3"/>
  <c r="BL123" i="3"/>
  <c r="AZ123" i="3"/>
  <c r="BA124" i="3"/>
  <c r="BN124" i="3"/>
  <c r="BP124" i="3"/>
  <c r="BR124" i="3"/>
  <c r="BT124" i="3"/>
  <c r="BL124" i="3"/>
  <c r="AZ124" i="3"/>
  <c r="BA125" i="3"/>
  <c r="BN125" i="3"/>
  <c r="BP125" i="3"/>
  <c r="BR125" i="3"/>
  <c r="BT125" i="3"/>
  <c r="BL125" i="3"/>
  <c r="AZ125" i="3"/>
  <c r="BA126" i="3"/>
  <c r="BN126" i="3"/>
  <c r="BP126" i="3"/>
  <c r="BR126" i="3"/>
  <c r="BT126" i="3"/>
  <c r="BL126" i="3"/>
  <c r="AZ126" i="3"/>
  <c r="BA127" i="3"/>
  <c r="BN127" i="3"/>
  <c r="BP127" i="3"/>
  <c r="BR127" i="3"/>
  <c r="BT127" i="3"/>
  <c r="BL127" i="3"/>
  <c r="AZ127" i="3"/>
  <c r="BA128" i="3"/>
  <c r="BN128" i="3"/>
  <c r="BP128" i="3"/>
  <c r="BR128" i="3"/>
  <c r="BT128" i="3"/>
  <c r="BL128" i="3"/>
  <c r="AZ128" i="3"/>
  <c r="BA129" i="3"/>
  <c r="BN129" i="3"/>
  <c r="BP129" i="3"/>
  <c r="BR129" i="3"/>
  <c r="BT129" i="3"/>
  <c r="BL129" i="3"/>
  <c r="AZ129" i="3"/>
  <c r="BA130" i="3"/>
  <c r="BN130" i="3"/>
  <c r="BP130" i="3"/>
  <c r="BR130" i="3"/>
  <c r="BT130" i="3"/>
  <c r="BL130" i="3"/>
  <c r="AZ130" i="3"/>
  <c r="BA131" i="3"/>
  <c r="BN131" i="3"/>
  <c r="BP131" i="3"/>
  <c r="BR131" i="3"/>
  <c r="BT131" i="3"/>
  <c r="BL131" i="3"/>
  <c r="AZ131" i="3"/>
  <c r="BA132" i="3"/>
  <c r="BN132" i="3"/>
  <c r="BP132" i="3"/>
  <c r="BR132" i="3"/>
  <c r="BT132" i="3"/>
  <c r="BL132" i="3"/>
  <c r="AZ132" i="3"/>
  <c r="BA133" i="3"/>
  <c r="BN133" i="3"/>
  <c r="BP133" i="3"/>
  <c r="BR133" i="3"/>
  <c r="BT133" i="3"/>
  <c r="BL133" i="3"/>
  <c r="AZ133" i="3"/>
  <c r="BA134" i="3"/>
  <c r="BN134" i="3"/>
  <c r="BP134" i="3"/>
  <c r="BR134" i="3"/>
  <c r="BT134" i="3"/>
  <c r="BL134" i="3"/>
  <c r="AZ134" i="3"/>
  <c r="BA135" i="3"/>
  <c r="BN135" i="3"/>
  <c r="BP135" i="3"/>
  <c r="BR135" i="3"/>
  <c r="BT135" i="3"/>
  <c r="BL135" i="3"/>
  <c r="AZ135" i="3"/>
  <c r="BA136" i="3"/>
  <c r="BN136" i="3"/>
  <c r="BP136" i="3"/>
  <c r="BR136" i="3"/>
  <c r="BT136" i="3"/>
  <c r="BL136" i="3"/>
  <c r="AZ136" i="3"/>
  <c r="BA137" i="3"/>
  <c r="BN137" i="3"/>
  <c r="BP137" i="3"/>
  <c r="BR137" i="3"/>
  <c r="BT137" i="3"/>
  <c r="BL137" i="3"/>
  <c r="AZ137" i="3"/>
  <c r="BA138" i="3"/>
  <c r="BN138" i="3"/>
  <c r="BP138" i="3"/>
  <c r="BR138" i="3"/>
  <c r="BT138" i="3"/>
  <c r="BL138" i="3"/>
  <c r="AZ138" i="3"/>
  <c r="BA139" i="3"/>
  <c r="BN139" i="3"/>
  <c r="BP139" i="3"/>
  <c r="BR139" i="3"/>
  <c r="BT139" i="3"/>
  <c r="BL139" i="3"/>
  <c r="AZ139" i="3"/>
  <c r="BA140" i="3"/>
  <c r="BN140" i="3"/>
  <c r="BP140" i="3"/>
  <c r="BR140" i="3"/>
  <c r="BT140" i="3"/>
  <c r="BL140" i="3"/>
  <c r="AZ140" i="3"/>
  <c r="BA141" i="3"/>
  <c r="BN141" i="3"/>
  <c r="BP141" i="3"/>
  <c r="BR141" i="3"/>
  <c r="BT141" i="3"/>
  <c r="BL141" i="3"/>
  <c r="AZ141" i="3"/>
  <c r="BA142" i="3"/>
  <c r="BN142" i="3"/>
  <c r="BP142" i="3"/>
  <c r="BR142" i="3"/>
  <c r="BT142" i="3"/>
  <c r="BL142" i="3"/>
  <c r="AZ142" i="3"/>
  <c r="BA143" i="3"/>
  <c r="BN143" i="3"/>
  <c r="BP143" i="3"/>
  <c r="BR143" i="3"/>
  <c r="BT143" i="3"/>
  <c r="BL143" i="3"/>
  <c r="AZ143" i="3"/>
  <c r="BA144" i="3"/>
  <c r="BN144" i="3"/>
  <c r="BP144" i="3"/>
  <c r="BR144" i="3"/>
  <c r="BT144" i="3"/>
  <c r="BL144" i="3"/>
  <c r="AZ144" i="3"/>
  <c r="BA145" i="3"/>
  <c r="BN145" i="3"/>
  <c r="BP145" i="3"/>
  <c r="BR145" i="3"/>
  <c r="BT145" i="3"/>
  <c r="BL145" i="3"/>
  <c r="AZ145" i="3"/>
  <c r="BA146" i="3"/>
  <c r="BN146" i="3"/>
  <c r="BP146" i="3"/>
  <c r="BR146" i="3"/>
  <c r="BT146" i="3"/>
  <c r="BL146" i="3"/>
  <c r="AZ146" i="3"/>
  <c r="BA147" i="3"/>
  <c r="BN147" i="3"/>
  <c r="BP147" i="3"/>
  <c r="BR147" i="3"/>
  <c r="BT147" i="3"/>
  <c r="BL147" i="3"/>
  <c r="AZ147" i="3"/>
  <c r="BA148" i="3"/>
  <c r="BN148" i="3"/>
  <c r="BP148" i="3"/>
  <c r="BR148" i="3"/>
  <c r="BT148" i="3"/>
  <c r="BL148" i="3"/>
  <c r="AZ148" i="3"/>
  <c r="BA149" i="3"/>
  <c r="BN149" i="3"/>
  <c r="BP149" i="3"/>
  <c r="BR149" i="3"/>
  <c r="BT149" i="3"/>
  <c r="BL149" i="3"/>
  <c r="AZ149" i="3"/>
  <c r="BA150" i="3"/>
  <c r="BN150" i="3"/>
  <c r="BP150" i="3"/>
  <c r="BR150" i="3"/>
  <c r="BT150" i="3"/>
  <c r="BL150" i="3"/>
  <c r="AZ150" i="3"/>
  <c r="BA151" i="3"/>
  <c r="BN151" i="3"/>
  <c r="BP151" i="3"/>
  <c r="BR151" i="3"/>
  <c r="BT151" i="3"/>
  <c r="BL151" i="3"/>
  <c r="AZ151" i="3"/>
  <c r="BA152" i="3"/>
  <c r="BN152" i="3"/>
  <c r="BP152" i="3"/>
  <c r="BR152" i="3"/>
  <c r="BT152" i="3"/>
  <c r="BL152" i="3"/>
  <c r="AZ152" i="3"/>
  <c r="BA153" i="3"/>
  <c r="BN153" i="3"/>
  <c r="BP153" i="3"/>
  <c r="BR153" i="3"/>
  <c r="BT153" i="3"/>
  <c r="BL153" i="3"/>
  <c r="AZ153" i="3"/>
  <c r="BA154" i="3"/>
  <c r="BN154" i="3"/>
  <c r="BP154" i="3"/>
  <c r="BR154" i="3"/>
  <c r="BT154" i="3"/>
  <c r="BL154" i="3"/>
  <c r="AZ154" i="3"/>
  <c r="BA155" i="3"/>
  <c r="BN155" i="3"/>
  <c r="BP155" i="3"/>
  <c r="BR155" i="3"/>
  <c r="BT155" i="3"/>
  <c r="BL155" i="3"/>
  <c r="AZ155" i="3"/>
  <c r="BA156" i="3"/>
  <c r="BN156" i="3"/>
  <c r="BP156" i="3"/>
  <c r="BR156" i="3"/>
  <c r="BT156" i="3"/>
  <c r="BL156" i="3"/>
  <c r="AZ156" i="3"/>
  <c r="BA157" i="3"/>
  <c r="BN157" i="3"/>
  <c r="BP157" i="3"/>
  <c r="BR157" i="3"/>
  <c r="BT157" i="3"/>
  <c r="BL157" i="3"/>
  <c r="AZ157" i="3"/>
  <c r="BA158" i="3"/>
  <c r="BN158" i="3"/>
  <c r="BP158" i="3"/>
  <c r="BR158" i="3"/>
  <c r="BT158" i="3"/>
  <c r="BL158" i="3"/>
  <c r="AZ158" i="3"/>
  <c r="BA159" i="3"/>
  <c r="BN159" i="3"/>
  <c r="BP159" i="3"/>
  <c r="BR159" i="3"/>
  <c r="BT159" i="3"/>
  <c r="BL159" i="3"/>
  <c r="AZ159" i="3"/>
  <c r="BA160" i="3"/>
  <c r="BN160" i="3"/>
  <c r="BP160" i="3"/>
  <c r="BR160" i="3"/>
  <c r="BT160" i="3"/>
  <c r="BL160" i="3"/>
  <c r="AZ160" i="3"/>
  <c r="BA161" i="3"/>
  <c r="BN161" i="3"/>
  <c r="BP161" i="3"/>
  <c r="BR161" i="3"/>
  <c r="BT161" i="3"/>
  <c r="BL161" i="3"/>
  <c r="AZ161" i="3"/>
  <c r="BA162" i="3"/>
  <c r="BN162" i="3"/>
  <c r="BP162" i="3"/>
  <c r="BR162" i="3"/>
  <c r="BT162" i="3"/>
  <c r="BL162" i="3"/>
  <c r="AZ162" i="3"/>
  <c r="BA163" i="3"/>
  <c r="BN163" i="3"/>
  <c r="BP163" i="3"/>
  <c r="BR163" i="3"/>
  <c r="BT163" i="3"/>
  <c r="BL163" i="3"/>
  <c r="AZ163" i="3"/>
  <c r="BA164" i="3"/>
  <c r="BN164" i="3"/>
  <c r="BP164" i="3"/>
  <c r="BR164" i="3"/>
  <c r="BT164" i="3"/>
  <c r="BL164" i="3"/>
  <c r="AZ164" i="3"/>
  <c r="BA165" i="3"/>
  <c r="BN165" i="3"/>
  <c r="BP165" i="3"/>
  <c r="BR165" i="3"/>
  <c r="BT165" i="3"/>
  <c r="BL165" i="3"/>
  <c r="AZ165" i="3"/>
  <c r="BA166" i="3"/>
  <c r="BN166" i="3"/>
  <c r="BP166" i="3"/>
  <c r="BR166" i="3"/>
  <c r="BT166" i="3"/>
  <c r="BL166" i="3"/>
  <c r="AZ166" i="3"/>
  <c r="BA167" i="3"/>
  <c r="BN167" i="3"/>
  <c r="BP167" i="3"/>
  <c r="BR167" i="3"/>
  <c r="BT167" i="3"/>
  <c r="BL167" i="3"/>
  <c r="AZ167" i="3"/>
  <c r="BA168" i="3"/>
  <c r="BN168" i="3"/>
  <c r="BP168" i="3"/>
  <c r="BR168" i="3"/>
  <c r="BT168" i="3"/>
  <c r="BL168" i="3"/>
  <c r="AZ168" i="3"/>
  <c r="BA169" i="3"/>
  <c r="BN169" i="3"/>
  <c r="BP169" i="3"/>
  <c r="BR169" i="3"/>
  <c r="BT169" i="3"/>
  <c r="BL169" i="3"/>
  <c r="AZ169" i="3"/>
  <c r="BA170" i="3"/>
  <c r="BN170" i="3"/>
  <c r="BP170" i="3"/>
  <c r="BR170" i="3"/>
  <c r="BT170" i="3"/>
  <c r="BL170" i="3"/>
  <c r="AZ170" i="3"/>
  <c r="BA171" i="3"/>
  <c r="BN171" i="3"/>
  <c r="BP171" i="3"/>
  <c r="BR171" i="3"/>
  <c r="BT171" i="3"/>
  <c r="BL171" i="3"/>
  <c r="AZ171" i="3"/>
  <c r="BA172" i="3"/>
  <c r="BN172" i="3"/>
  <c r="BP172" i="3"/>
  <c r="BR172" i="3"/>
  <c r="BT172" i="3"/>
  <c r="BL172" i="3"/>
  <c r="AZ172" i="3"/>
  <c r="BA173" i="3"/>
  <c r="BN173" i="3"/>
  <c r="BP173" i="3"/>
  <c r="BR173" i="3"/>
  <c r="BT173" i="3"/>
  <c r="BL173" i="3"/>
  <c r="AZ173" i="3"/>
  <c r="BA174" i="3"/>
  <c r="BN174" i="3"/>
  <c r="BP174" i="3"/>
  <c r="BR174" i="3"/>
  <c r="BT174" i="3"/>
  <c r="BL174" i="3"/>
  <c r="AZ174" i="3"/>
  <c r="BA175" i="3"/>
  <c r="BN175" i="3"/>
  <c r="BP175" i="3"/>
  <c r="BR175" i="3"/>
  <c r="BT175" i="3"/>
  <c r="BL175" i="3"/>
  <c r="AZ175" i="3"/>
  <c r="BA176" i="3"/>
  <c r="BN176" i="3"/>
  <c r="BP176" i="3"/>
  <c r="BR176" i="3"/>
  <c r="BT176" i="3"/>
  <c r="BL176" i="3"/>
  <c r="AZ176" i="3"/>
  <c r="BA177" i="3"/>
  <c r="BN177" i="3"/>
  <c r="BP177" i="3"/>
  <c r="BR177" i="3"/>
  <c r="BT177" i="3"/>
  <c r="BL177" i="3"/>
  <c r="AZ177" i="3"/>
  <c r="BA178" i="3"/>
  <c r="BN178" i="3"/>
  <c r="BP178" i="3"/>
  <c r="BR178" i="3"/>
  <c r="BT178" i="3"/>
  <c r="BL178" i="3"/>
  <c r="AZ178" i="3"/>
  <c r="BA179" i="3"/>
  <c r="BN179" i="3"/>
  <c r="BP179" i="3"/>
  <c r="BR179" i="3"/>
  <c r="BT179" i="3"/>
  <c r="BL179" i="3"/>
  <c r="AZ179" i="3"/>
  <c r="BA180" i="3"/>
  <c r="BN180" i="3"/>
  <c r="BP180" i="3"/>
  <c r="BR180" i="3"/>
  <c r="BT180" i="3"/>
  <c r="BL180" i="3"/>
  <c r="AZ180" i="3"/>
  <c r="BA181" i="3"/>
  <c r="BN181" i="3"/>
  <c r="BP181" i="3"/>
  <c r="BR181" i="3"/>
  <c r="BT181" i="3"/>
  <c r="BL181" i="3"/>
  <c r="AZ181" i="3"/>
  <c r="BA182" i="3"/>
  <c r="BN182" i="3"/>
  <c r="BP182" i="3"/>
  <c r="BR182" i="3"/>
  <c r="BT182" i="3"/>
  <c r="BL182" i="3"/>
  <c r="AZ182" i="3"/>
  <c r="BA183" i="3"/>
  <c r="BN183" i="3"/>
  <c r="BP183" i="3"/>
  <c r="BR183" i="3"/>
  <c r="BT183" i="3"/>
  <c r="BL183" i="3"/>
  <c r="AZ183" i="3"/>
  <c r="BA184" i="3"/>
  <c r="BN184" i="3"/>
  <c r="BP184" i="3"/>
  <c r="BR184" i="3"/>
  <c r="BT184" i="3"/>
  <c r="BL184" i="3"/>
  <c r="AZ184" i="3"/>
  <c r="BA185" i="3"/>
  <c r="BN185" i="3"/>
  <c r="BP185" i="3"/>
  <c r="BR185" i="3"/>
  <c r="BT185" i="3"/>
  <c r="BL185" i="3"/>
  <c r="AZ185" i="3"/>
  <c r="BA186" i="3"/>
  <c r="BN186" i="3"/>
  <c r="BP186" i="3"/>
  <c r="BR186" i="3"/>
  <c r="BT186" i="3"/>
  <c r="BL186" i="3"/>
  <c r="AZ186" i="3"/>
  <c r="BA187" i="3"/>
  <c r="BN187" i="3"/>
  <c r="BP187" i="3"/>
  <c r="BR187" i="3"/>
  <c r="BT187" i="3"/>
  <c r="BL187" i="3"/>
  <c r="AZ187" i="3"/>
  <c r="BA188" i="3"/>
  <c r="BN188" i="3"/>
  <c r="BP188" i="3"/>
  <c r="BR188" i="3"/>
  <c r="BT188" i="3"/>
  <c r="BL188" i="3"/>
  <c r="AZ188" i="3"/>
  <c r="BA189" i="3"/>
  <c r="BN189" i="3"/>
  <c r="BP189" i="3"/>
  <c r="BR189" i="3"/>
  <c r="BT189" i="3"/>
  <c r="BL189" i="3"/>
  <c r="AZ189" i="3"/>
  <c r="BA190" i="3"/>
  <c r="BN190" i="3"/>
  <c r="BP190" i="3"/>
  <c r="BR190" i="3"/>
  <c r="BT190" i="3"/>
  <c r="BL190" i="3"/>
  <c r="AZ190" i="3"/>
  <c r="BA191" i="3"/>
  <c r="BN191" i="3"/>
  <c r="BP191" i="3"/>
  <c r="BR191" i="3"/>
  <c r="BT191" i="3"/>
  <c r="BL191" i="3"/>
  <c r="AZ191" i="3"/>
  <c r="BA192" i="3"/>
  <c r="BN192" i="3"/>
  <c r="BP192" i="3"/>
  <c r="BR192" i="3"/>
  <c r="BT192" i="3"/>
  <c r="BL192" i="3"/>
  <c r="AZ192" i="3"/>
  <c r="BA193" i="3"/>
  <c r="BN193" i="3"/>
  <c r="BP193" i="3"/>
  <c r="BR193" i="3"/>
  <c r="BT193" i="3"/>
  <c r="BL193" i="3"/>
  <c r="AZ193" i="3"/>
  <c r="BA194" i="3"/>
  <c r="BN194" i="3"/>
  <c r="BP194" i="3"/>
  <c r="BR194" i="3"/>
  <c r="BT194" i="3"/>
  <c r="BL194" i="3"/>
  <c r="AZ194" i="3"/>
  <c r="BA195" i="3"/>
  <c r="BN195" i="3"/>
  <c r="BP195" i="3"/>
  <c r="BR195" i="3"/>
  <c r="BT195" i="3"/>
  <c r="BL195" i="3"/>
  <c r="AZ195" i="3"/>
  <c r="BA196" i="3"/>
  <c r="BN196" i="3"/>
  <c r="BP196" i="3"/>
  <c r="BR196" i="3"/>
  <c r="BT196" i="3"/>
  <c r="BL196" i="3"/>
  <c r="AZ196" i="3"/>
  <c r="BA197" i="3"/>
  <c r="BN197" i="3"/>
  <c r="BP197" i="3"/>
  <c r="BR197" i="3"/>
  <c r="BT197" i="3"/>
  <c r="BL197" i="3"/>
  <c r="AZ197" i="3"/>
  <c r="BA198" i="3"/>
  <c r="BN198" i="3"/>
  <c r="BP198" i="3"/>
  <c r="BR198" i="3"/>
  <c r="BT198" i="3"/>
  <c r="BL198" i="3"/>
  <c r="AZ198" i="3"/>
  <c r="BA199" i="3"/>
  <c r="BN199" i="3"/>
  <c r="BP199" i="3"/>
  <c r="BR199" i="3"/>
  <c r="BT199" i="3"/>
  <c r="BL199" i="3"/>
  <c r="AZ199" i="3"/>
  <c r="BA200" i="3"/>
  <c r="BN200" i="3"/>
  <c r="BP200" i="3"/>
  <c r="BR200" i="3"/>
  <c r="BT200" i="3"/>
  <c r="BL200" i="3"/>
  <c r="AZ200" i="3"/>
  <c r="BA201" i="3"/>
  <c r="BN201" i="3"/>
  <c r="BP201" i="3"/>
  <c r="BR201" i="3"/>
  <c r="BT201" i="3"/>
  <c r="BL201" i="3"/>
  <c r="AZ201" i="3"/>
  <c r="BA202" i="3"/>
  <c r="BN202" i="3"/>
  <c r="BP202" i="3"/>
  <c r="BR202" i="3"/>
  <c r="BT202" i="3"/>
  <c r="BL202" i="3"/>
  <c r="AZ202" i="3"/>
  <c r="BA203" i="3"/>
  <c r="BN203" i="3"/>
  <c r="BP203" i="3"/>
  <c r="BR203" i="3"/>
  <c r="BT203" i="3"/>
  <c r="BL203" i="3"/>
  <c r="AZ203" i="3"/>
  <c r="BA204" i="3"/>
  <c r="BN204" i="3"/>
  <c r="BP204" i="3"/>
  <c r="BR204" i="3"/>
  <c r="BT204" i="3"/>
  <c r="BL204" i="3"/>
  <c r="AZ204" i="3"/>
  <c r="BA205" i="3"/>
  <c r="BN205" i="3"/>
  <c r="BP205" i="3"/>
  <c r="BR205" i="3"/>
  <c r="BT205" i="3"/>
  <c r="BL205" i="3"/>
  <c r="AZ205" i="3"/>
  <c r="BA206" i="3"/>
  <c r="BN206" i="3"/>
  <c r="BP206" i="3"/>
  <c r="BR206" i="3"/>
  <c r="BT206" i="3"/>
  <c r="BL206" i="3"/>
  <c r="AZ206" i="3"/>
  <c r="BA207" i="3"/>
  <c r="BN207" i="3"/>
  <c r="BP207" i="3"/>
  <c r="BR207" i="3"/>
  <c r="BT207" i="3"/>
  <c r="BL207" i="3"/>
  <c r="AZ207" i="3"/>
  <c r="BA208" i="3"/>
  <c r="BN208" i="3"/>
  <c r="BP208" i="3"/>
  <c r="BR208" i="3"/>
  <c r="BT208" i="3"/>
  <c r="BL208" i="3"/>
  <c r="AZ208" i="3"/>
  <c r="BA209" i="3"/>
  <c r="BN209" i="3"/>
  <c r="BP209" i="3"/>
  <c r="BR209" i="3"/>
  <c r="BT209" i="3"/>
  <c r="BL209" i="3"/>
  <c r="AZ209" i="3"/>
  <c r="BA210" i="3"/>
  <c r="BN210" i="3"/>
  <c r="BP210" i="3"/>
  <c r="BR210" i="3"/>
  <c r="BT210" i="3"/>
  <c r="BL210" i="3"/>
  <c r="AZ210" i="3"/>
  <c r="BA211" i="3"/>
  <c r="BN211" i="3"/>
  <c r="BP211" i="3"/>
  <c r="BR211" i="3"/>
  <c r="BT211" i="3"/>
  <c r="BL211" i="3"/>
  <c r="AZ211" i="3"/>
  <c r="BA212" i="3"/>
  <c r="BN212" i="3"/>
  <c r="BP212" i="3"/>
  <c r="BR212" i="3"/>
  <c r="BT212" i="3"/>
  <c r="BL212" i="3"/>
  <c r="AZ212" i="3"/>
  <c r="BA213" i="3"/>
  <c r="BN213" i="3"/>
  <c r="BP213" i="3"/>
  <c r="BR213" i="3"/>
  <c r="BT213" i="3"/>
  <c r="BL213" i="3"/>
  <c r="AZ213" i="3"/>
  <c r="BA214" i="3"/>
  <c r="BN214" i="3"/>
  <c r="BP214" i="3"/>
  <c r="BR214" i="3"/>
  <c r="BT214" i="3"/>
  <c r="BL214" i="3"/>
  <c r="AZ214" i="3"/>
  <c r="BA215" i="3"/>
  <c r="BN215" i="3"/>
  <c r="BP215" i="3"/>
  <c r="BR215" i="3"/>
  <c r="BT215" i="3"/>
  <c r="BL215" i="3"/>
  <c r="AZ215" i="3"/>
  <c r="BA216" i="3"/>
  <c r="BN216" i="3"/>
  <c r="BP216" i="3"/>
  <c r="BR216" i="3"/>
  <c r="BT216" i="3"/>
  <c r="BL216" i="3"/>
  <c r="AZ216" i="3"/>
  <c r="BA217" i="3"/>
  <c r="BN217" i="3"/>
  <c r="BP217" i="3"/>
  <c r="BR217" i="3"/>
  <c r="BT217" i="3"/>
  <c r="BL217" i="3"/>
  <c r="AZ217" i="3"/>
  <c r="BA218" i="3"/>
  <c r="BN218" i="3"/>
  <c r="BP218" i="3"/>
  <c r="BR218" i="3"/>
  <c r="BT218" i="3"/>
  <c r="BL218" i="3"/>
  <c r="AZ218" i="3"/>
  <c r="BA219" i="3"/>
  <c r="BN219" i="3"/>
  <c r="BP219" i="3"/>
  <c r="BR219" i="3"/>
  <c r="BT219" i="3"/>
  <c r="BL219" i="3"/>
  <c r="AZ219" i="3"/>
  <c r="BA220" i="3"/>
  <c r="BN220" i="3"/>
  <c r="BP220" i="3"/>
  <c r="BR220" i="3"/>
  <c r="BT220" i="3"/>
  <c r="BL220" i="3"/>
  <c r="AZ220" i="3"/>
  <c r="BA221" i="3"/>
  <c r="BN221" i="3"/>
  <c r="BP221" i="3"/>
  <c r="BR221" i="3"/>
  <c r="BT221" i="3"/>
  <c r="BL221" i="3"/>
  <c r="AZ221" i="3"/>
  <c r="BA222" i="3"/>
  <c r="BN222" i="3"/>
  <c r="BP222" i="3"/>
  <c r="BR222" i="3"/>
  <c r="BT222" i="3"/>
  <c r="BL222" i="3"/>
  <c r="AZ222" i="3"/>
  <c r="BA223" i="3"/>
  <c r="BN223" i="3"/>
  <c r="BP223" i="3"/>
  <c r="BR223" i="3"/>
  <c r="BT223" i="3"/>
  <c r="BL223" i="3"/>
  <c r="AZ223" i="3"/>
  <c r="BA224" i="3"/>
  <c r="BN224" i="3"/>
  <c r="BP224" i="3"/>
  <c r="BR224" i="3"/>
  <c r="BT224" i="3"/>
  <c r="BL224" i="3"/>
  <c r="AZ224" i="3"/>
  <c r="BA225" i="3"/>
  <c r="BN225" i="3"/>
  <c r="BP225" i="3"/>
  <c r="BR225" i="3"/>
  <c r="BT225" i="3"/>
  <c r="BL225" i="3"/>
  <c r="AZ225" i="3"/>
  <c r="BA226" i="3"/>
  <c r="BN226" i="3"/>
  <c r="BP226" i="3"/>
  <c r="BR226" i="3"/>
  <c r="BT226" i="3"/>
  <c r="BL226" i="3"/>
  <c r="AZ226" i="3"/>
  <c r="BA227" i="3"/>
  <c r="BN227" i="3"/>
  <c r="BP227" i="3"/>
  <c r="BR227" i="3"/>
  <c r="BT227" i="3"/>
  <c r="BL227" i="3"/>
  <c r="AZ227" i="3"/>
  <c r="BA228" i="3"/>
  <c r="BN228" i="3"/>
  <c r="BP228" i="3"/>
  <c r="BR228" i="3"/>
  <c r="BT228" i="3"/>
  <c r="BL228" i="3"/>
  <c r="AZ228" i="3"/>
  <c r="BA229" i="3"/>
  <c r="BN229" i="3"/>
  <c r="BP229" i="3"/>
  <c r="BR229" i="3"/>
  <c r="BT229" i="3"/>
  <c r="BL229" i="3"/>
  <c r="AZ229" i="3"/>
  <c r="BA230" i="3"/>
  <c r="BN230" i="3"/>
  <c r="BP230" i="3"/>
  <c r="BR230" i="3"/>
  <c r="BT230" i="3"/>
  <c r="BL230" i="3"/>
  <c r="AZ230" i="3"/>
  <c r="BA231" i="3"/>
  <c r="BN231" i="3"/>
  <c r="BP231" i="3"/>
  <c r="BR231" i="3"/>
  <c r="BT231" i="3"/>
  <c r="BL231" i="3"/>
  <c r="AZ231" i="3"/>
  <c r="BA232" i="3"/>
  <c r="BN232" i="3"/>
  <c r="BP232" i="3"/>
  <c r="BR232" i="3"/>
  <c r="BT232" i="3"/>
  <c r="BL232" i="3"/>
  <c r="AZ232" i="3"/>
  <c r="BA233" i="3"/>
  <c r="BN233" i="3"/>
  <c r="BP233" i="3"/>
  <c r="BR233" i="3"/>
  <c r="BT233" i="3"/>
  <c r="BL233" i="3"/>
  <c r="AZ233" i="3"/>
  <c r="BA234" i="3"/>
  <c r="BN234" i="3"/>
  <c r="BP234" i="3"/>
  <c r="BR234" i="3"/>
  <c r="BT234" i="3"/>
  <c r="BL234" i="3"/>
  <c r="AZ234" i="3"/>
  <c r="BA235" i="3"/>
  <c r="BN235" i="3"/>
  <c r="BP235" i="3"/>
  <c r="BR235" i="3"/>
  <c r="BT235" i="3"/>
  <c r="BL235" i="3"/>
  <c r="AZ235" i="3"/>
  <c r="BA236" i="3"/>
  <c r="BN236" i="3"/>
  <c r="BP236" i="3"/>
  <c r="BR236" i="3"/>
  <c r="BT236" i="3"/>
  <c r="BL236" i="3"/>
  <c r="AZ236" i="3"/>
  <c r="BA237" i="3"/>
  <c r="BN237" i="3"/>
  <c r="BP237" i="3"/>
  <c r="BR237" i="3"/>
  <c r="BT237" i="3"/>
  <c r="BL237" i="3"/>
  <c r="AZ237" i="3"/>
  <c r="BA238" i="3"/>
  <c r="BN238" i="3"/>
  <c r="BP238" i="3"/>
  <c r="BR238" i="3"/>
  <c r="BT238" i="3"/>
  <c r="BL238" i="3"/>
  <c r="AZ238" i="3"/>
  <c r="BA239" i="3"/>
  <c r="BN239" i="3"/>
  <c r="BP239" i="3"/>
  <c r="BR239" i="3"/>
  <c r="BT239" i="3"/>
  <c r="BL239" i="3"/>
  <c r="AZ239" i="3"/>
  <c r="BA240" i="3"/>
  <c r="BN240" i="3"/>
  <c r="BP240" i="3"/>
  <c r="BR240" i="3"/>
  <c r="BT240" i="3"/>
  <c r="BL240" i="3"/>
  <c r="AZ240" i="3"/>
  <c r="BA241" i="3"/>
  <c r="BN241" i="3"/>
  <c r="BP241" i="3"/>
  <c r="BR241" i="3"/>
  <c r="BT241" i="3"/>
  <c r="BL241" i="3"/>
  <c r="AZ241" i="3"/>
  <c r="BA242" i="3"/>
  <c r="BN242" i="3"/>
  <c r="BP242" i="3"/>
  <c r="BR242" i="3"/>
  <c r="BT242" i="3"/>
  <c r="BL242" i="3"/>
  <c r="AZ242" i="3"/>
  <c r="BA243" i="3"/>
  <c r="BN243" i="3"/>
  <c r="BP243" i="3"/>
  <c r="BR243" i="3"/>
  <c r="BT243" i="3"/>
  <c r="BL243" i="3"/>
  <c r="AZ243" i="3"/>
  <c r="BA244" i="3"/>
  <c r="BN244" i="3"/>
  <c r="BP244" i="3"/>
  <c r="BR244" i="3"/>
  <c r="BT244" i="3"/>
  <c r="BL244" i="3"/>
  <c r="AZ244" i="3"/>
  <c r="BA245" i="3"/>
  <c r="BN245" i="3"/>
  <c r="BP245" i="3"/>
  <c r="BR245" i="3"/>
  <c r="BT245" i="3"/>
  <c r="BL245" i="3"/>
  <c r="AZ245" i="3"/>
  <c r="BA246" i="3"/>
  <c r="BN246" i="3"/>
  <c r="BP246" i="3"/>
  <c r="BR246" i="3"/>
  <c r="BT246" i="3"/>
  <c r="BL246" i="3"/>
  <c r="AZ246" i="3"/>
  <c r="BA247" i="3"/>
  <c r="BN247" i="3"/>
  <c r="BP247" i="3"/>
  <c r="BR247" i="3"/>
  <c r="BT247" i="3"/>
  <c r="BL247" i="3"/>
  <c r="AZ247" i="3"/>
  <c r="BA248" i="3"/>
  <c r="BN248" i="3"/>
  <c r="BP248" i="3"/>
  <c r="BR248" i="3"/>
  <c r="BT248" i="3"/>
  <c r="BL248" i="3"/>
  <c r="AZ248" i="3"/>
  <c r="BA249" i="3"/>
  <c r="BN249" i="3"/>
  <c r="BP249" i="3"/>
  <c r="BR249" i="3"/>
  <c r="BT249" i="3"/>
  <c r="BL249" i="3"/>
  <c r="AZ249" i="3"/>
  <c r="BA250" i="3"/>
  <c r="BN250" i="3"/>
  <c r="BP250" i="3"/>
  <c r="BR250" i="3"/>
  <c r="BT250" i="3"/>
  <c r="BL250" i="3"/>
  <c r="AZ250" i="3"/>
  <c r="BA251" i="3"/>
  <c r="BN251" i="3"/>
  <c r="BP251" i="3"/>
  <c r="BR251" i="3"/>
  <c r="BT251" i="3"/>
  <c r="BL251" i="3"/>
  <c r="AZ251" i="3"/>
  <c r="BA252" i="3"/>
  <c r="BN252" i="3"/>
  <c r="BP252" i="3"/>
  <c r="BR252" i="3"/>
  <c r="BT252" i="3"/>
  <c r="BL252" i="3"/>
  <c r="AZ252" i="3"/>
  <c r="BA253" i="3"/>
  <c r="BN253" i="3"/>
  <c r="BP253" i="3"/>
  <c r="BR253" i="3"/>
  <c r="BT253" i="3"/>
  <c r="BL253" i="3"/>
  <c r="AZ253" i="3"/>
  <c r="BA254" i="3"/>
  <c r="BN254" i="3"/>
  <c r="BP254" i="3"/>
  <c r="BR254" i="3"/>
  <c r="BT254" i="3"/>
  <c r="BL254" i="3"/>
  <c r="AZ254" i="3"/>
  <c r="BA255" i="3"/>
  <c r="BN255" i="3"/>
  <c r="BP255" i="3"/>
  <c r="BR255" i="3"/>
  <c r="BT255" i="3"/>
  <c r="BL255" i="3"/>
  <c r="AZ255" i="3"/>
  <c r="BA256" i="3"/>
  <c r="BN256" i="3"/>
  <c r="BP256" i="3"/>
  <c r="BR256" i="3"/>
  <c r="BT256" i="3"/>
  <c r="BL256" i="3"/>
  <c r="AZ256" i="3"/>
  <c r="BA257" i="3"/>
  <c r="BN257" i="3"/>
  <c r="BP257" i="3"/>
  <c r="BR257" i="3"/>
  <c r="BT257" i="3"/>
  <c r="BL257" i="3"/>
  <c r="AZ257" i="3"/>
  <c r="BA258" i="3"/>
  <c r="BN258" i="3"/>
  <c r="BP258" i="3"/>
  <c r="BR258" i="3"/>
  <c r="BT258" i="3"/>
  <c r="BL258" i="3"/>
  <c r="AZ258" i="3"/>
  <c r="BA259" i="3"/>
  <c r="BN259" i="3"/>
  <c r="BP259" i="3"/>
  <c r="BR259" i="3"/>
  <c r="BT259" i="3"/>
  <c r="BL259" i="3"/>
  <c r="AZ259" i="3"/>
  <c r="BA260" i="3"/>
  <c r="BN260" i="3"/>
  <c r="BP260" i="3"/>
  <c r="BR260" i="3"/>
  <c r="BT260" i="3"/>
  <c r="BL260" i="3"/>
  <c r="AZ260" i="3"/>
  <c r="BA261" i="3"/>
  <c r="BN261" i="3"/>
  <c r="BP261" i="3"/>
  <c r="BR261" i="3"/>
  <c r="BT261" i="3"/>
  <c r="BL261" i="3"/>
  <c r="AZ261" i="3"/>
  <c r="BA262" i="3"/>
  <c r="BN262" i="3"/>
  <c r="BP262" i="3"/>
  <c r="BR262" i="3"/>
  <c r="BT262" i="3"/>
  <c r="BL262" i="3"/>
  <c r="AZ262" i="3"/>
  <c r="BA263" i="3"/>
  <c r="BN263" i="3"/>
  <c r="BP263" i="3"/>
  <c r="BR263" i="3"/>
  <c r="BT263" i="3"/>
  <c r="BL263" i="3"/>
  <c r="AZ263" i="3"/>
  <c r="BA264" i="3"/>
  <c r="BN264" i="3"/>
  <c r="BP264" i="3"/>
  <c r="BR264" i="3"/>
  <c r="BT264" i="3"/>
  <c r="BL264" i="3"/>
  <c r="AZ264" i="3"/>
  <c r="BA265" i="3"/>
  <c r="BN265" i="3"/>
  <c r="BP265" i="3"/>
  <c r="BR265" i="3"/>
  <c r="BT265" i="3"/>
  <c r="BL265" i="3"/>
  <c r="AZ265" i="3"/>
  <c r="BA266" i="3"/>
  <c r="BN266" i="3"/>
  <c r="BP266" i="3"/>
  <c r="BR266" i="3"/>
  <c r="BT266" i="3"/>
  <c r="BL266" i="3"/>
  <c r="AZ266" i="3"/>
  <c r="BA267" i="3"/>
  <c r="BN267" i="3"/>
  <c r="BP267" i="3"/>
  <c r="BR267" i="3"/>
  <c r="BT267" i="3"/>
  <c r="BL267" i="3"/>
  <c r="AZ267" i="3"/>
  <c r="BA268" i="3"/>
  <c r="BN268" i="3"/>
  <c r="BP268" i="3"/>
  <c r="BR268" i="3"/>
  <c r="BT268" i="3"/>
  <c r="BL268" i="3"/>
  <c r="AZ268" i="3"/>
  <c r="BA269" i="3"/>
  <c r="BN269" i="3"/>
  <c r="BP269" i="3"/>
  <c r="BR269" i="3"/>
  <c r="BT269" i="3"/>
  <c r="BL269" i="3"/>
  <c r="AZ269" i="3"/>
  <c r="BA270" i="3"/>
  <c r="BN270" i="3"/>
  <c r="BP270" i="3"/>
  <c r="BR270" i="3"/>
  <c r="BT270" i="3"/>
  <c r="BL270" i="3"/>
  <c r="AZ270" i="3"/>
  <c r="BA271" i="3"/>
  <c r="BN271" i="3"/>
  <c r="BP271" i="3"/>
  <c r="BR271" i="3"/>
  <c r="BT271" i="3"/>
  <c r="BL271" i="3"/>
  <c r="AZ271" i="3"/>
  <c r="BA272" i="3"/>
  <c r="BN272" i="3"/>
  <c r="BP272" i="3"/>
  <c r="BR272" i="3"/>
  <c r="BT272" i="3"/>
  <c r="BL272" i="3"/>
  <c r="AZ272" i="3"/>
  <c r="BA273" i="3"/>
  <c r="BN273" i="3"/>
  <c r="BP273" i="3"/>
  <c r="BR273" i="3"/>
  <c r="BT273" i="3"/>
  <c r="BL273" i="3"/>
  <c r="AZ273" i="3"/>
  <c r="BA274" i="3"/>
  <c r="BN274" i="3"/>
  <c r="BP274" i="3"/>
  <c r="BR274" i="3"/>
  <c r="BT274" i="3"/>
  <c r="BL274" i="3"/>
  <c r="AZ274" i="3"/>
  <c r="BA275" i="3"/>
  <c r="BN275" i="3"/>
  <c r="BP275" i="3"/>
  <c r="BR275" i="3"/>
  <c r="BT275" i="3"/>
  <c r="BL275" i="3"/>
  <c r="AZ275" i="3"/>
  <c r="BA276" i="3"/>
  <c r="BN276" i="3"/>
  <c r="BP276" i="3"/>
  <c r="BR276" i="3"/>
  <c r="BT276" i="3"/>
  <c r="BL276" i="3"/>
  <c r="AZ276" i="3"/>
  <c r="BA277" i="3"/>
  <c r="BN277" i="3"/>
  <c r="BP277" i="3"/>
  <c r="BR277" i="3"/>
  <c r="BT277" i="3"/>
  <c r="BL277" i="3"/>
  <c r="AZ277" i="3"/>
  <c r="BA278" i="3"/>
  <c r="BN278" i="3"/>
  <c r="BP278" i="3"/>
  <c r="BR278" i="3"/>
  <c r="BT278" i="3"/>
  <c r="BL278" i="3"/>
  <c r="AZ278" i="3"/>
  <c r="BA279" i="3"/>
  <c r="BN279" i="3"/>
  <c r="BP279" i="3"/>
  <c r="BR279" i="3"/>
  <c r="BT279" i="3"/>
  <c r="BL279" i="3"/>
  <c r="AZ279" i="3"/>
  <c r="BA280" i="3"/>
  <c r="BN280" i="3"/>
  <c r="BP280" i="3"/>
  <c r="BR280" i="3"/>
  <c r="BT280" i="3"/>
  <c r="BL280" i="3"/>
  <c r="AZ280" i="3"/>
  <c r="BA281" i="3"/>
  <c r="BN281" i="3"/>
  <c r="BP281" i="3"/>
  <c r="BR281" i="3"/>
  <c r="BT281" i="3"/>
  <c r="BL281" i="3"/>
  <c r="AZ281" i="3"/>
  <c r="BA282" i="3"/>
  <c r="BN282" i="3"/>
  <c r="BP282" i="3"/>
  <c r="BR282" i="3"/>
  <c r="BT282" i="3"/>
  <c r="BL282" i="3"/>
  <c r="AZ282" i="3"/>
  <c r="BA283" i="3"/>
  <c r="BN283" i="3"/>
  <c r="BP283" i="3"/>
  <c r="BR283" i="3"/>
  <c r="BT283" i="3"/>
  <c r="BL283" i="3"/>
  <c r="AZ283" i="3"/>
  <c r="BA284" i="3"/>
  <c r="BN284" i="3"/>
  <c r="BP284" i="3"/>
  <c r="BR284" i="3"/>
  <c r="BT284" i="3"/>
  <c r="BL284" i="3"/>
  <c r="AZ284" i="3"/>
  <c r="BA285" i="3"/>
  <c r="BN285" i="3"/>
  <c r="BP285" i="3"/>
  <c r="BR285" i="3"/>
  <c r="BT285" i="3"/>
  <c r="BL285" i="3"/>
  <c r="AZ285" i="3"/>
  <c r="BA286" i="3"/>
  <c r="BN286" i="3"/>
  <c r="BP286" i="3"/>
  <c r="BR286" i="3"/>
  <c r="BT286" i="3"/>
  <c r="BL286" i="3"/>
  <c r="AZ286" i="3"/>
  <c r="BA287" i="3"/>
  <c r="BN287" i="3"/>
  <c r="BP287" i="3"/>
  <c r="BR287" i="3"/>
  <c r="BT287" i="3"/>
  <c r="BL287" i="3"/>
  <c r="AZ287" i="3"/>
  <c r="BA288" i="3"/>
  <c r="BN288" i="3"/>
  <c r="BP288" i="3"/>
  <c r="BR288" i="3"/>
  <c r="BT288" i="3"/>
  <c r="BL288" i="3"/>
  <c r="AZ288" i="3"/>
  <c r="BA289" i="3"/>
  <c r="BN289" i="3"/>
  <c r="BP289" i="3"/>
  <c r="BR289" i="3"/>
  <c r="BT289" i="3"/>
  <c r="BL289" i="3"/>
  <c r="AZ289" i="3"/>
  <c r="BA290" i="3"/>
  <c r="BN290" i="3"/>
  <c r="BP290" i="3"/>
  <c r="BR290" i="3"/>
  <c r="BT290" i="3"/>
  <c r="BL290" i="3"/>
  <c r="AZ290" i="3"/>
  <c r="BA291" i="3"/>
  <c r="BN291" i="3"/>
  <c r="BP291" i="3"/>
  <c r="BR291" i="3"/>
  <c r="BT291" i="3"/>
  <c r="BL291" i="3"/>
  <c r="AZ291" i="3"/>
  <c r="BA292" i="3"/>
  <c r="BN292" i="3"/>
  <c r="BP292" i="3"/>
  <c r="BR292" i="3"/>
  <c r="BT292" i="3"/>
  <c r="BL292" i="3"/>
  <c r="AZ292" i="3"/>
  <c r="BA293" i="3"/>
  <c r="BN293" i="3"/>
  <c r="BP293" i="3"/>
  <c r="BR293" i="3"/>
  <c r="BT293" i="3"/>
  <c r="BL293" i="3"/>
  <c r="AZ293" i="3"/>
  <c r="BA294" i="3"/>
  <c r="BN294" i="3"/>
  <c r="BP294" i="3"/>
  <c r="BR294" i="3"/>
  <c r="BT294" i="3"/>
  <c r="BL294" i="3"/>
  <c r="AZ294" i="3"/>
  <c r="BA295" i="3"/>
  <c r="BN295" i="3"/>
  <c r="BP295" i="3"/>
  <c r="BR295" i="3"/>
  <c r="BT295" i="3"/>
  <c r="BL295" i="3"/>
  <c r="AZ295" i="3"/>
  <c r="BA296" i="3"/>
  <c r="BN296" i="3"/>
  <c r="BP296" i="3"/>
  <c r="BR296" i="3"/>
  <c r="BT296" i="3"/>
  <c r="BL296" i="3"/>
  <c r="AZ296" i="3"/>
  <c r="BA297" i="3"/>
  <c r="BN297" i="3"/>
  <c r="BP297" i="3"/>
  <c r="BR297" i="3"/>
  <c r="BT297" i="3"/>
  <c r="BL297" i="3"/>
  <c r="AZ297" i="3"/>
  <c r="BA298" i="3"/>
  <c r="BN298" i="3"/>
  <c r="BP298" i="3"/>
  <c r="BR298" i="3"/>
  <c r="BT298" i="3"/>
  <c r="BL298" i="3"/>
  <c r="AZ298" i="3"/>
  <c r="BA299" i="3"/>
  <c r="BN299" i="3"/>
  <c r="BP299" i="3"/>
  <c r="BR299" i="3"/>
  <c r="BT299" i="3"/>
  <c r="BL299" i="3"/>
  <c r="AZ299" i="3"/>
  <c r="BA300" i="3"/>
  <c r="BN300" i="3"/>
  <c r="BP300" i="3"/>
  <c r="BR300" i="3"/>
  <c r="BT300" i="3"/>
  <c r="BL300" i="3"/>
  <c r="AZ300" i="3"/>
  <c r="BA301" i="3"/>
  <c r="BN301" i="3"/>
  <c r="BP301" i="3"/>
  <c r="BR301" i="3"/>
  <c r="BT301" i="3"/>
  <c r="BL301" i="3"/>
  <c r="AZ301" i="3"/>
  <c r="BA302" i="3"/>
  <c r="BN302" i="3"/>
  <c r="BP302" i="3"/>
  <c r="BR302" i="3"/>
  <c r="BT302" i="3"/>
  <c r="BL302" i="3"/>
  <c r="AZ302" i="3"/>
  <c r="BA303" i="3"/>
  <c r="BN303" i="3"/>
  <c r="BP303" i="3"/>
  <c r="BR303" i="3"/>
  <c r="BT303" i="3"/>
  <c r="BL303" i="3"/>
  <c r="AZ303" i="3"/>
  <c r="BA304" i="3"/>
  <c r="BN304" i="3"/>
  <c r="BP304" i="3"/>
  <c r="BR304" i="3"/>
  <c r="BT304" i="3"/>
  <c r="BL304" i="3"/>
  <c r="AZ304" i="3"/>
  <c r="BA305" i="3"/>
  <c r="BN305" i="3"/>
  <c r="BP305" i="3"/>
  <c r="BR305" i="3"/>
  <c r="BT305" i="3"/>
  <c r="BL305" i="3"/>
  <c r="AZ305" i="3"/>
  <c r="BA306" i="3"/>
  <c r="BN306" i="3"/>
  <c r="BP306" i="3"/>
  <c r="BR306" i="3"/>
  <c r="BT306" i="3"/>
  <c r="BL306" i="3"/>
  <c r="AZ306" i="3"/>
  <c r="BA307" i="3"/>
  <c r="BN307" i="3"/>
  <c r="BP307" i="3"/>
  <c r="BR307" i="3"/>
  <c r="BT307" i="3"/>
  <c r="BL307" i="3"/>
  <c r="AZ307" i="3"/>
  <c r="BA308" i="3"/>
  <c r="BN308" i="3"/>
  <c r="BP308" i="3"/>
  <c r="BR308" i="3"/>
  <c r="BT308" i="3"/>
  <c r="BL308" i="3"/>
  <c r="AZ308" i="3"/>
  <c r="BA309" i="3"/>
  <c r="BN309" i="3"/>
  <c r="BP309" i="3"/>
  <c r="BR309" i="3"/>
  <c r="BT309" i="3"/>
  <c r="BL309" i="3"/>
  <c r="AZ309" i="3"/>
  <c r="BA310" i="3"/>
  <c r="BN310" i="3"/>
  <c r="BP310" i="3"/>
  <c r="BR310" i="3"/>
  <c r="BT310" i="3"/>
  <c r="BL310" i="3"/>
  <c r="AZ310" i="3"/>
  <c r="BA311" i="3"/>
  <c r="BN311" i="3"/>
  <c r="BP311" i="3"/>
  <c r="BR311" i="3"/>
  <c r="BT311" i="3"/>
  <c r="BL311" i="3"/>
  <c r="AZ311" i="3"/>
  <c r="BA312" i="3"/>
  <c r="BN312" i="3"/>
  <c r="BP312" i="3"/>
  <c r="BR312" i="3"/>
  <c r="BT312" i="3"/>
  <c r="BL312" i="3"/>
  <c r="AZ312" i="3"/>
  <c r="BA313" i="3"/>
  <c r="BN313" i="3"/>
  <c r="BP313" i="3"/>
  <c r="BR313" i="3"/>
  <c r="BT313" i="3"/>
  <c r="BL313" i="3"/>
  <c r="AZ313" i="3"/>
  <c r="BA314" i="3"/>
  <c r="BN314" i="3"/>
  <c r="BP314" i="3"/>
  <c r="BR314" i="3"/>
  <c r="BT314" i="3"/>
  <c r="BL314" i="3"/>
  <c r="AZ314" i="3"/>
  <c r="BA315" i="3"/>
  <c r="BN315" i="3"/>
  <c r="BP315" i="3"/>
  <c r="BR315" i="3"/>
  <c r="BT315" i="3"/>
  <c r="BL315" i="3"/>
  <c r="AZ315" i="3"/>
  <c r="BA316" i="3"/>
  <c r="BN316" i="3"/>
  <c r="BP316" i="3"/>
  <c r="BR316" i="3"/>
  <c r="BT316" i="3"/>
  <c r="BL316" i="3"/>
  <c r="AZ316" i="3"/>
  <c r="BA317" i="3"/>
  <c r="BN317" i="3"/>
  <c r="BP317" i="3"/>
  <c r="BR317" i="3"/>
  <c r="BT317" i="3"/>
  <c r="BL317" i="3"/>
  <c r="AZ317" i="3"/>
  <c r="BA318" i="3"/>
  <c r="BN318" i="3"/>
  <c r="BP318" i="3"/>
  <c r="BR318" i="3"/>
  <c r="BT318" i="3"/>
  <c r="BL318" i="3"/>
  <c r="AZ318" i="3"/>
  <c r="BA319" i="3"/>
  <c r="BN319" i="3"/>
  <c r="BP319" i="3"/>
  <c r="BR319" i="3"/>
  <c r="BT319" i="3"/>
  <c r="BL319" i="3"/>
  <c r="AZ319" i="3"/>
  <c r="BA320" i="3"/>
  <c r="BN320" i="3"/>
  <c r="BP320" i="3"/>
  <c r="BR320" i="3"/>
  <c r="BT320" i="3"/>
  <c r="BL320" i="3"/>
  <c r="AZ320" i="3"/>
  <c r="BA321" i="3"/>
  <c r="BN321" i="3"/>
  <c r="BP321" i="3"/>
  <c r="BR321" i="3"/>
  <c r="BT321" i="3"/>
  <c r="BL321" i="3"/>
  <c r="AZ321" i="3"/>
  <c r="BA322" i="3"/>
  <c r="BN322" i="3"/>
  <c r="BP322" i="3"/>
  <c r="BR322" i="3"/>
  <c r="BT322" i="3"/>
  <c r="BL322" i="3"/>
  <c r="AZ322" i="3"/>
  <c r="BA323" i="3"/>
  <c r="BN323" i="3"/>
  <c r="BP323" i="3"/>
  <c r="BR323" i="3"/>
  <c r="BT323" i="3"/>
  <c r="BL323" i="3"/>
  <c r="AZ323" i="3"/>
  <c r="BA324" i="3"/>
  <c r="BN324" i="3"/>
  <c r="BP324" i="3"/>
  <c r="BR324" i="3"/>
  <c r="BT324" i="3"/>
  <c r="BL324" i="3"/>
  <c r="AZ324" i="3"/>
  <c r="BA325" i="3"/>
  <c r="BN325" i="3"/>
  <c r="BP325" i="3"/>
  <c r="BR325" i="3"/>
  <c r="BT325" i="3"/>
  <c r="BL325" i="3"/>
  <c r="AZ325" i="3"/>
  <c r="BA326" i="3"/>
  <c r="BN326" i="3"/>
  <c r="BP326" i="3"/>
  <c r="BR326" i="3"/>
  <c r="BT326" i="3"/>
  <c r="BL326" i="3"/>
  <c r="AZ326" i="3"/>
  <c r="BA327" i="3"/>
  <c r="BN327" i="3"/>
  <c r="BP327" i="3"/>
  <c r="BR327" i="3"/>
  <c r="BT327" i="3"/>
  <c r="BL327" i="3"/>
  <c r="AZ327" i="3"/>
  <c r="BA328" i="3"/>
  <c r="BN328" i="3"/>
  <c r="BP328" i="3"/>
  <c r="BR328" i="3"/>
  <c r="BT328" i="3"/>
  <c r="BL328" i="3"/>
  <c r="AZ328" i="3"/>
  <c r="BA329" i="3"/>
  <c r="BN329" i="3"/>
  <c r="BP329" i="3"/>
  <c r="BR329" i="3"/>
  <c r="BT329" i="3"/>
  <c r="BL329" i="3"/>
  <c r="AZ329" i="3"/>
  <c r="BA330" i="3"/>
  <c r="BN330" i="3"/>
  <c r="BP330" i="3"/>
  <c r="BR330" i="3"/>
  <c r="BT330" i="3"/>
  <c r="BL330" i="3"/>
  <c r="AZ330" i="3"/>
  <c r="BA331" i="3"/>
  <c r="BN331" i="3"/>
  <c r="BP331" i="3"/>
  <c r="BR331" i="3"/>
  <c r="BT331" i="3"/>
  <c r="BL331" i="3"/>
  <c r="AZ331" i="3"/>
  <c r="BA332" i="3"/>
  <c r="BN332" i="3"/>
  <c r="BP332" i="3"/>
  <c r="BR332" i="3"/>
  <c r="BT332" i="3"/>
  <c r="BL332" i="3"/>
  <c r="AZ332" i="3"/>
  <c r="BA333" i="3"/>
  <c r="BN333" i="3"/>
  <c r="BP333" i="3"/>
  <c r="BR333" i="3"/>
  <c r="BT333" i="3"/>
  <c r="BL333" i="3"/>
  <c r="AZ333" i="3"/>
  <c r="BA334" i="3"/>
  <c r="BN334" i="3"/>
  <c r="BP334" i="3"/>
  <c r="BR334" i="3"/>
  <c r="BT334" i="3"/>
  <c r="BL334" i="3"/>
  <c r="AZ334" i="3"/>
  <c r="BA335" i="3"/>
  <c r="BN335" i="3"/>
  <c r="BP335" i="3"/>
  <c r="BR335" i="3"/>
  <c r="BT335" i="3"/>
  <c r="BL335" i="3"/>
  <c r="AZ335" i="3"/>
  <c r="BA336" i="3"/>
  <c r="BN336" i="3"/>
  <c r="BP336" i="3"/>
  <c r="BR336" i="3"/>
  <c r="BT336" i="3"/>
  <c r="BL336" i="3"/>
  <c r="AZ336" i="3"/>
  <c r="BA337" i="3"/>
  <c r="BN337" i="3"/>
  <c r="BP337" i="3"/>
  <c r="BR337" i="3"/>
  <c r="BT337" i="3"/>
  <c r="BL337" i="3"/>
  <c r="AZ337" i="3"/>
  <c r="BA338" i="3"/>
  <c r="BN338" i="3"/>
  <c r="BP338" i="3"/>
  <c r="BR338" i="3"/>
  <c r="BT338" i="3"/>
  <c r="BL338" i="3"/>
  <c r="AZ338" i="3"/>
  <c r="BA339" i="3"/>
  <c r="BN339" i="3"/>
  <c r="BP339" i="3"/>
  <c r="BR339" i="3"/>
  <c r="BT339" i="3"/>
  <c r="BL339" i="3"/>
  <c r="AZ339" i="3"/>
  <c r="BA340" i="3"/>
  <c r="BN340" i="3"/>
  <c r="BP340" i="3"/>
  <c r="BR340" i="3"/>
  <c r="BT340" i="3"/>
  <c r="BL340" i="3"/>
  <c r="AZ340" i="3"/>
  <c r="BA341" i="3"/>
  <c r="BN341" i="3"/>
  <c r="BP341" i="3"/>
  <c r="BR341" i="3"/>
  <c r="BT341" i="3"/>
  <c r="BL341" i="3"/>
  <c r="AZ341" i="3"/>
  <c r="BA342" i="3"/>
  <c r="BN342" i="3"/>
  <c r="BP342" i="3"/>
  <c r="BR342" i="3"/>
  <c r="BT342" i="3"/>
  <c r="BL342" i="3"/>
  <c r="AZ342" i="3"/>
  <c r="BA343" i="3"/>
  <c r="BN343" i="3"/>
  <c r="BP343" i="3"/>
  <c r="BR343" i="3"/>
  <c r="BT343" i="3"/>
  <c r="BL343" i="3"/>
  <c r="AZ343" i="3"/>
  <c r="BA344" i="3"/>
  <c r="BN344" i="3"/>
  <c r="BP344" i="3"/>
  <c r="BR344" i="3"/>
  <c r="BT344" i="3"/>
  <c r="BL344" i="3"/>
  <c r="AZ344" i="3"/>
  <c r="BA345" i="3"/>
  <c r="BN345" i="3"/>
  <c r="BP345" i="3"/>
  <c r="BR345" i="3"/>
  <c r="BT345" i="3"/>
  <c r="BL345" i="3"/>
  <c r="AZ345" i="3"/>
  <c r="BA346" i="3"/>
  <c r="BN346" i="3"/>
  <c r="BP346" i="3"/>
  <c r="BR346" i="3"/>
  <c r="BT346" i="3"/>
  <c r="BL346" i="3"/>
  <c r="AZ346" i="3"/>
  <c r="BA347" i="3"/>
  <c r="BN347" i="3"/>
  <c r="BP347" i="3"/>
  <c r="BR347" i="3"/>
  <c r="BT347" i="3"/>
  <c r="BL347" i="3"/>
  <c r="AZ347" i="3"/>
  <c r="BA348" i="3"/>
  <c r="BN348" i="3"/>
  <c r="BP348" i="3"/>
  <c r="BR348" i="3"/>
  <c r="BT348" i="3"/>
  <c r="BL348" i="3"/>
  <c r="AZ348" i="3"/>
  <c r="BA349" i="3"/>
  <c r="BN349" i="3"/>
  <c r="BP349" i="3"/>
  <c r="BR349" i="3"/>
  <c r="BT349" i="3"/>
  <c r="BL349" i="3"/>
  <c r="AZ349" i="3"/>
  <c r="BA350" i="3"/>
  <c r="BN350" i="3"/>
  <c r="BP350" i="3"/>
  <c r="BR350" i="3"/>
  <c r="BT350" i="3"/>
  <c r="BL350" i="3"/>
  <c r="AZ350" i="3"/>
  <c r="BA351" i="3"/>
  <c r="BN351" i="3"/>
  <c r="BP351" i="3"/>
  <c r="BR351" i="3"/>
  <c r="BT351" i="3"/>
  <c r="BL351" i="3"/>
  <c r="AZ351" i="3"/>
  <c r="BA352" i="3"/>
  <c r="BN352" i="3"/>
  <c r="BP352" i="3"/>
  <c r="BR352" i="3"/>
  <c r="BT352" i="3"/>
  <c r="BL352" i="3"/>
  <c r="AZ352" i="3"/>
  <c r="BA353" i="3"/>
  <c r="BN353" i="3"/>
  <c r="BP353" i="3"/>
  <c r="BR353" i="3"/>
  <c r="BT353" i="3"/>
  <c r="BL353" i="3"/>
  <c r="AZ353" i="3"/>
  <c r="BA354" i="3"/>
  <c r="BN354" i="3"/>
  <c r="BP354" i="3"/>
  <c r="BR354" i="3"/>
  <c r="BT354" i="3"/>
  <c r="BL354" i="3"/>
  <c r="AZ354" i="3"/>
  <c r="BA355" i="3"/>
  <c r="BN355" i="3"/>
  <c r="BP355" i="3"/>
  <c r="BR355" i="3"/>
  <c r="BT355" i="3"/>
  <c r="BL355" i="3"/>
  <c r="AZ355" i="3"/>
  <c r="BA356" i="3"/>
  <c r="BN356" i="3"/>
  <c r="BP356" i="3"/>
  <c r="BR356" i="3"/>
  <c r="BT356" i="3"/>
  <c r="BL356" i="3"/>
  <c r="AZ356" i="3"/>
  <c r="BA357" i="3"/>
  <c r="BN357" i="3"/>
  <c r="BP357" i="3"/>
  <c r="BR357" i="3"/>
  <c r="BT357" i="3"/>
  <c r="BL357" i="3"/>
  <c r="AZ357" i="3"/>
  <c r="BA358" i="3"/>
  <c r="BN358" i="3"/>
  <c r="BP358" i="3"/>
  <c r="BR358" i="3"/>
  <c r="BT358" i="3"/>
  <c r="BL358" i="3"/>
  <c r="AZ358" i="3"/>
  <c r="BA359" i="3"/>
  <c r="BN359" i="3"/>
  <c r="BP359" i="3"/>
  <c r="BR359" i="3"/>
  <c r="BT359" i="3"/>
  <c r="BL359" i="3"/>
  <c r="AZ359" i="3"/>
  <c r="BA360" i="3"/>
  <c r="BN360" i="3"/>
  <c r="BP360" i="3"/>
  <c r="BR360" i="3"/>
  <c r="BT360" i="3"/>
  <c r="BL360" i="3"/>
  <c r="AZ360" i="3"/>
  <c r="BA361" i="3"/>
  <c r="BN361" i="3"/>
  <c r="BP361" i="3"/>
  <c r="BR361" i="3"/>
  <c r="BT361" i="3"/>
  <c r="BL361" i="3"/>
  <c r="AZ361" i="3"/>
  <c r="BA362" i="3"/>
  <c r="BN362" i="3"/>
  <c r="BP362" i="3"/>
  <c r="BR362" i="3"/>
  <c r="BT362" i="3"/>
  <c r="BL362" i="3"/>
  <c r="AZ362" i="3"/>
  <c r="BA363" i="3"/>
  <c r="BN363" i="3"/>
  <c r="BP363" i="3"/>
  <c r="BR363" i="3"/>
  <c r="BT363" i="3"/>
  <c r="BL363" i="3"/>
  <c r="AZ363" i="3"/>
  <c r="BA364" i="3"/>
  <c r="BN364" i="3"/>
  <c r="BP364" i="3"/>
  <c r="BR364" i="3"/>
  <c r="BT364" i="3"/>
  <c r="BL364" i="3"/>
  <c r="AZ364" i="3"/>
  <c r="BA365" i="3"/>
  <c r="BN365" i="3"/>
  <c r="BP365" i="3"/>
  <c r="BR365" i="3"/>
  <c r="BT365" i="3"/>
  <c r="BL365" i="3"/>
  <c r="AZ365" i="3"/>
  <c r="BA366" i="3"/>
  <c r="BN366" i="3"/>
  <c r="BP366" i="3"/>
  <c r="BR366" i="3"/>
  <c r="BT366" i="3"/>
  <c r="BL366" i="3"/>
  <c r="AZ366" i="3"/>
  <c r="BA367" i="3"/>
  <c r="BN367" i="3"/>
  <c r="BP367" i="3"/>
  <c r="BR367" i="3"/>
  <c r="BT367" i="3"/>
  <c r="BL367" i="3"/>
  <c r="AZ367" i="3"/>
  <c r="BA368" i="3"/>
  <c r="BN368" i="3"/>
  <c r="BP368" i="3"/>
  <c r="BR368" i="3"/>
  <c r="BT368" i="3"/>
  <c r="BL368" i="3"/>
  <c r="AZ368" i="3"/>
  <c r="BA369" i="3"/>
  <c r="BN369" i="3"/>
  <c r="BP369" i="3"/>
  <c r="BR369" i="3"/>
  <c r="BT369" i="3"/>
  <c r="BL369" i="3"/>
  <c r="AZ369" i="3"/>
  <c r="BA370" i="3"/>
  <c r="BN370" i="3"/>
  <c r="BP370" i="3"/>
  <c r="BR370" i="3"/>
  <c r="BT370" i="3"/>
  <c r="BL370" i="3"/>
  <c r="AZ370" i="3"/>
  <c r="BA371" i="3"/>
  <c r="BN371" i="3"/>
  <c r="BP371" i="3"/>
  <c r="BR371" i="3"/>
  <c r="BT371" i="3"/>
  <c r="BL371" i="3"/>
  <c r="AZ371" i="3"/>
  <c r="BA372" i="3"/>
  <c r="BN372" i="3"/>
  <c r="BP372" i="3"/>
  <c r="BR372" i="3"/>
  <c r="BT372" i="3"/>
  <c r="BL372" i="3"/>
  <c r="AZ372" i="3"/>
  <c r="BA373" i="3"/>
  <c r="BN373" i="3"/>
  <c r="BP373" i="3"/>
  <c r="BR373" i="3"/>
  <c r="BT373" i="3"/>
  <c r="BL373" i="3"/>
  <c r="AZ373" i="3"/>
  <c r="BA374" i="3"/>
  <c r="BN374" i="3"/>
  <c r="BP374" i="3"/>
  <c r="BR374" i="3"/>
  <c r="BT374" i="3"/>
  <c r="BL374" i="3"/>
  <c r="AZ374" i="3"/>
  <c r="BA375" i="3"/>
  <c r="BN375" i="3"/>
  <c r="BP375" i="3"/>
  <c r="BR375" i="3"/>
  <c r="BT375" i="3"/>
  <c r="BL375" i="3"/>
  <c r="AZ375" i="3"/>
  <c r="BA376" i="3"/>
  <c r="BN376" i="3"/>
  <c r="BP376" i="3"/>
  <c r="BR376" i="3"/>
  <c r="BT376" i="3"/>
  <c r="BL376" i="3"/>
  <c r="AZ376" i="3"/>
  <c r="BA377" i="3"/>
  <c r="BN377" i="3"/>
  <c r="BP377" i="3"/>
  <c r="BR377" i="3"/>
  <c r="BT377" i="3"/>
  <c r="BL377" i="3"/>
  <c r="AZ377" i="3"/>
  <c r="BA378" i="3"/>
  <c r="BN378" i="3"/>
  <c r="BP378" i="3"/>
  <c r="BR378" i="3"/>
  <c r="BT378" i="3"/>
  <c r="BL378" i="3"/>
  <c r="AZ378" i="3"/>
  <c r="BA379" i="3"/>
  <c r="BN379" i="3"/>
  <c r="BP379" i="3"/>
  <c r="BR379" i="3"/>
  <c r="BT379" i="3"/>
  <c r="BL379" i="3"/>
  <c r="AZ379" i="3"/>
  <c r="BA380" i="3"/>
  <c r="BN380" i="3"/>
  <c r="BP380" i="3"/>
  <c r="BR380" i="3"/>
  <c r="BT380" i="3"/>
  <c r="BL380" i="3"/>
  <c r="AZ380" i="3"/>
  <c r="BA381" i="3"/>
  <c r="BN381" i="3"/>
  <c r="BP381" i="3"/>
  <c r="BR381" i="3"/>
  <c r="BT381" i="3"/>
  <c r="BL381" i="3"/>
  <c r="AZ381" i="3"/>
  <c r="BA382" i="3"/>
  <c r="BN382" i="3"/>
  <c r="BP382" i="3"/>
  <c r="BR382" i="3"/>
  <c r="BT382" i="3"/>
  <c r="BL382" i="3"/>
  <c r="AZ382" i="3"/>
  <c r="BA383" i="3"/>
  <c r="BN383" i="3"/>
  <c r="BP383" i="3"/>
  <c r="BR383" i="3"/>
  <c r="BT383" i="3"/>
  <c r="BL383" i="3"/>
  <c r="AZ383" i="3"/>
  <c r="BA384" i="3"/>
  <c r="BN384" i="3"/>
  <c r="BP384" i="3"/>
  <c r="BR384" i="3"/>
  <c r="BT384" i="3"/>
  <c r="BL384" i="3"/>
  <c r="AZ384" i="3"/>
  <c r="BA385" i="3"/>
  <c r="BN385" i="3"/>
  <c r="BP385" i="3"/>
  <c r="BR385" i="3"/>
  <c r="BT385" i="3"/>
  <c r="BL385" i="3"/>
  <c r="AZ385" i="3"/>
  <c r="BA386" i="3"/>
  <c r="BN386" i="3"/>
  <c r="BP386" i="3"/>
  <c r="BR386" i="3"/>
  <c r="BT386" i="3"/>
  <c r="BL386" i="3"/>
  <c r="AZ386" i="3"/>
  <c r="BA387" i="3"/>
  <c r="BN387" i="3"/>
  <c r="BP387" i="3"/>
  <c r="BR387" i="3"/>
  <c r="BT387" i="3"/>
  <c r="BL387" i="3"/>
  <c r="AZ387" i="3"/>
  <c r="BA388" i="3"/>
  <c r="BN388" i="3"/>
  <c r="BP388" i="3"/>
  <c r="BR388" i="3"/>
  <c r="BT388" i="3"/>
  <c r="BL388" i="3"/>
  <c r="AZ388" i="3"/>
  <c r="BA389" i="3"/>
  <c r="BN389" i="3"/>
  <c r="BP389" i="3"/>
  <c r="BR389" i="3"/>
  <c r="BT389" i="3"/>
  <c r="BL389" i="3"/>
  <c r="AZ389" i="3"/>
  <c r="BA390" i="3"/>
  <c r="BN390" i="3"/>
  <c r="BP390" i="3"/>
  <c r="BR390" i="3"/>
  <c r="BT390" i="3"/>
  <c r="BL390" i="3"/>
  <c r="AZ390" i="3"/>
  <c r="BA391" i="3"/>
  <c r="BN391" i="3"/>
  <c r="BP391" i="3"/>
  <c r="BR391" i="3"/>
  <c r="BT391" i="3"/>
  <c r="BL391" i="3"/>
  <c r="AZ391" i="3"/>
  <c r="BA392" i="3"/>
  <c r="BN392" i="3"/>
  <c r="BP392" i="3"/>
  <c r="BR392" i="3"/>
  <c r="BT392" i="3"/>
  <c r="BL392" i="3"/>
  <c r="AZ392" i="3"/>
  <c r="BA393" i="3"/>
  <c r="BN393" i="3"/>
  <c r="BP393" i="3"/>
  <c r="BR393" i="3"/>
  <c r="BT393" i="3"/>
  <c r="BL393" i="3"/>
  <c r="AZ393" i="3"/>
  <c r="BA394" i="3"/>
  <c r="BN394" i="3"/>
  <c r="BP394" i="3"/>
  <c r="BR394" i="3"/>
  <c r="BT394" i="3"/>
  <c r="BL394" i="3"/>
  <c r="AZ394" i="3"/>
  <c r="BA395" i="3"/>
  <c r="BN395" i="3"/>
  <c r="BP395" i="3"/>
  <c r="BR395" i="3"/>
  <c r="BT395" i="3"/>
  <c r="BL395" i="3"/>
  <c r="AZ395" i="3"/>
  <c r="BA396" i="3"/>
  <c r="BN396" i="3"/>
  <c r="BP396" i="3"/>
  <c r="BR396" i="3"/>
  <c r="BT396" i="3"/>
  <c r="BL396" i="3"/>
  <c r="AZ396" i="3"/>
  <c r="BA397" i="3"/>
  <c r="BN397" i="3"/>
  <c r="BP397" i="3"/>
  <c r="BR397" i="3"/>
  <c r="BT397" i="3"/>
  <c r="BL397" i="3"/>
  <c r="AZ397" i="3"/>
  <c r="BA398" i="3"/>
  <c r="BN398" i="3"/>
  <c r="BP398" i="3"/>
  <c r="BR398" i="3"/>
  <c r="BT398" i="3"/>
  <c r="BL398" i="3"/>
  <c r="AZ398" i="3"/>
  <c r="BA399" i="3"/>
  <c r="BN399" i="3"/>
  <c r="BP399" i="3"/>
  <c r="BR399" i="3"/>
  <c r="BT399" i="3"/>
  <c r="BL399" i="3"/>
  <c r="AZ399" i="3"/>
  <c r="BA400" i="3"/>
  <c r="BN400" i="3"/>
  <c r="BP400" i="3"/>
  <c r="BR400" i="3"/>
  <c r="BT400" i="3"/>
  <c r="BL400" i="3"/>
  <c r="AZ400" i="3"/>
  <c r="BA401" i="3"/>
  <c r="BN401" i="3"/>
  <c r="BP401" i="3"/>
  <c r="BR401" i="3"/>
  <c r="BT401" i="3"/>
  <c r="BL401" i="3"/>
  <c r="AZ401" i="3"/>
  <c r="BA402" i="3"/>
  <c r="BN402" i="3"/>
  <c r="BP402" i="3"/>
  <c r="BR402" i="3"/>
  <c r="BT402" i="3"/>
  <c r="BL402" i="3"/>
  <c r="AZ402" i="3"/>
  <c r="BA403" i="3"/>
  <c r="BN403" i="3"/>
  <c r="BP403" i="3"/>
  <c r="BR403" i="3"/>
  <c r="BT403" i="3"/>
  <c r="BL403" i="3"/>
  <c r="AZ403" i="3"/>
  <c r="BA404" i="3"/>
  <c r="BN404" i="3"/>
  <c r="BP404" i="3"/>
  <c r="BR404" i="3"/>
  <c r="BT404" i="3"/>
  <c r="BL404" i="3"/>
  <c r="AZ404" i="3"/>
  <c r="BA405" i="3"/>
  <c r="BN405" i="3"/>
  <c r="BP405" i="3"/>
  <c r="BR405" i="3"/>
  <c r="BT405" i="3"/>
  <c r="BL405" i="3"/>
  <c r="AZ405" i="3"/>
  <c r="BA406" i="3"/>
  <c r="BN406" i="3"/>
  <c r="BP406" i="3"/>
  <c r="BR406" i="3"/>
  <c r="BT406" i="3"/>
  <c r="BL406" i="3"/>
  <c r="AZ406" i="3"/>
  <c r="BA407" i="3"/>
  <c r="BN407" i="3"/>
  <c r="BP407" i="3"/>
  <c r="BR407" i="3"/>
  <c r="BT407" i="3"/>
  <c r="BL407" i="3"/>
  <c r="AZ407" i="3"/>
  <c r="BA408" i="3"/>
  <c r="BN408" i="3"/>
  <c r="BP408" i="3"/>
  <c r="BR408" i="3"/>
  <c r="BT408" i="3"/>
  <c r="BL408" i="3"/>
  <c r="AZ408" i="3"/>
  <c r="BA409" i="3"/>
  <c r="BN409" i="3"/>
  <c r="BP409" i="3"/>
  <c r="BR409" i="3"/>
  <c r="BT409" i="3"/>
  <c r="BL409" i="3"/>
  <c r="AZ409" i="3"/>
  <c r="BA410" i="3"/>
  <c r="BN410" i="3"/>
  <c r="BP410" i="3"/>
  <c r="BR410" i="3"/>
  <c r="BT410" i="3"/>
  <c r="BL410" i="3"/>
  <c r="AZ410" i="3"/>
  <c r="BA411" i="3"/>
  <c r="BN411" i="3"/>
  <c r="BP411" i="3"/>
  <c r="BR411" i="3"/>
  <c r="BT411" i="3"/>
  <c r="BL411" i="3"/>
  <c r="AZ411" i="3"/>
  <c r="BA412" i="3"/>
  <c r="BN412" i="3"/>
  <c r="BP412" i="3"/>
  <c r="BR412" i="3"/>
  <c r="BT412" i="3"/>
  <c r="BL412" i="3"/>
  <c r="AZ412" i="3"/>
  <c r="BA413" i="3"/>
  <c r="BN413" i="3"/>
  <c r="BP413" i="3"/>
  <c r="BR413" i="3"/>
  <c r="BT413" i="3"/>
  <c r="BL413" i="3"/>
  <c r="AZ413" i="3"/>
  <c r="BA414" i="3"/>
  <c r="BN414" i="3"/>
  <c r="BP414" i="3"/>
  <c r="BR414" i="3"/>
  <c r="BT414" i="3"/>
  <c r="BL414" i="3"/>
  <c r="AZ414" i="3"/>
  <c r="BA415" i="3"/>
  <c r="BN415" i="3"/>
  <c r="BP415" i="3"/>
  <c r="BR415" i="3"/>
  <c r="BT415" i="3"/>
  <c r="BL415" i="3"/>
  <c r="AZ415" i="3"/>
  <c r="BA416" i="3"/>
  <c r="BN416" i="3"/>
  <c r="BP416" i="3"/>
  <c r="BR416" i="3"/>
  <c r="BT416" i="3"/>
  <c r="BL416" i="3"/>
  <c r="AZ416" i="3"/>
  <c r="BA417" i="3"/>
  <c r="BN417" i="3"/>
  <c r="BP417" i="3"/>
  <c r="BR417" i="3"/>
  <c r="BT417" i="3"/>
  <c r="BL417" i="3"/>
  <c r="AZ417" i="3"/>
  <c r="BA418" i="3"/>
  <c r="BN418" i="3"/>
  <c r="BP418" i="3"/>
  <c r="BR418" i="3"/>
  <c r="BT418" i="3"/>
  <c r="BL418" i="3"/>
  <c r="AZ418" i="3"/>
  <c r="BA419" i="3"/>
  <c r="BN419" i="3"/>
  <c r="BP419" i="3"/>
  <c r="BR419" i="3"/>
  <c r="BT419" i="3"/>
  <c r="BL419" i="3"/>
  <c r="AZ419" i="3"/>
  <c r="BA420" i="3"/>
  <c r="BN420" i="3"/>
  <c r="BP420" i="3"/>
  <c r="BR420" i="3"/>
  <c r="BT420" i="3"/>
  <c r="BL420" i="3"/>
  <c r="AZ420" i="3"/>
  <c r="BA421" i="3"/>
  <c r="BN421" i="3"/>
  <c r="BP421" i="3"/>
  <c r="BR421" i="3"/>
  <c r="BT421" i="3"/>
  <c r="BL421" i="3"/>
  <c r="AZ421" i="3"/>
  <c r="BA422" i="3"/>
  <c r="BN422" i="3"/>
  <c r="BP422" i="3"/>
  <c r="BR422" i="3"/>
  <c r="BT422" i="3"/>
  <c r="BL422" i="3"/>
  <c r="AZ422" i="3"/>
  <c r="BA423" i="3"/>
  <c r="BN423" i="3"/>
  <c r="BP423" i="3"/>
  <c r="BR423" i="3"/>
  <c r="BT423" i="3"/>
  <c r="BL423" i="3"/>
  <c r="AZ423" i="3"/>
  <c r="BA424" i="3"/>
  <c r="BN424" i="3"/>
  <c r="BP424" i="3"/>
  <c r="BR424" i="3"/>
  <c r="BT424" i="3"/>
  <c r="BL424" i="3"/>
  <c r="AZ424" i="3"/>
  <c r="BA425" i="3"/>
  <c r="BN425" i="3"/>
  <c r="BP425" i="3"/>
  <c r="BR425" i="3"/>
  <c r="BT425" i="3"/>
  <c r="BL425" i="3"/>
  <c r="AZ425" i="3"/>
  <c r="BA426" i="3"/>
  <c r="BN426" i="3"/>
  <c r="BP426" i="3"/>
  <c r="BR426" i="3"/>
  <c r="BT426" i="3"/>
  <c r="BL426" i="3"/>
  <c r="AZ426" i="3"/>
  <c r="BA427" i="3"/>
  <c r="BN427" i="3"/>
  <c r="BP427" i="3"/>
  <c r="BR427" i="3"/>
  <c r="BT427" i="3"/>
  <c r="BL427" i="3"/>
  <c r="AZ427" i="3"/>
  <c r="BA428" i="3"/>
  <c r="BN428" i="3"/>
  <c r="BP428" i="3"/>
  <c r="BR428" i="3"/>
  <c r="BT428" i="3"/>
  <c r="BL428" i="3"/>
  <c r="AZ428" i="3"/>
  <c r="BA429" i="3"/>
  <c r="BN429" i="3"/>
  <c r="BP429" i="3"/>
  <c r="BR429" i="3"/>
  <c r="BT429" i="3"/>
  <c r="BL429" i="3"/>
  <c r="AZ429" i="3"/>
  <c r="BA430" i="3"/>
  <c r="BN430" i="3"/>
  <c r="BP430" i="3"/>
  <c r="BR430" i="3"/>
  <c r="BT430" i="3"/>
  <c r="BL430" i="3"/>
  <c r="AZ430" i="3"/>
  <c r="BA431" i="3"/>
  <c r="BN431" i="3"/>
  <c r="BP431" i="3"/>
  <c r="BR431" i="3"/>
  <c r="BT431" i="3"/>
  <c r="BL431" i="3"/>
  <c r="AZ431" i="3"/>
  <c r="BA432" i="3"/>
  <c r="BN432" i="3"/>
  <c r="BP432" i="3"/>
  <c r="BR432" i="3"/>
  <c r="BT432" i="3"/>
  <c r="BL432" i="3"/>
  <c r="AZ432" i="3"/>
  <c r="BA433" i="3"/>
  <c r="BN433" i="3"/>
  <c r="BP433" i="3"/>
  <c r="BR433" i="3"/>
  <c r="BT433" i="3"/>
  <c r="BL433" i="3"/>
  <c r="AZ433" i="3"/>
  <c r="BA434" i="3"/>
  <c r="BN434" i="3"/>
  <c r="BP434" i="3"/>
  <c r="BR434" i="3"/>
  <c r="BT434" i="3"/>
  <c r="BL434" i="3"/>
  <c r="AZ434" i="3"/>
  <c r="BA435" i="3"/>
  <c r="BN435" i="3"/>
  <c r="BP435" i="3"/>
  <c r="BR435" i="3"/>
  <c r="BT435" i="3"/>
  <c r="BL435" i="3"/>
  <c r="AZ435" i="3"/>
  <c r="BA436" i="3"/>
  <c r="BN436" i="3"/>
  <c r="BP436" i="3"/>
  <c r="BR436" i="3"/>
  <c r="BT436" i="3"/>
  <c r="BL436" i="3"/>
  <c r="AZ436" i="3"/>
  <c r="BA437" i="3"/>
  <c r="BN437" i="3"/>
  <c r="BP437" i="3"/>
  <c r="BR437" i="3"/>
  <c r="BT437" i="3"/>
  <c r="BL437" i="3"/>
  <c r="AZ437" i="3"/>
  <c r="BA438" i="3"/>
  <c r="BN438" i="3"/>
  <c r="BP438" i="3"/>
  <c r="BR438" i="3"/>
  <c r="BT438" i="3"/>
  <c r="BL438" i="3"/>
  <c r="AZ438" i="3"/>
  <c r="BA439" i="3"/>
  <c r="BN439" i="3"/>
  <c r="BP439" i="3"/>
  <c r="BR439" i="3"/>
  <c r="BT439" i="3"/>
  <c r="BL439" i="3"/>
  <c r="AZ439" i="3"/>
  <c r="BA440" i="3"/>
  <c r="BN440" i="3"/>
  <c r="BP440" i="3"/>
  <c r="BR440" i="3"/>
  <c r="BT440" i="3"/>
  <c r="BL440" i="3"/>
  <c r="AZ440" i="3"/>
  <c r="BA441" i="3"/>
  <c r="BN441" i="3"/>
  <c r="BP441" i="3"/>
  <c r="BR441" i="3"/>
  <c r="BT441" i="3"/>
  <c r="BL441" i="3"/>
  <c r="AZ441" i="3"/>
  <c r="BA442" i="3"/>
  <c r="BN442" i="3"/>
  <c r="BP442" i="3"/>
  <c r="BR442" i="3"/>
  <c r="BT442" i="3"/>
  <c r="BL442" i="3"/>
  <c r="AZ442" i="3"/>
  <c r="BA443" i="3"/>
  <c r="BN443" i="3"/>
  <c r="BP443" i="3"/>
  <c r="BR443" i="3"/>
  <c r="BT443" i="3"/>
  <c r="BL443" i="3"/>
  <c r="AZ443" i="3"/>
  <c r="BA444" i="3"/>
  <c r="BN444" i="3"/>
  <c r="BP444" i="3"/>
  <c r="BR444" i="3"/>
  <c r="BT444" i="3"/>
  <c r="BL444" i="3"/>
  <c r="AZ444" i="3"/>
  <c r="BA445" i="3"/>
  <c r="BN445" i="3"/>
  <c r="BP445" i="3"/>
  <c r="BR445" i="3"/>
  <c r="BT445" i="3"/>
  <c r="BL445" i="3"/>
  <c r="AZ445" i="3"/>
  <c r="BA446" i="3"/>
  <c r="BN446" i="3"/>
  <c r="BP446" i="3"/>
  <c r="BR446" i="3"/>
  <c r="BT446" i="3"/>
  <c r="BL446" i="3"/>
  <c r="AZ446" i="3"/>
  <c r="BA447" i="3"/>
  <c r="BN447" i="3"/>
  <c r="BP447" i="3"/>
  <c r="BR447" i="3"/>
  <c r="BT447" i="3"/>
  <c r="BL447" i="3"/>
  <c r="AZ447" i="3"/>
  <c r="BA448" i="3"/>
  <c r="BN448" i="3"/>
  <c r="BP448" i="3"/>
  <c r="BR448" i="3"/>
  <c r="BT448" i="3"/>
  <c r="BL448" i="3"/>
  <c r="AZ448" i="3"/>
  <c r="BA449" i="3"/>
  <c r="BN449" i="3"/>
  <c r="BP449" i="3"/>
  <c r="BR449" i="3"/>
  <c r="BT449" i="3"/>
  <c r="BL449" i="3"/>
  <c r="AZ449" i="3"/>
  <c r="BA450" i="3"/>
  <c r="BN450" i="3"/>
  <c r="BP450" i="3"/>
  <c r="BR450" i="3"/>
  <c r="BT450" i="3"/>
  <c r="BL450" i="3"/>
  <c r="AZ450" i="3"/>
  <c r="BA451" i="3"/>
  <c r="BN451" i="3"/>
  <c r="BP451" i="3"/>
  <c r="BR451" i="3"/>
  <c r="BT451" i="3"/>
  <c r="BL451" i="3"/>
  <c r="AZ451" i="3"/>
  <c r="BA452" i="3"/>
  <c r="BN452" i="3"/>
  <c r="BP452" i="3"/>
  <c r="BR452" i="3"/>
  <c r="BT452" i="3"/>
  <c r="BL452" i="3"/>
  <c r="AZ452" i="3"/>
  <c r="BA453" i="3"/>
  <c r="BN453" i="3"/>
  <c r="BP453" i="3"/>
  <c r="BR453" i="3"/>
  <c r="BT453" i="3"/>
  <c r="BL453" i="3"/>
  <c r="AZ453" i="3"/>
  <c r="BA454" i="3"/>
  <c r="BN454" i="3"/>
  <c r="BP454" i="3"/>
  <c r="BR454" i="3"/>
  <c r="BT454" i="3"/>
  <c r="BL454" i="3"/>
  <c r="AZ454" i="3"/>
  <c r="BA455" i="3"/>
  <c r="BN455" i="3"/>
  <c r="BP455" i="3"/>
  <c r="BR455" i="3"/>
  <c r="BT455" i="3"/>
  <c r="BL455" i="3"/>
  <c r="AZ455" i="3"/>
  <c r="BA456" i="3"/>
  <c r="BN456" i="3"/>
  <c r="BP456" i="3"/>
  <c r="BR456" i="3"/>
  <c r="BT456" i="3"/>
  <c r="BL456" i="3"/>
  <c r="AZ456" i="3"/>
  <c r="BA457" i="3"/>
  <c r="BN457" i="3"/>
  <c r="BP457" i="3"/>
  <c r="BR457" i="3"/>
  <c r="BT457" i="3"/>
  <c r="BL457" i="3"/>
  <c r="AZ457" i="3"/>
  <c r="BA458" i="3"/>
  <c r="BN458" i="3"/>
  <c r="BP458" i="3"/>
  <c r="BR458" i="3"/>
  <c r="BT458" i="3"/>
  <c r="BL458" i="3"/>
  <c r="AZ458" i="3"/>
  <c r="BA459" i="3"/>
  <c r="BN459" i="3"/>
  <c r="BP459" i="3"/>
  <c r="BR459" i="3"/>
  <c r="BT459" i="3"/>
  <c r="BL459" i="3"/>
  <c r="AZ459" i="3"/>
  <c r="BA460" i="3"/>
  <c r="BN460" i="3"/>
  <c r="BP460" i="3"/>
  <c r="BR460" i="3"/>
  <c r="BT460" i="3"/>
  <c r="BL460" i="3"/>
  <c r="AZ460" i="3"/>
  <c r="BA461" i="3"/>
  <c r="BN461" i="3"/>
  <c r="BP461" i="3"/>
  <c r="BR461" i="3"/>
  <c r="BT461" i="3"/>
  <c r="BL461" i="3"/>
  <c r="AZ461" i="3"/>
  <c r="BA462" i="3"/>
  <c r="BN462" i="3"/>
  <c r="BP462" i="3"/>
  <c r="BR462" i="3"/>
  <c r="BT462" i="3"/>
  <c r="BL462" i="3"/>
  <c r="AZ462" i="3"/>
  <c r="BA463" i="3"/>
  <c r="BN463" i="3"/>
  <c r="BP463" i="3"/>
  <c r="BR463" i="3"/>
  <c r="BT463" i="3"/>
  <c r="BL463" i="3"/>
  <c r="AZ463" i="3"/>
  <c r="BA464" i="3"/>
  <c r="BN464" i="3"/>
  <c r="BP464" i="3"/>
  <c r="BR464" i="3"/>
  <c r="BT464" i="3"/>
  <c r="BL464" i="3"/>
  <c r="AZ464" i="3"/>
  <c r="BA465" i="3"/>
  <c r="BN465" i="3"/>
  <c r="BP465" i="3"/>
  <c r="BR465" i="3"/>
  <c r="BT465" i="3"/>
  <c r="BL465" i="3"/>
  <c r="AZ465" i="3"/>
  <c r="BA466" i="3"/>
  <c r="BN466" i="3"/>
  <c r="BP466" i="3"/>
  <c r="BR466" i="3"/>
  <c r="BT466" i="3"/>
  <c r="BL466" i="3"/>
  <c r="AZ466" i="3"/>
  <c r="BA467" i="3"/>
  <c r="BN467" i="3"/>
  <c r="BP467" i="3"/>
  <c r="BR467" i="3"/>
  <c r="BT467" i="3"/>
  <c r="BL467" i="3"/>
  <c r="AZ467" i="3"/>
  <c r="BA468" i="3"/>
  <c r="BN468" i="3"/>
  <c r="BP468" i="3"/>
  <c r="BR468" i="3"/>
  <c r="BT468" i="3"/>
  <c r="BL468" i="3"/>
  <c r="AZ468" i="3"/>
  <c r="BA469" i="3"/>
  <c r="BN469" i="3"/>
  <c r="BP469" i="3"/>
  <c r="BR469" i="3"/>
  <c r="BT469" i="3"/>
  <c r="BL469" i="3"/>
  <c r="AZ469" i="3"/>
  <c r="BA470" i="3"/>
  <c r="BN470" i="3"/>
  <c r="BP470" i="3"/>
  <c r="BR470" i="3"/>
  <c r="BT470" i="3"/>
  <c r="BL470" i="3"/>
  <c r="AZ470" i="3"/>
  <c r="BA471" i="3"/>
  <c r="BN471" i="3"/>
  <c r="BP471" i="3"/>
  <c r="BR471" i="3"/>
  <c r="BT471" i="3"/>
  <c r="BL471" i="3"/>
  <c r="AZ471" i="3"/>
  <c r="BA472" i="3"/>
  <c r="BN472" i="3"/>
  <c r="BP472" i="3"/>
  <c r="BR472" i="3"/>
  <c r="BT472" i="3"/>
  <c r="BL472" i="3"/>
  <c r="AZ472" i="3"/>
  <c r="BA473" i="3"/>
  <c r="BN473" i="3"/>
  <c r="BP473" i="3"/>
  <c r="BR473" i="3"/>
  <c r="BT473" i="3"/>
  <c r="BL473" i="3"/>
  <c r="AZ473" i="3"/>
  <c r="BA474" i="3"/>
  <c r="BN474" i="3"/>
  <c r="BP474" i="3"/>
  <c r="BR474" i="3"/>
  <c r="BT474" i="3"/>
  <c r="BL474" i="3"/>
  <c r="AZ474" i="3"/>
  <c r="BA475" i="3"/>
  <c r="BN475" i="3"/>
  <c r="BP475" i="3"/>
  <c r="BR475" i="3"/>
  <c r="BT475" i="3"/>
  <c r="BL475" i="3"/>
  <c r="AZ475" i="3"/>
  <c r="BA476" i="3"/>
  <c r="BN476" i="3"/>
  <c r="BP476" i="3"/>
  <c r="BR476" i="3"/>
  <c r="BT476" i="3"/>
  <c r="BL476" i="3"/>
  <c r="AZ476" i="3"/>
  <c r="BA477" i="3"/>
  <c r="BN477" i="3"/>
  <c r="BP477" i="3"/>
  <c r="BR477" i="3"/>
  <c r="BT477" i="3"/>
  <c r="BL477" i="3"/>
  <c r="AZ477" i="3"/>
  <c r="BA478" i="3"/>
  <c r="BN478" i="3"/>
  <c r="BP478" i="3"/>
  <c r="BR478" i="3"/>
  <c r="BT478" i="3"/>
  <c r="BL478" i="3"/>
  <c r="AZ478" i="3"/>
  <c r="BA479" i="3"/>
  <c r="BN479" i="3"/>
  <c r="BP479" i="3"/>
  <c r="BR479" i="3"/>
  <c r="BT479" i="3"/>
  <c r="BL479" i="3"/>
  <c r="AZ479" i="3"/>
  <c r="BA480" i="3"/>
  <c r="BN480" i="3"/>
  <c r="BP480" i="3"/>
  <c r="BR480" i="3"/>
  <c r="BT480" i="3"/>
  <c r="BL480" i="3"/>
  <c r="AZ480" i="3"/>
  <c r="BA481" i="3"/>
  <c r="BN481" i="3"/>
  <c r="BP481" i="3"/>
  <c r="BR481" i="3"/>
  <c r="BT481" i="3"/>
  <c r="BL481" i="3"/>
  <c r="AZ481" i="3"/>
  <c r="BA482" i="3"/>
  <c r="BN482" i="3"/>
  <c r="BP482" i="3"/>
  <c r="BR482" i="3"/>
  <c r="BT482" i="3"/>
  <c r="BL482" i="3"/>
  <c r="AZ482" i="3"/>
  <c r="BA483" i="3"/>
  <c r="BN483" i="3"/>
  <c r="BP483" i="3"/>
  <c r="BR483" i="3"/>
  <c r="BT483" i="3"/>
  <c r="BL483" i="3"/>
  <c r="AZ483" i="3"/>
  <c r="BA484" i="3"/>
  <c r="BN484" i="3"/>
  <c r="BP484" i="3"/>
  <c r="BR484" i="3"/>
  <c r="BT484" i="3"/>
  <c r="BL484" i="3"/>
  <c r="AZ484" i="3"/>
  <c r="BA485" i="3"/>
  <c r="BN485" i="3"/>
  <c r="BP485" i="3"/>
  <c r="BR485" i="3"/>
  <c r="BT485" i="3"/>
  <c r="BL485" i="3"/>
  <c r="AZ485" i="3"/>
  <c r="BA486" i="3"/>
  <c r="BN486" i="3"/>
  <c r="BP486" i="3"/>
  <c r="BR486" i="3"/>
  <c r="BT486" i="3"/>
  <c r="BL486" i="3"/>
  <c r="AZ486" i="3"/>
  <c r="BA487" i="3"/>
  <c r="BN487" i="3"/>
  <c r="BP487" i="3"/>
  <c r="BR487" i="3"/>
  <c r="BT487" i="3"/>
  <c r="BL487" i="3"/>
  <c r="AZ487" i="3"/>
  <c r="BA488" i="3"/>
  <c r="BN488" i="3"/>
  <c r="BP488" i="3"/>
  <c r="BR488" i="3"/>
  <c r="BT488" i="3"/>
  <c r="BL488" i="3"/>
  <c r="AZ488" i="3"/>
  <c r="BA489" i="3"/>
  <c r="BN489" i="3"/>
  <c r="BP489" i="3"/>
  <c r="BR489" i="3"/>
  <c r="BT489" i="3"/>
  <c r="BL489" i="3"/>
  <c r="AZ489" i="3"/>
  <c r="BA490" i="3"/>
  <c r="BN490" i="3"/>
  <c r="BP490" i="3"/>
  <c r="BR490" i="3"/>
  <c r="BT490" i="3"/>
  <c r="BL490" i="3"/>
  <c r="AZ490" i="3"/>
  <c r="BA491" i="3"/>
  <c r="BN491" i="3"/>
  <c r="BP491" i="3"/>
  <c r="BR491" i="3"/>
  <c r="BT491" i="3"/>
  <c r="BL491" i="3"/>
  <c r="AZ491" i="3"/>
  <c r="BA492" i="3"/>
  <c r="BN492" i="3"/>
  <c r="BP492" i="3"/>
  <c r="BR492" i="3"/>
  <c r="BT492" i="3"/>
  <c r="BL492" i="3"/>
  <c r="AZ492" i="3"/>
  <c r="BA493" i="3"/>
  <c r="BN493" i="3"/>
  <c r="BP493" i="3"/>
  <c r="BR493" i="3"/>
  <c r="BT493" i="3"/>
  <c r="BL493" i="3"/>
  <c r="AZ493" i="3"/>
  <c r="BA494" i="3"/>
  <c r="BN494" i="3"/>
  <c r="BP494" i="3"/>
  <c r="BR494" i="3"/>
  <c r="BT494" i="3"/>
  <c r="BL494" i="3"/>
  <c r="AZ494" i="3"/>
  <c r="BA495" i="3"/>
  <c r="BN495" i="3"/>
  <c r="BP495" i="3"/>
  <c r="BR495" i="3"/>
  <c r="BT495" i="3"/>
  <c r="BL495" i="3"/>
  <c r="AZ495" i="3"/>
  <c r="BA496" i="3"/>
  <c r="BN496" i="3"/>
  <c r="BP496" i="3"/>
  <c r="BR496" i="3"/>
  <c r="BT496" i="3"/>
  <c r="BL496" i="3"/>
  <c r="AZ496" i="3"/>
  <c r="BA497" i="3"/>
  <c r="BN497" i="3"/>
  <c r="BP497" i="3"/>
  <c r="BR497" i="3"/>
  <c r="BT497" i="3"/>
  <c r="BL497" i="3"/>
  <c r="AZ497" i="3"/>
  <c r="BA498" i="3"/>
  <c r="BN498" i="3"/>
  <c r="BP498" i="3"/>
  <c r="BR498" i="3"/>
  <c r="BT498" i="3"/>
  <c r="BL498" i="3"/>
  <c r="AZ498" i="3"/>
  <c r="BA499" i="3"/>
  <c r="BN499" i="3"/>
  <c r="BP499" i="3"/>
  <c r="BR499" i="3"/>
  <c r="BT499" i="3"/>
  <c r="BL499" i="3"/>
  <c r="AZ499" i="3"/>
  <c r="BA500" i="3"/>
  <c r="BN500" i="3"/>
  <c r="BP500" i="3"/>
  <c r="BR500" i="3"/>
  <c r="BT500" i="3"/>
  <c r="BL500" i="3"/>
  <c r="AZ500" i="3"/>
  <c r="BA501" i="3"/>
  <c r="BN501" i="3"/>
  <c r="BP501" i="3"/>
  <c r="BR501" i="3"/>
  <c r="BT501" i="3"/>
  <c r="BL501" i="3"/>
  <c r="AZ501" i="3"/>
  <c r="BA502" i="3"/>
  <c r="BN502" i="3"/>
  <c r="BP502" i="3"/>
  <c r="BR502" i="3"/>
  <c r="BT502" i="3"/>
  <c r="BL502" i="3"/>
  <c r="AZ502" i="3"/>
  <c r="BA503" i="3"/>
  <c r="BN503" i="3"/>
  <c r="BP503" i="3"/>
  <c r="BR503" i="3"/>
  <c r="BT503" i="3"/>
  <c r="BL503" i="3"/>
  <c r="AZ503" i="3"/>
  <c r="BA504" i="3"/>
  <c r="BN504" i="3"/>
  <c r="BP504" i="3"/>
  <c r="BR504" i="3"/>
  <c r="BT504" i="3"/>
  <c r="BL504" i="3"/>
  <c r="AZ504" i="3"/>
  <c r="BA505" i="3"/>
  <c r="BN505" i="3"/>
  <c r="BP505" i="3"/>
  <c r="BR505" i="3"/>
  <c r="BT505" i="3"/>
  <c r="BL505" i="3"/>
  <c r="AZ505" i="3"/>
  <c r="BA506" i="3"/>
  <c r="BN506" i="3"/>
  <c r="BP506" i="3"/>
  <c r="BR506" i="3"/>
  <c r="BT506" i="3"/>
  <c r="BL506" i="3"/>
  <c r="AZ506" i="3"/>
  <c r="BA507" i="3"/>
  <c r="BN507" i="3"/>
  <c r="BP507" i="3"/>
  <c r="BR507" i="3"/>
  <c r="BT507" i="3"/>
  <c r="BL507" i="3"/>
  <c r="AZ507" i="3"/>
  <c r="BA508" i="3"/>
  <c r="BN508" i="3"/>
  <c r="BP508" i="3"/>
  <c r="BR508" i="3"/>
  <c r="BT508" i="3"/>
  <c r="BL508" i="3"/>
  <c r="AZ508" i="3"/>
  <c r="BA509" i="3"/>
  <c r="BN509" i="3"/>
  <c r="BP509" i="3"/>
  <c r="BR509" i="3"/>
  <c r="BT509" i="3"/>
  <c r="BL509" i="3"/>
  <c r="AZ509" i="3"/>
  <c r="BA510" i="3"/>
  <c r="BN510" i="3"/>
  <c r="BP510" i="3"/>
  <c r="BR510" i="3"/>
  <c r="BT510" i="3"/>
  <c r="BL510" i="3"/>
  <c r="AZ510" i="3"/>
  <c r="BA511" i="3"/>
  <c r="BN511" i="3"/>
  <c r="BP511" i="3"/>
  <c r="BR511" i="3"/>
  <c r="BT511" i="3"/>
  <c r="BL511" i="3"/>
  <c r="AZ511" i="3"/>
  <c r="BA512" i="3"/>
  <c r="BN512" i="3"/>
  <c r="BP512" i="3"/>
  <c r="BR512" i="3"/>
  <c r="BT512" i="3"/>
  <c r="BL512" i="3"/>
  <c r="AZ512" i="3"/>
  <c r="BA513" i="3"/>
  <c r="BN513" i="3"/>
  <c r="BP513" i="3"/>
  <c r="BR513" i="3"/>
  <c r="BT513" i="3"/>
  <c r="BL513" i="3"/>
  <c r="AZ513" i="3"/>
  <c r="BA514" i="3"/>
  <c r="BN514" i="3"/>
  <c r="BP514" i="3"/>
  <c r="BR514" i="3"/>
  <c r="BT514" i="3"/>
  <c r="BL514" i="3"/>
  <c r="AZ514" i="3"/>
  <c r="BA515" i="3"/>
  <c r="BN515" i="3"/>
  <c r="BP515" i="3"/>
  <c r="BR515" i="3"/>
  <c r="BT515" i="3"/>
  <c r="BL515" i="3"/>
  <c r="AZ515" i="3"/>
  <c r="BA516" i="3"/>
  <c r="BN516" i="3"/>
  <c r="BP516" i="3"/>
  <c r="BR516" i="3"/>
  <c r="BT516" i="3"/>
  <c r="BL516" i="3"/>
  <c r="AZ516" i="3"/>
  <c r="BA517" i="3"/>
  <c r="BN517" i="3"/>
  <c r="BP517" i="3"/>
  <c r="BR517" i="3"/>
  <c r="BT517" i="3"/>
  <c r="BL517" i="3"/>
  <c r="AZ517" i="3"/>
  <c r="BA518" i="3"/>
  <c r="BN518" i="3"/>
  <c r="BP518" i="3"/>
  <c r="BR518" i="3"/>
  <c r="BT518" i="3"/>
  <c r="BL518" i="3"/>
  <c r="AZ518" i="3"/>
  <c r="BA519" i="3"/>
  <c r="BN519" i="3"/>
  <c r="BP519" i="3"/>
  <c r="BR519" i="3"/>
  <c r="BT519" i="3"/>
  <c r="BL519" i="3"/>
  <c r="AZ519" i="3"/>
  <c r="BA520" i="3"/>
  <c r="BN520" i="3"/>
  <c r="BP520" i="3"/>
  <c r="BR520" i="3"/>
  <c r="BT520" i="3"/>
  <c r="BL520" i="3"/>
  <c r="AZ520" i="3"/>
  <c r="BA521" i="3"/>
  <c r="BN521" i="3"/>
  <c r="BP521" i="3"/>
  <c r="BR521" i="3"/>
  <c r="BT521" i="3"/>
  <c r="BL521" i="3"/>
  <c r="AZ521" i="3"/>
  <c r="BA522" i="3"/>
  <c r="BN522" i="3"/>
  <c r="BP522" i="3"/>
  <c r="BR522" i="3"/>
  <c r="BT522" i="3"/>
  <c r="BL522" i="3"/>
  <c r="AZ522" i="3"/>
  <c r="BA523" i="3"/>
  <c r="BN523" i="3"/>
  <c r="BP523" i="3"/>
  <c r="BR523" i="3"/>
  <c r="BT523" i="3"/>
  <c r="BL523" i="3"/>
  <c r="AZ523" i="3"/>
  <c r="BA524" i="3"/>
  <c r="BN524" i="3"/>
  <c r="BP524" i="3"/>
  <c r="BR524" i="3"/>
  <c r="BT524" i="3"/>
  <c r="BL524" i="3"/>
  <c r="AZ524" i="3"/>
  <c r="BA525" i="3"/>
  <c r="BN525" i="3"/>
  <c r="BP525" i="3"/>
  <c r="BR525" i="3"/>
  <c r="BT525" i="3"/>
  <c r="BL525" i="3"/>
  <c r="AZ525" i="3"/>
  <c r="BA526" i="3"/>
  <c r="BN526" i="3"/>
  <c r="BP526" i="3"/>
  <c r="BR526" i="3"/>
  <c r="BT526" i="3"/>
  <c r="BL526" i="3"/>
  <c r="AZ526" i="3"/>
  <c r="BA527" i="3"/>
  <c r="BN527" i="3"/>
  <c r="BP527" i="3"/>
  <c r="BR527" i="3"/>
  <c r="BT527" i="3"/>
  <c r="BL527" i="3"/>
  <c r="AZ527" i="3"/>
  <c r="BA528" i="3"/>
  <c r="BN528" i="3"/>
  <c r="BP528" i="3"/>
  <c r="BR528" i="3"/>
  <c r="BT528" i="3"/>
  <c r="BL528" i="3"/>
  <c r="AZ528" i="3"/>
  <c r="BA529" i="3"/>
  <c r="BN529" i="3"/>
  <c r="BP529" i="3"/>
  <c r="BR529" i="3"/>
  <c r="BT529" i="3"/>
  <c r="BL529" i="3"/>
  <c r="AZ529" i="3"/>
  <c r="BA530" i="3"/>
  <c r="BN530" i="3"/>
  <c r="BP530" i="3"/>
  <c r="BR530" i="3"/>
  <c r="BT530" i="3"/>
  <c r="BL530" i="3"/>
  <c r="AZ530" i="3"/>
  <c r="BA531" i="3"/>
  <c r="BN531" i="3"/>
  <c r="BP531" i="3"/>
  <c r="BR531" i="3"/>
  <c r="BT531" i="3"/>
  <c r="BL531" i="3"/>
  <c r="AZ531" i="3"/>
  <c r="BA532" i="3"/>
  <c r="BN532" i="3"/>
  <c r="BP532" i="3"/>
  <c r="BR532" i="3"/>
  <c r="BT532" i="3"/>
  <c r="BL532" i="3"/>
  <c r="AZ532" i="3"/>
  <c r="BA533" i="3"/>
  <c r="BN533" i="3"/>
  <c r="BP533" i="3"/>
  <c r="BR533" i="3"/>
  <c r="BT533" i="3"/>
  <c r="BL533" i="3"/>
  <c r="AZ533" i="3"/>
  <c r="BA534" i="3"/>
  <c r="BN534" i="3"/>
  <c r="BP534" i="3"/>
  <c r="BR534" i="3"/>
  <c r="BT534" i="3"/>
  <c r="BL534" i="3"/>
  <c r="AZ534" i="3"/>
  <c r="BA535" i="3"/>
  <c r="BN535" i="3"/>
  <c r="BP535" i="3"/>
  <c r="BR535" i="3"/>
  <c r="BT535" i="3"/>
  <c r="BL535" i="3"/>
  <c r="AZ535" i="3"/>
  <c r="BA536" i="3"/>
  <c r="BN536" i="3"/>
  <c r="BP536" i="3"/>
  <c r="BR536" i="3"/>
  <c r="BT536" i="3"/>
  <c r="BL536" i="3"/>
  <c r="AZ536" i="3"/>
  <c r="BA537" i="3"/>
  <c r="BN537" i="3"/>
  <c r="BP537" i="3"/>
  <c r="BR537" i="3"/>
  <c r="BT537" i="3"/>
  <c r="BL537" i="3"/>
  <c r="AZ537" i="3"/>
  <c r="BA538" i="3"/>
  <c r="BN538" i="3"/>
  <c r="BP538" i="3"/>
  <c r="BR538" i="3"/>
  <c r="BT538" i="3"/>
  <c r="BL538" i="3"/>
  <c r="AZ538" i="3"/>
  <c r="BA539" i="3"/>
  <c r="BN539" i="3"/>
  <c r="BP539" i="3"/>
  <c r="BR539" i="3"/>
  <c r="BT539" i="3"/>
  <c r="BL539" i="3"/>
  <c r="AZ539" i="3"/>
  <c r="BA540" i="3"/>
  <c r="BN540" i="3"/>
  <c r="BP540" i="3"/>
  <c r="BR540" i="3"/>
  <c r="BT540" i="3"/>
  <c r="BL540" i="3"/>
  <c r="AZ540" i="3"/>
  <c r="BA541" i="3"/>
  <c r="BN541" i="3"/>
  <c r="BP541" i="3"/>
  <c r="BR541" i="3"/>
  <c r="BT541" i="3"/>
  <c r="BL541" i="3"/>
  <c r="AZ541" i="3"/>
  <c r="BA542" i="3"/>
  <c r="BN542" i="3"/>
  <c r="BP542" i="3"/>
  <c r="BR542" i="3"/>
  <c r="BT542" i="3"/>
  <c r="BL542" i="3"/>
  <c r="AZ542" i="3"/>
  <c r="BA543" i="3"/>
  <c r="BN543" i="3"/>
  <c r="BP543" i="3"/>
  <c r="BR543" i="3"/>
  <c r="BT543" i="3"/>
  <c r="BL543" i="3"/>
  <c r="AZ543" i="3"/>
  <c r="BA544" i="3"/>
  <c r="BN544" i="3"/>
  <c r="BP544" i="3"/>
  <c r="BR544" i="3"/>
  <c r="BT544" i="3"/>
  <c r="BL544" i="3"/>
  <c r="AZ544" i="3"/>
  <c r="BA545" i="3"/>
  <c r="BN545" i="3"/>
  <c r="BP545" i="3"/>
  <c r="BR545" i="3"/>
  <c r="BT545" i="3"/>
  <c r="BL545" i="3"/>
  <c r="AZ545" i="3"/>
  <c r="BA546" i="3"/>
  <c r="BN546" i="3"/>
  <c r="BP546" i="3"/>
  <c r="BR546" i="3"/>
  <c r="BT546" i="3"/>
  <c r="BL546" i="3"/>
  <c r="AZ546" i="3"/>
  <c r="BA547" i="3"/>
  <c r="BN547" i="3"/>
  <c r="BP547" i="3"/>
  <c r="BR547" i="3"/>
  <c r="BT547" i="3"/>
  <c r="BL547" i="3"/>
  <c r="AZ547" i="3"/>
  <c r="BA548" i="3"/>
  <c r="BN548" i="3"/>
  <c r="BP548" i="3"/>
  <c r="BR548" i="3"/>
  <c r="BT548" i="3"/>
  <c r="BL548" i="3"/>
  <c r="AZ548" i="3"/>
  <c r="BA549" i="3"/>
  <c r="BN549" i="3"/>
  <c r="BP549" i="3"/>
  <c r="BR549" i="3"/>
  <c r="BT549" i="3"/>
  <c r="BL549" i="3"/>
  <c r="AZ549" i="3"/>
  <c r="BA550" i="3"/>
  <c r="BN550" i="3"/>
  <c r="BP550" i="3"/>
  <c r="BR550" i="3"/>
  <c r="BT550" i="3"/>
  <c r="BL550" i="3"/>
  <c r="AZ550" i="3"/>
  <c r="BA551" i="3"/>
  <c r="BN551" i="3"/>
  <c r="BP551" i="3"/>
  <c r="BR551" i="3"/>
  <c r="BT551" i="3"/>
  <c r="BL551" i="3"/>
  <c r="AZ551" i="3"/>
  <c r="BA552" i="3"/>
  <c r="BN552" i="3"/>
  <c r="BP552" i="3"/>
  <c r="BR552" i="3"/>
  <c r="BT552" i="3"/>
  <c r="BL552" i="3"/>
  <c r="AZ552" i="3"/>
  <c r="BA553" i="3"/>
  <c r="BN553" i="3"/>
  <c r="BP553" i="3"/>
  <c r="BR553" i="3"/>
  <c r="BT553" i="3"/>
  <c r="BL553" i="3"/>
  <c r="AZ553" i="3"/>
  <c r="BA554" i="3"/>
  <c r="BN554" i="3"/>
  <c r="BP554" i="3"/>
  <c r="BR554" i="3"/>
  <c r="BT554" i="3"/>
  <c r="BL554" i="3"/>
  <c r="AZ554" i="3"/>
  <c r="BA555" i="3"/>
  <c r="BN555" i="3"/>
  <c r="BP555" i="3"/>
  <c r="BR555" i="3"/>
  <c r="BT555" i="3"/>
  <c r="BL555" i="3"/>
  <c r="AZ555" i="3"/>
  <c r="BA556" i="3"/>
  <c r="BN556" i="3"/>
  <c r="BP556" i="3"/>
  <c r="BR556" i="3"/>
  <c r="BT556" i="3"/>
  <c r="BL556" i="3"/>
  <c r="AZ556" i="3"/>
  <c r="BA557" i="3"/>
  <c r="BN557" i="3"/>
  <c r="BP557" i="3"/>
  <c r="BR557" i="3"/>
  <c r="BT557" i="3"/>
  <c r="BL557" i="3"/>
  <c r="AZ557" i="3"/>
  <c r="BA558" i="3"/>
  <c r="BN558" i="3"/>
  <c r="BP558" i="3"/>
  <c r="BR558" i="3"/>
  <c r="BT558" i="3"/>
  <c r="BL558" i="3"/>
  <c r="AZ558" i="3"/>
  <c r="BA559" i="3"/>
  <c r="BN559" i="3"/>
  <c r="BP559" i="3"/>
  <c r="BR559" i="3"/>
  <c r="BT559" i="3"/>
  <c r="BL559" i="3"/>
  <c r="AZ559" i="3"/>
  <c r="BA560" i="3"/>
  <c r="BN560" i="3"/>
  <c r="BP560" i="3"/>
  <c r="BR560" i="3"/>
  <c r="BT560" i="3"/>
  <c r="BL560" i="3"/>
  <c r="AZ560" i="3"/>
  <c r="BA561" i="3"/>
  <c r="BN561" i="3"/>
  <c r="BP561" i="3"/>
  <c r="BR561" i="3"/>
  <c r="BT561" i="3"/>
  <c r="BL561" i="3"/>
  <c r="AZ561" i="3"/>
  <c r="BA562" i="3"/>
  <c r="BN562" i="3"/>
  <c r="BP562" i="3"/>
  <c r="BR562" i="3"/>
  <c r="BT562" i="3"/>
  <c r="BL562" i="3"/>
  <c r="AZ562" i="3"/>
  <c r="BA563" i="3"/>
  <c r="BN563" i="3"/>
  <c r="BP563" i="3"/>
  <c r="BR563" i="3"/>
  <c r="BT563" i="3"/>
  <c r="BL563" i="3"/>
  <c r="AZ563" i="3"/>
  <c r="BA564" i="3"/>
  <c r="BN564" i="3"/>
  <c r="BP564" i="3"/>
  <c r="BR564" i="3"/>
  <c r="BT564" i="3"/>
  <c r="BL564" i="3"/>
  <c r="AZ564" i="3"/>
  <c r="BA565" i="3"/>
  <c r="BN565" i="3"/>
  <c r="BP565" i="3"/>
  <c r="BR565" i="3"/>
  <c r="BT565" i="3"/>
  <c r="BL565" i="3"/>
  <c r="AZ565" i="3"/>
  <c r="BA566" i="3"/>
  <c r="BN566" i="3"/>
  <c r="BP566" i="3"/>
  <c r="BR566" i="3"/>
  <c r="BT566" i="3"/>
  <c r="BL566" i="3"/>
  <c r="AZ566" i="3"/>
  <c r="BA567" i="3"/>
  <c r="BN567" i="3"/>
  <c r="BP567" i="3"/>
  <c r="BR567" i="3"/>
  <c r="BT567" i="3"/>
  <c r="BL567" i="3"/>
  <c r="AZ567" i="3"/>
  <c r="BA568" i="3"/>
  <c r="BN568" i="3"/>
  <c r="BP568" i="3"/>
  <c r="BR568" i="3"/>
  <c r="BT568" i="3"/>
  <c r="BL568" i="3"/>
  <c r="AZ568" i="3"/>
  <c r="BA569" i="3"/>
  <c r="BN569" i="3"/>
  <c r="BP569" i="3"/>
  <c r="BR569" i="3"/>
  <c r="BT569" i="3"/>
  <c r="BL569" i="3"/>
  <c r="AZ569" i="3"/>
  <c r="BA570" i="3"/>
  <c r="BN570" i="3"/>
  <c r="BP570" i="3"/>
  <c r="BR570" i="3"/>
  <c r="BT570" i="3"/>
  <c r="BL570" i="3"/>
  <c r="AZ570" i="3"/>
  <c r="BA571" i="3"/>
  <c r="BN571" i="3"/>
  <c r="BP571" i="3"/>
  <c r="BR571" i="3"/>
  <c r="BT571" i="3"/>
  <c r="BL571" i="3"/>
  <c r="AZ571" i="3"/>
  <c r="BA572" i="3"/>
  <c r="BN572" i="3"/>
  <c r="BP572" i="3"/>
  <c r="BR572" i="3"/>
  <c r="BT572" i="3"/>
  <c r="BL572" i="3"/>
  <c r="AZ572" i="3"/>
  <c r="BA573" i="3"/>
  <c r="BN573" i="3"/>
  <c r="BP573" i="3"/>
  <c r="BR573" i="3"/>
  <c r="BT573" i="3"/>
  <c r="BL573" i="3"/>
  <c r="AZ573" i="3"/>
  <c r="BA574" i="3"/>
  <c r="BN574" i="3"/>
  <c r="BP574" i="3"/>
  <c r="BR574" i="3"/>
  <c r="BT574" i="3"/>
  <c r="BL574" i="3"/>
  <c r="AZ574" i="3"/>
  <c r="BA575" i="3"/>
  <c r="BN575" i="3"/>
  <c r="BP575" i="3"/>
  <c r="BR575" i="3"/>
  <c r="BT575" i="3"/>
  <c r="BL575" i="3"/>
  <c r="AZ575" i="3"/>
  <c r="BA576" i="3"/>
  <c r="BN576" i="3"/>
  <c r="BP576" i="3"/>
  <c r="BR576" i="3"/>
  <c r="BT576" i="3"/>
  <c r="BL576" i="3"/>
  <c r="AZ576" i="3"/>
  <c r="BA577" i="3"/>
  <c r="BN577" i="3"/>
  <c r="BP577" i="3"/>
  <c r="BR577" i="3"/>
  <c r="BT577" i="3"/>
  <c r="BL577" i="3"/>
  <c r="AZ577" i="3"/>
  <c r="BA578" i="3"/>
  <c r="BN578" i="3"/>
  <c r="BP578" i="3"/>
  <c r="BR578" i="3"/>
  <c r="BT578" i="3"/>
  <c r="BL578" i="3"/>
  <c r="AZ578" i="3"/>
  <c r="BA579" i="3"/>
  <c r="BN579" i="3"/>
  <c r="BP579" i="3"/>
  <c r="BR579" i="3"/>
  <c r="BT579" i="3"/>
  <c r="BL579" i="3"/>
  <c r="AZ579" i="3"/>
  <c r="BA580" i="3"/>
  <c r="BN580" i="3"/>
  <c r="BP580" i="3"/>
  <c r="BR580" i="3"/>
  <c r="BT580" i="3"/>
  <c r="BL580" i="3"/>
  <c r="AZ580" i="3"/>
  <c r="BA581" i="3"/>
  <c r="BN581" i="3"/>
  <c r="BP581" i="3"/>
  <c r="BR581" i="3"/>
  <c r="BT581" i="3"/>
  <c r="BL581" i="3"/>
  <c r="AZ581" i="3"/>
  <c r="BA582" i="3"/>
  <c r="BN582" i="3"/>
  <c r="BP582" i="3"/>
  <c r="BR582" i="3"/>
  <c r="BT582" i="3"/>
  <c r="BL582" i="3"/>
  <c r="AZ582" i="3"/>
  <c r="BA583" i="3"/>
  <c r="BN583" i="3"/>
  <c r="BP583" i="3"/>
  <c r="BR583" i="3"/>
  <c r="BT583" i="3"/>
  <c r="BL583" i="3"/>
  <c r="AZ583" i="3"/>
  <c r="BA584" i="3"/>
  <c r="BN584" i="3"/>
  <c r="BP584" i="3"/>
  <c r="BR584" i="3"/>
  <c r="BT584" i="3"/>
  <c r="BL584" i="3"/>
  <c r="AZ584" i="3"/>
  <c r="BA585" i="3"/>
  <c r="BN585" i="3"/>
  <c r="BP585" i="3"/>
  <c r="BR585" i="3"/>
  <c r="BT585" i="3"/>
  <c r="BL585" i="3"/>
  <c r="AZ585" i="3"/>
  <c r="BA586" i="3"/>
  <c r="BN586" i="3"/>
  <c r="BP586" i="3"/>
  <c r="BR586" i="3"/>
  <c r="BT586" i="3"/>
  <c r="BL586" i="3"/>
  <c r="AZ586" i="3"/>
  <c r="BA587" i="3"/>
  <c r="BN587" i="3"/>
  <c r="BP587" i="3"/>
  <c r="BR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G19" i="6"/>
  <c r="E19" i="6"/>
  <c r="E3" i="6"/>
  <c r="D19" i="6"/>
  <c r="E20" i="6"/>
  <c r="D20" i="6"/>
  <c r="E21" i="6"/>
  <c r="D21" i="6"/>
  <c r="E22" i="6"/>
  <c r="D22" i="6"/>
  <c r="E23" i="6"/>
  <c r="D23" i="6"/>
  <c r="E24" i="6"/>
  <c r="D24" i="6"/>
  <c r="E25" i="6"/>
  <c r="D25" i="6"/>
  <c r="E26" i="6"/>
  <c r="D26" i="6"/>
  <c r="D27" i="6"/>
  <c r="BR5" i="3"/>
  <c r="BT5" i="3"/>
  <c r="G28" i="6"/>
  <c r="E28" i="6"/>
  <c r="D28" i="6"/>
  <c r="BN5" i="3"/>
  <c r="BP5" i="3"/>
  <c r="G29" i="6"/>
  <c r="E29" i="6"/>
  <c r="D29" i="6"/>
  <c r="D30" i="6"/>
  <c r="D31" i="6"/>
  <c r="I6" i="6"/>
  <c r="F11" i="39"/>
  <c r="AA11" i="39"/>
  <c r="B82" i="39"/>
  <c r="F12" i="39"/>
  <c r="AA12" i="39"/>
  <c r="B84" i="39"/>
  <c r="F13" i="39"/>
  <c r="AA13" i="39"/>
  <c r="B86" i="39"/>
  <c r="F14" i="39"/>
  <c r="AA14" i="39"/>
  <c r="F15" i="39"/>
  <c r="AA15" i="39"/>
  <c r="D91" i="39"/>
  <c r="E91" i="39"/>
  <c r="F17" i="39"/>
  <c r="AA17" i="39"/>
  <c r="F19" i="39"/>
  <c r="AA19" i="39"/>
  <c r="D95" i="39"/>
  <c r="E95" i="39"/>
  <c r="F21" i="39"/>
  <c r="AA21" i="39"/>
  <c r="D97" i="39"/>
  <c r="F23" i="39"/>
  <c r="AA23" i="39"/>
  <c r="D99" i="39"/>
  <c r="F25" i="39"/>
  <c r="AA25" i="39"/>
  <c r="D101" i="39"/>
  <c r="E101" i="39"/>
  <c r="F27" i="39"/>
  <c r="AA27" i="39"/>
  <c r="D103" i="39"/>
  <c r="F29" i="39"/>
  <c r="AA29" i="39"/>
  <c r="B104" i="39"/>
  <c r="F31" i="39"/>
  <c r="AA31" i="39"/>
  <c r="F32" i="39"/>
  <c r="AA32" i="39"/>
  <c r="F34" i="39"/>
  <c r="AA34" i="39"/>
  <c r="B110" i="39"/>
  <c r="F35" i="39"/>
  <c r="AA35" i="39"/>
  <c r="B112" i="39"/>
  <c r="F36" i="39"/>
  <c r="AA36" i="39"/>
  <c r="B114" i="39"/>
  <c r="F37" i="39"/>
  <c r="AA37" i="39"/>
  <c r="E38" i="39"/>
  <c r="E118" i="39"/>
  <c r="F118" i="39"/>
  <c r="G118" i="39"/>
  <c r="F38" i="39"/>
  <c r="AA38" i="39"/>
  <c r="D120" i="39"/>
  <c r="F39" i="39"/>
  <c r="AA39" i="39"/>
  <c r="F40" i="39"/>
  <c r="AA40" i="39"/>
  <c r="D124" i="39"/>
  <c r="E124" i="39"/>
  <c r="F41" i="39"/>
  <c r="AA41" i="39"/>
  <c r="F42" i="39"/>
  <c r="AA42" i="39"/>
  <c r="B127" i="39"/>
  <c r="F43" i="39"/>
  <c r="AA43" i="39"/>
  <c r="B129" i="39"/>
  <c r="F44" i="39"/>
  <c r="AA44" i="39"/>
  <c r="B131" i="39"/>
  <c r="F45" i="39"/>
  <c r="AA45" i="39"/>
  <c r="C19" i="68"/>
  <c r="C24" i="68"/>
  <c r="F21" i="68"/>
  <c r="B23" i="1"/>
  <c r="C26" i="68"/>
  <c r="D22" i="68"/>
  <c r="C21"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A5" i="3"/>
  <c r="BL5" i="3"/>
  <c r="E5" i="6"/>
  <c r="D9" i="68"/>
  <c r="E6" i="6"/>
  <c r="D10" i="68"/>
  <c r="D19" i="68"/>
  <c r="D37" i="68"/>
  <c r="E37" i="68"/>
  <c r="C37" i="68"/>
  <c r="F38" i="68"/>
  <c r="C38" i="68"/>
  <c r="C33" i="68"/>
  <c r="F20" i="68"/>
  <c r="C39" i="68"/>
  <c r="C42" i="68"/>
  <c r="C43" i="68"/>
  <c r="C41" i="68"/>
  <c r="C40" i="68"/>
  <c r="C44" i="68"/>
  <c r="D41" i="68"/>
  <c r="G1" i="15"/>
  <c r="F6" i="15"/>
  <c r="F8" i="15"/>
  <c r="F7" i="15"/>
  <c r="F9" i="15"/>
  <c r="C6" i="15"/>
  <c r="L1" i="73"/>
  <c r="F4" i="73"/>
  <c r="I1" i="73"/>
  <c r="B39" i="1"/>
  <c r="F11" i="15"/>
  <c r="C10" i="15"/>
  <c r="C5" i="15"/>
  <c r="B43" i="1"/>
  <c r="B41" i="1"/>
  <c r="F32" i="15"/>
  <c r="C32" i="15"/>
  <c r="F33" i="15"/>
  <c r="C33" i="15"/>
  <c r="E27" i="6"/>
  <c r="K19" i="6"/>
  <c r="L19" i="6"/>
  <c r="M19" i="6"/>
  <c r="I19" i="6"/>
  <c r="H19" i="6"/>
  <c r="R19" i="6"/>
  <c r="R6" i="1"/>
  <c r="F35" i="15"/>
  <c r="B52" i="1"/>
  <c r="F34" i="15"/>
  <c r="C34" i="15"/>
  <c r="C31" i="15"/>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6" i="15"/>
  <c r="C36" i="15"/>
  <c r="N6" i="1"/>
  <c r="Y6" i="1"/>
  <c r="F13" i="15"/>
  <c r="C13" i="15"/>
  <c r="F37" i="15"/>
  <c r="C37" i="15"/>
  <c r="F38" i="15"/>
  <c r="C38" i="15"/>
  <c r="C30" i="15"/>
  <c r="C39" i="15"/>
  <c r="F42" i="15"/>
  <c r="F40" i="15"/>
  <c r="E15" i="4"/>
  <c r="F6" i="1"/>
  <c r="L48" i="15"/>
  <c r="M47" i="15"/>
  <c r="J50" i="15"/>
  <c r="J51" i="15"/>
  <c r="J53" i="15"/>
  <c r="F1" i="15"/>
  <c r="AE6" i="1"/>
  <c r="F41" i="15"/>
  <c r="C40" i="15"/>
  <c r="M6" i="15"/>
  <c r="M8" i="15"/>
  <c r="M7" i="15"/>
  <c r="M9" i="15"/>
  <c r="J6" i="15"/>
  <c r="M11" i="15"/>
  <c r="J10" i="15"/>
  <c r="J5" i="15"/>
  <c r="J26" i="15"/>
  <c r="J29" i="15"/>
  <c r="J57" i="15"/>
  <c r="J55" i="15"/>
  <c r="J58" i="15"/>
  <c r="J59" i="15"/>
  <c r="J60" i="15"/>
  <c r="L46" i="15"/>
  <c r="B2" i="15"/>
  <c r="D19" i="9"/>
  <c r="C17" i="9"/>
  <c r="D17" i="9"/>
  <c r="C18" i="9"/>
  <c r="D18" i="9"/>
  <c r="N14" i="1"/>
  <c r="N16" i="1"/>
  <c r="F50" i="68"/>
  <c r="N25" i="77"/>
  <c r="N26" i="77"/>
  <c r="N28" i="77"/>
  <c r="N17" i="77"/>
  <c r="N16" i="77"/>
  <c r="N15" i="77"/>
  <c r="N12" i="77"/>
  <c r="N14" i="77"/>
  <c r="N13" i="77"/>
  <c r="N11" i="77"/>
  <c r="N10" i="77"/>
  <c r="N9" i="77"/>
  <c r="N8" i="77"/>
  <c r="N7" i="77"/>
  <c r="K15" i="1"/>
  <c r="K16" i="1"/>
  <c r="B29" i="1"/>
  <c r="L24" i="77"/>
  <c r="L26" i="77"/>
  <c r="L25" i="77"/>
  <c r="H11" i="39"/>
  <c r="AB11" i="39"/>
  <c r="G38" i="39"/>
  <c r="H38" i="39"/>
  <c r="AB38" i="39"/>
  <c r="G46" i="39"/>
  <c r="T46" i="39"/>
  <c r="G7" i="39"/>
  <c r="H7" i="39"/>
  <c r="AB7" i="39"/>
  <c r="H8" i="39"/>
  <c r="AB8" i="39"/>
  <c r="H9" i="39"/>
  <c r="AB9" i="39"/>
  <c r="H12" i="39"/>
  <c r="AB12" i="39"/>
  <c r="H13" i="39"/>
  <c r="AB13" i="39"/>
  <c r="H14" i="39"/>
  <c r="AB14" i="39"/>
  <c r="H15" i="39"/>
  <c r="AB15" i="39"/>
  <c r="H17" i="39"/>
  <c r="AB17" i="39"/>
  <c r="H19" i="39"/>
  <c r="AB19" i="39"/>
  <c r="H21" i="39"/>
  <c r="AB21" i="39"/>
  <c r="H23" i="39"/>
  <c r="AB23" i="39"/>
  <c r="H25" i="39"/>
  <c r="AB25" i="39"/>
  <c r="H27" i="39"/>
  <c r="AB27" i="39"/>
  <c r="H29" i="39"/>
  <c r="AB29" i="39"/>
  <c r="H31" i="39"/>
  <c r="AB31" i="39"/>
  <c r="H32" i="39"/>
  <c r="AB32" i="39"/>
  <c r="H34" i="39"/>
  <c r="AB34" i="39"/>
  <c r="H35" i="39"/>
  <c r="AB35" i="39"/>
  <c r="H36" i="39"/>
  <c r="AB36" i="39"/>
  <c r="H37" i="39"/>
  <c r="AB37" i="39"/>
  <c r="H39" i="39"/>
  <c r="AB39" i="39"/>
  <c r="H40" i="39"/>
  <c r="AB40" i="39"/>
  <c r="H41" i="39"/>
  <c r="AB41" i="39"/>
  <c r="H42" i="39"/>
  <c r="AB42" i="39"/>
  <c r="H43" i="39"/>
  <c r="AB43" i="39"/>
  <c r="H44" i="39"/>
  <c r="AB44" i="39"/>
  <c r="H45" i="39"/>
  <c r="AB45" i="39"/>
  <c r="J11" i="39"/>
  <c r="AC11" i="39"/>
  <c r="I38" i="39"/>
  <c r="H118" i="39"/>
  <c r="I118" i="39"/>
  <c r="J38" i="39"/>
  <c r="AC38" i="39"/>
  <c r="I46" i="39"/>
  <c r="V46" i="39"/>
  <c r="I7" i="39"/>
  <c r="J7" i="39"/>
  <c r="AC7" i="39"/>
  <c r="J8" i="39"/>
  <c r="AC8" i="39"/>
  <c r="J9" i="39"/>
  <c r="AC9" i="39"/>
  <c r="J12" i="39"/>
  <c r="AC12" i="39"/>
  <c r="J13" i="39"/>
  <c r="AC13" i="39"/>
  <c r="J14" i="39"/>
  <c r="AC14" i="39"/>
  <c r="J15" i="39"/>
  <c r="AC15" i="39"/>
  <c r="J17" i="39"/>
  <c r="AC17" i="39"/>
  <c r="J19" i="39"/>
  <c r="AC19" i="39"/>
  <c r="J21" i="39"/>
  <c r="AC21" i="39"/>
  <c r="J23" i="39"/>
  <c r="AC23" i="39"/>
  <c r="J25" i="39"/>
  <c r="AC25" i="39"/>
  <c r="J27" i="39"/>
  <c r="AC27" i="39"/>
  <c r="J29" i="39"/>
  <c r="AC29" i="39"/>
  <c r="J31" i="39"/>
  <c r="AC31" i="39"/>
  <c r="J32" i="39"/>
  <c r="AC32" i="39"/>
  <c r="J34" i="39"/>
  <c r="AC34" i="39"/>
  <c r="J35" i="39"/>
  <c r="AC35" i="39"/>
  <c r="J36" i="39"/>
  <c r="AC36" i="39"/>
  <c r="J37" i="39"/>
  <c r="AC37" i="39"/>
  <c r="J39" i="39"/>
  <c r="AC39" i="39"/>
  <c r="J40" i="39"/>
  <c r="AC40" i="39"/>
  <c r="J41" i="39"/>
  <c r="AC41" i="39"/>
  <c r="J42" i="39"/>
  <c r="AC42" i="39"/>
  <c r="J43" i="39"/>
  <c r="AC43" i="39"/>
  <c r="J44" i="39"/>
  <c r="AC44" i="39"/>
  <c r="J45" i="39"/>
  <c r="AC45" i="39"/>
  <c r="E56" i="39"/>
  <c r="E57" i="39"/>
  <c r="E11" i="6"/>
  <c r="E61" i="39"/>
  <c r="E12" i="6"/>
  <c r="E62" i="39"/>
  <c r="E13" i="6"/>
  <c r="E63" i="39"/>
  <c r="E14" i="6"/>
  <c r="E64" i="39"/>
  <c r="E15" i="6"/>
  <c r="E65" i="39"/>
  <c r="J118" i="39"/>
  <c r="I5" i="39"/>
  <c r="G5" i="39"/>
  <c r="E5" i="39"/>
  <c r="G1" i="67"/>
  <c r="F7" i="1"/>
  <c r="L48" i="67"/>
  <c r="M47" i="67"/>
  <c r="J50" i="67"/>
  <c r="J51" i="67"/>
  <c r="J53" i="67"/>
  <c r="Q5" i="71"/>
  <c r="P5" i="71"/>
  <c r="O5" i="71"/>
  <c r="N5" i="71"/>
  <c r="F24" i="12"/>
  <c r="F7" i="69"/>
  <c r="F7" i="68"/>
  <c r="M15" i="45"/>
  <c r="L15" i="45"/>
  <c r="K15" i="45"/>
  <c r="J15" i="45"/>
  <c r="I15" i="45"/>
  <c r="H15" i="45"/>
  <c r="G15" i="45"/>
  <c r="F15" i="45"/>
  <c r="E15" i="45"/>
  <c r="D15" i="45"/>
  <c r="C15" i="45"/>
  <c r="B15" i="45"/>
  <c r="Q6" i="71"/>
  <c r="Q7" i="71"/>
  <c r="Q8" i="71"/>
  <c r="Q9" i="71"/>
  <c r="Q10" i="71"/>
  <c r="Q11" i="71"/>
  <c r="Q12" i="71"/>
  <c r="Q13" i="71"/>
  <c r="Q14" i="71"/>
  <c r="Q15" i="71"/>
  <c r="Q16" i="71"/>
  <c r="Q17" i="71"/>
  <c r="Q18" i="71"/>
  <c r="Q19" i="71"/>
  <c r="Q20" i="71"/>
  <c r="Q21" i="71"/>
  <c r="Q22" i="71"/>
  <c r="Q23" i="71"/>
  <c r="Q24" i="71"/>
  <c r="Q25" i="71"/>
  <c r="Q26" i="71"/>
  <c r="Q27" i="71"/>
  <c r="AB5" i="71"/>
  <c r="P6" i="71"/>
  <c r="P7" i="71"/>
  <c r="P8" i="71"/>
  <c r="P9" i="71"/>
  <c r="P10" i="71"/>
  <c r="P11" i="71"/>
  <c r="P12" i="71"/>
  <c r="P13" i="71"/>
  <c r="P14" i="71"/>
  <c r="P15" i="71"/>
  <c r="P16" i="71"/>
  <c r="P17" i="71"/>
  <c r="P18" i="71"/>
  <c r="P19" i="71"/>
  <c r="P20" i="71"/>
  <c r="P21" i="71"/>
  <c r="P22" i="71"/>
  <c r="P23" i="71"/>
  <c r="P24" i="71"/>
  <c r="P25" i="71"/>
  <c r="P26" i="71"/>
  <c r="P27" i="71"/>
  <c r="AA5" i="71"/>
  <c r="O6" i="71"/>
  <c r="O7" i="71"/>
  <c r="O8" i="71"/>
  <c r="O9" i="71"/>
  <c r="O10" i="71"/>
  <c r="O11" i="71"/>
  <c r="O12" i="71"/>
  <c r="O13" i="71"/>
  <c r="O14" i="71"/>
  <c r="O15" i="71"/>
  <c r="O16" i="71"/>
  <c r="O17" i="71"/>
  <c r="O18" i="71"/>
  <c r="O19" i="71"/>
  <c r="O20" i="71"/>
  <c r="O21" i="71"/>
  <c r="O22" i="71"/>
  <c r="O23" i="71"/>
  <c r="O24" i="71"/>
  <c r="O25" i="71"/>
  <c r="O26" i="71"/>
  <c r="O27" i="71"/>
  <c r="Y5" i="71"/>
  <c r="N6" i="71"/>
  <c r="N7" i="71"/>
  <c r="N8" i="71"/>
  <c r="N9" i="71"/>
  <c r="N10" i="71"/>
  <c r="N11" i="71"/>
  <c r="N12" i="71"/>
  <c r="N13" i="71"/>
  <c r="N14" i="71"/>
  <c r="N15" i="71"/>
  <c r="N16" i="71"/>
  <c r="N17" i="71"/>
  <c r="N18" i="71"/>
  <c r="N19" i="71"/>
  <c r="N20" i="71"/>
  <c r="N21" i="71"/>
  <c r="N22" i="71"/>
  <c r="N23" i="71"/>
  <c r="N24" i="71"/>
  <c r="N25" i="71"/>
  <c r="N26" i="71"/>
  <c r="N27" i="71"/>
  <c r="X5" i="71"/>
  <c r="AA8" i="71"/>
  <c r="X8" i="71"/>
  <c r="AB8" i="71"/>
  <c r="AA9" i="71"/>
  <c r="Y8" i="71"/>
  <c r="Z8" i="71"/>
  <c r="M19" i="43"/>
  <c r="D12" i="71"/>
  <c r="M19" i="9"/>
  <c r="C118" i="9"/>
  <c r="C14" i="74"/>
  <c r="M18" i="9"/>
  <c r="B118" i="9"/>
  <c r="B14" i="74"/>
  <c r="X9" i="71"/>
  <c r="AB10" i="71"/>
  <c r="AA10" i="71"/>
  <c r="Y9" i="71"/>
  <c r="Z9" i="71"/>
  <c r="Y10" i="71"/>
  <c r="Z10" i="71"/>
  <c r="C11" i="71"/>
  <c r="C10" i="71"/>
  <c r="F11" i="71"/>
  <c r="F10" i="71"/>
  <c r="F9" i="71"/>
  <c r="E11" i="71"/>
  <c r="E10" i="71"/>
  <c r="E9" i="71"/>
  <c r="B11" i="71"/>
  <c r="B10" i="71"/>
  <c r="B9" i="71"/>
  <c r="B8" i="71"/>
  <c r="B7" i="71"/>
  <c r="V11" i="71"/>
  <c r="AB11" i="71"/>
  <c r="Y11" i="71"/>
  <c r="Z11" i="71"/>
  <c r="X11" i="71"/>
  <c r="AA11"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6" i="71"/>
  <c r="F75" i="71"/>
  <c r="E75" i="71"/>
  <c r="E74" i="71"/>
  <c r="E73" i="71"/>
  <c r="C75" i="71"/>
  <c r="D75" i="71"/>
  <c r="B75" i="71"/>
  <c r="F74" i="71"/>
  <c r="F73" i="71"/>
  <c r="B74" i="71"/>
  <c r="B73" i="71"/>
  <c r="D72" i="71"/>
  <c r="F71" i="71"/>
  <c r="E71" i="71"/>
  <c r="E70" i="71"/>
  <c r="E69" i="71"/>
  <c r="C71" i="71"/>
  <c r="D71" i="71"/>
  <c r="B71" i="71"/>
  <c r="F70" i="71"/>
  <c r="F69" i="71"/>
  <c r="B70" i="71"/>
  <c r="B69"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F55" i="71"/>
  <c r="V55" i="71"/>
  <c r="E55" i="71"/>
  <c r="P55" i="71"/>
  <c r="C55" i="71"/>
  <c r="B55" i="71"/>
  <c r="S55" i="71"/>
  <c r="F54" i="71"/>
  <c r="F53" i="71"/>
  <c r="Q53" i="71"/>
  <c r="B54"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O40" i="71"/>
  <c r="C41" i="71"/>
  <c r="Q40" i="71"/>
  <c r="F41" i="71"/>
  <c r="F42" i="71"/>
  <c r="F43" i="71"/>
  <c r="V43" i="71"/>
  <c r="P40" i="71"/>
  <c r="E41" i="71"/>
  <c r="N40" i="71"/>
  <c r="B41" i="71"/>
  <c r="B42" i="71"/>
  <c r="B43" i="71"/>
  <c r="S43" i="71"/>
  <c r="D40" i="71"/>
  <c r="Q39" i="71"/>
  <c r="P39" i="71"/>
  <c r="O39" i="71"/>
  <c r="N39" i="71"/>
  <c r="Q38" i="71"/>
  <c r="P38" i="71"/>
  <c r="O38" i="71"/>
  <c r="N38" i="71"/>
  <c r="Q37" i="71"/>
  <c r="P37" i="71"/>
  <c r="O37" i="71"/>
  <c r="N37" i="71"/>
  <c r="Q36" i="71"/>
  <c r="F37" i="71"/>
  <c r="P36" i="71"/>
  <c r="E37" i="71"/>
  <c r="E38" i="71"/>
  <c r="E39" i="71"/>
  <c r="U39" i="71"/>
  <c r="O36" i="71"/>
  <c r="C37" i="71"/>
  <c r="N36" i="71"/>
  <c r="B37" i="71"/>
  <c r="B38" i="71"/>
  <c r="B39" i="71"/>
  <c r="S39" i="71"/>
  <c r="D36" i="71"/>
  <c r="T35" i="71"/>
  <c r="Q35" i="71"/>
  <c r="P35" i="71"/>
  <c r="O35" i="71"/>
  <c r="N35" i="71"/>
  <c r="D35" i="71"/>
  <c r="Q34" i="71"/>
  <c r="P34" i="71"/>
  <c r="O34" i="71"/>
  <c r="N34" i="71"/>
  <c r="Q33" i="71"/>
  <c r="P33" i="71"/>
  <c r="O33" i="71"/>
  <c r="N33" i="71"/>
  <c r="Q32" i="71"/>
  <c r="F33" i="71"/>
  <c r="F34" i="71"/>
  <c r="F35" i="71"/>
  <c r="V35" i="71"/>
  <c r="P32" i="71"/>
  <c r="E33" i="71"/>
  <c r="E34" i="71"/>
  <c r="E35" i="71"/>
  <c r="U35" i="71"/>
  <c r="O32" i="71"/>
  <c r="C33" i="71"/>
  <c r="N32" i="71"/>
  <c r="B33" i="71"/>
  <c r="B34" i="71"/>
  <c r="B35" i="71"/>
  <c r="S35"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AB26" i="71"/>
  <c r="AA26" i="71"/>
  <c r="Y26" i="71"/>
  <c r="Z26" i="71"/>
  <c r="X26" i="71"/>
  <c r="AB25" i="71"/>
  <c r="Y25" i="71"/>
  <c r="Z25" i="71"/>
  <c r="F25" i="71"/>
  <c r="F26" i="71"/>
  <c r="F27" i="71"/>
  <c r="V27" i="71"/>
  <c r="D24" i="71"/>
  <c r="AB23" i="71"/>
  <c r="Y23" i="71"/>
  <c r="Z23" i="71"/>
  <c r="AB22" i="71"/>
  <c r="Y22" i="71"/>
  <c r="Z22" i="71"/>
  <c r="AB21" i="71"/>
  <c r="Y21" i="71"/>
  <c r="Z21" i="71"/>
  <c r="F21" i="71"/>
  <c r="F22" i="71"/>
  <c r="F23" i="71"/>
  <c r="V23" i="71"/>
  <c r="D20" i="71"/>
  <c r="AB19" i="71"/>
  <c r="Y19" i="71"/>
  <c r="Z19" i="71"/>
  <c r="AB18" i="71"/>
  <c r="Y18" i="71"/>
  <c r="Z18" i="71"/>
  <c r="AB17" i="71"/>
  <c r="Y17" i="71"/>
  <c r="Z17" i="71"/>
  <c r="F17" i="71"/>
  <c r="F18" i="71"/>
  <c r="F19" i="71"/>
  <c r="V19" i="71"/>
  <c r="D16" i="71"/>
  <c r="B17" i="71"/>
  <c r="B18" i="71"/>
  <c r="B19" i="71"/>
  <c r="S19" i="71"/>
  <c r="X16" i="71"/>
  <c r="E17" i="71"/>
  <c r="E18" i="71"/>
  <c r="E19" i="71"/>
  <c r="U19" i="71"/>
  <c r="AA16" i="71"/>
  <c r="B21" i="71"/>
  <c r="B22" i="71"/>
  <c r="B23" i="71"/>
  <c r="S23" i="71"/>
  <c r="X20" i="71"/>
  <c r="B25" i="71"/>
  <c r="B26" i="71"/>
  <c r="B27" i="71"/>
  <c r="S27" i="71"/>
  <c r="X24" i="71"/>
  <c r="E25" i="71"/>
  <c r="E26" i="71"/>
  <c r="E27" i="71"/>
  <c r="U27" i="71"/>
  <c r="AA24" i="71"/>
  <c r="N55" i="71"/>
  <c r="E21" i="71"/>
  <c r="E22" i="71"/>
  <c r="E23" i="71"/>
  <c r="U23" i="71"/>
  <c r="AA20" i="71"/>
  <c r="C17" i="71"/>
  <c r="Y16" i="71"/>
  <c r="Z16" i="71"/>
  <c r="AB16" i="71"/>
  <c r="X17" i="71"/>
  <c r="AA17" i="71"/>
  <c r="X18" i="71"/>
  <c r="AA18" i="71"/>
  <c r="X19" i="71"/>
  <c r="AA19" i="71"/>
  <c r="C21" i="71"/>
  <c r="C22" i="71"/>
  <c r="Y20" i="71"/>
  <c r="Z20" i="71"/>
  <c r="AB20" i="71"/>
  <c r="X21" i="71"/>
  <c r="AA21" i="71"/>
  <c r="X22" i="71"/>
  <c r="AA22" i="71"/>
  <c r="X23" i="71"/>
  <c r="AA23" i="71"/>
  <c r="C25" i="71"/>
  <c r="Y24" i="71"/>
  <c r="Z24" i="71"/>
  <c r="AB24" i="71"/>
  <c r="X25" i="71"/>
  <c r="AA25" i="71"/>
  <c r="F38" i="71"/>
  <c r="F39" i="71"/>
  <c r="V39" i="71"/>
  <c r="C15" i="71"/>
  <c r="Y3" i="71"/>
  <c r="Z3" i="71"/>
  <c r="Y12" i="71"/>
  <c r="Z12" i="71"/>
  <c r="Y13" i="71"/>
  <c r="Z13" i="71"/>
  <c r="Y14" i="71"/>
  <c r="Z14" i="71"/>
  <c r="Y15" i="71"/>
  <c r="Z15" i="71"/>
  <c r="B15" i="71"/>
  <c r="B14" i="71"/>
  <c r="B13" i="71"/>
  <c r="X12" i="71"/>
  <c r="X13" i="71"/>
  <c r="X14" i="71"/>
  <c r="X15" i="71"/>
  <c r="C18" i="71"/>
  <c r="D17" i="71"/>
  <c r="D21" i="71"/>
  <c r="C26" i="71"/>
  <c r="D25" i="71"/>
  <c r="C30" i="71"/>
  <c r="D29" i="71"/>
  <c r="C34" i="71"/>
  <c r="D34" i="71"/>
  <c r="D33" i="71"/>
  <c r="C38" i="71"/>
  <c r="D37" i="71"/>
  <c r="E42" i="71"/>
  <c r="E43" i="71"/>
  <c r="U43" i="71"/>
  <c r="E46" i="71"/>
  <c r="E47" i="71"/>
  <c r="U47" i="71"/>
  <c r="E50" i="71"/>
  <c r="E51" i="71"/>
  <c r="U51" i="71"/>
  <c r="Q52" i="71"/>
  <c r="U55" i="71"/>
  <c r="E54" i="71"/>
  <c r="C42" i="71"/>
  <c r="D41" i="71"/>
  <c r="C46" i="71"/>
  <c r="D45" i="71"/>
  <c r="C50" i="71"/>
  <c r="D49" i="71"/>
  <c r="N54" i="71"/>
  <c r="B53" i="71"/>
  <c r="Q54" i="71"/>
  <c r="T55" i="71"/>
  <c r="O55" i="71"/>
  <c r="D55" i="71"/>
  <c r="C54" i="71"/>
  <c r="Q55" i="71"/>
  <c r="C58" i="71"/>
  <c r="E58" i="71"/>
  <c r="E57" i="71"/>
  <c r="D59" i="71"/>
  <c r="C62" i="71"/>
  <c r="E62" i="71"/>
  <c r="E61" i="71"/>
  <c r="D63" i="71"/>
  <c r="C66" i="71"/>
  <c r="E66" i="71"/>
  <c r="E65" i="71"/>
  <c r="D67" i="71"/>
  <c r="C70" i="71"/>
  <c r="C74" i="71"/>
  <c r="T15" i="71"/>
  <c r="C14" i="71"/>
  <c r="S15" i="71"/>
  <c r="F15" i="71"/>
  <c r="F14" i="71"/>
  <c r="F13" i="71"/>
  <c r="AB12" i="71"/>
  <c r="AB13" i="71"/>
  <c r="AB14" i="71"/>
  <c r="AB15" i="71"/>
  <c r="E15" i="71"/>
  <c r="E14" i="71"/>
  <c r="E13" i="71"/>
  <c r="AA3" i="71"/>
  <c r="AA12" i="71"/>
  <c r="AA13" i="71"/>
  <c r="AA14" i="71"/>
  <c r="AA15" i="71"/>
  <c r="D15" i="71"/>
  <c r="U15" i="71"/>
  <c r="C53" i="71"/>
  <c r="O54" i="71"/>
  <c r="D54" i="71"/>
  <c r="C51" i="71"/>
  <c r="D50" i="71"/>
  <c r="D70" i="71"/>
  <c r="C69" i="71"/>
  <c r="D69" i="71"/>
  <c r="D62" i="71"/>
  <c r="C61" i="71"/>
  <c r="D61" i="71"/>
  <c r="N52" i="71"/>
  <c r="N53" i="71"/>
  <c r="D74" i="71"/>
  <c r="C73" i="71"/>
  <c r="D73" i="71"/>
  <c r="D66" i="71"/>
  <c r="C65" i="71"/>
  <c r="D65" i="71"/>
  <c r="D58" i="71"/>
  <c r="C57" i="71"/>
  <c r="D57" i="71"/>
  <c r="C47" i="71"/>
  <c r="D46" i="71"/>
  <c r="C43" i="71"/>
  <c r="D42" i="71"/>
  <c r="P54" i="71"/>
  <c r="E53" i="71"/>
  <c r="C39" i="71"/>
  <c r="D38" i="71"/>
  <c r="C31" i="71"/>
  <c r="D30" i="71"/>
  <c r="C27" i="71"/>
  <c r="D26" i="71"/>
  <c r="C23" i="71"/>
  <c r="D22" i="71"/>
  <c r="C19" i="71"/>
  <c r="D18" i="71"/>
  <c r="C13" i="71"/>
  <c r="D13" i="71"/>
  <c r="D14" i="71"/>
  <c r="V15" i="71"/>
  <c r="P52" i="71"/>
  <c r="P53" i="71"/>
  <c r="O53" i="71"/>
  <c r="D53" i="71"/>
  <c r="O52" i="71"/>
  <c r="T19" i="71"/>
  <c r="D19" i="71"/>
  <c r="T23" i="71"/>
  <c r="D23" i="71"/>
  <c r="T27" i="71"/>
  <c r="D27" i="71"/>
  <c r="T31" i="71"/>
  <c r="D31" i="71"/>
  <c r="T39" i="71"/>
  <c r="D39" i="71"/>
  <c r="T43" i="71"/>
  <c r="D43" i="71"/>
  <c r="T47" i="71"/>
  <c r="D47" i="71"/>
  <c r="T51" i="71"/>
  <c r="D5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E10" i="68"/>
  <c r="E9" i="68"/>
  <c r="W21" i="21"/>
  <c r="AC21" i="21"/>
  <c r="Q72" i="67"/>
  <c r="Q59" i="67"/>
  <c r="Q58" i="67"/>
  <c r="Q51"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D15" i="4"/>
  <c r="G7" i="1"/>
  <c r="L21" i="4"/>
  <c r="F19" i="4"/>
  <c r="F2" i="52"/>
  <c r="B50" i="72"/>
  <c r="D2" i="52"/>
  <c r="B46" i="72"/>
  <c r="B8" i="53"/>
  <c r="B23" i="72"/>
  <c r="L4" i="9"/>
  <c r="B17" i="72"/>
  <c r="B15" i="72"/>
  <c r="A3" i="51"/>
  <c r="C8" i="11"/>
  <c r="B2" i="49"/>
  <c r="E17" i="49"/>
  <c r="B40" i="48"/>
  <c r="B3" i="72"/>
  <c r="I2" i="43"/>
  <c r="N1" i="43"/>
  <c r="F35" i="4"/>
  <c r="J55" i="39"/>
  <c r="H34" i="43"/>
  <c r="H35" i="43"/>
  <c r="H36" i="43"/>
  <c r="H37" i="43"/>
  <c r="H38" i="43"/>
  <c r="H39" i="43"/>
  <c r="H33" i="43"/>
  <c r="J20" i="43"/>
  <c r="C18" i="43"/>
  <c r="F15" i="43"/>
  <c r="E15" i="43"/>
  <c r="D15" i="43"/>
  <c r="C15" i="43"/>
  <c r="C10" i="43"/>
  <c r="C11" i="43"/>
  <c r="C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F124" i="39"/>
  <c r="G124" i="39"/>
  <c r="H124" i="39"/>
  <c r="I124" i="39"/>
  <c r="J124" i="39"/>
  <c r="K124" i="39"/>
  <c r="L124" i="39"/>
  <c r="M124" i="39"/>
  <c r="E120" i="39"/>
  <c r="F120" i="39"/>
  <c r="G120" i="39"/>
  <c r="H120" i="39"/>
  <c r="I120" i="39"/>
  <c r="J120" i="39"/>
  <c r="K120" i="39"/>
  <c r="L120" i="39"/>
  <c r="M120" i="39"/>
  <c r="D109" i="39"/>
  <c r="D107" i="39"/>
  <c r="E107" i="39"/>
  <c r="D105" i="39"/>
  <c r="E105" i="39"/>
  <c r="F105" i="39"/>
  <c r="G105" i="39"/>
  <c r="H105" i="39"/>
  <c r="I105" i="39"/>
  <c r="J105" i="39"/>
  <c r="K105" i="39"/>
  <c r="L105" i="39"/>
  <c r="M105"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F95" i="39"/>
  <c r="D93" i="39"/>
  <c r="E93" i="39"/>
  <c r="F93" i="39"/>
  <c r="G93"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I4" i="6"/>
  <c r="G3" i="43"/>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F59" i="43"/>
  <c r="H62" i="43"/>
  <c r="U36" i="40"/>
  <c r="F36" i="43"/>
  <c r="F81" i="43"/>
  <c r="H83" i="43"/>
  <c r="F48" i="43"/>
  <c r="H52" i="43"/>
  <c r="F70" i="43"/>
  <c r="H73" i="43"/>
  <c r="M11" i="43"/>
  <c r="D17" i="43"/>
  <c r="F39" i="43"/>
  <c r="I17" i="43"/>
  <c r="F35" i="43"/>
  <c r="J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50" i="43"/>
  <c r="I20" i="43"/>
  <c r="H27" i="36"/>
  <c r="U27" i="36"/>
  <c r="F27" i="36"/>
  <c r="AA27" i="36"/>
  <c r="H33" i="34"/>
  <c r="U33" i="34"/>
  <c r="F32" i="37"/>
  <c r="AA32" i="37"/>
  <c r="G96" i="37"/>
  <c r="H96" i="37"/>
  <c r="I96" i="37"/>
  <c r="J96" i="37"/>
  <c r="K96" i="37"/>
  <c r="L96" i="37"/>
  <c r="M96" i="37"/>
  <c r="F20" i="36"/>
  <c r="AA20" i="36"/>
  <c r="J33" i="34"/>
  <c r="AC33" i="34"/>
  <c r="U23" i="39"/>
  <c r="D48" i="9"/>
  <c r="M52" i="9"/>
  <c r="H86" i="43"/>
  <c r="H82" i="43"/>
  <c r="H87" i="43"/>
  <c r="O9" i="1"/>
  <c r="P9" i="1"/>
  <c r="AE9" i="1"/>
  <c r="D93" i="9"/>
  <c r="E60" i="40"/>
  <c r="E58" i="40"/>
  <c r="AC26" i="33"/>
  <c r="W26" i="33"/>
  <c r="W27" i="34"/>
  <c r="AC27" i="34"/>
  <c r="AB34" i="36"/>
  <c r="U34" i="36"/>
  <c r="AB33" i="36"/>
  <c r="U33" i="36"/>
  <c r="W12" i="39"/>
  <c r="AC39" i="40"/>
  <c r="W39" i="40"/>
  <c r="F22" i="43"/>
  <c r="B113" i="43"/>
  <c r="B115" i="43"/>
  <c r="C115" i="43"/>
  <c r="K101" i="43"/>
  <c r="K103" i="43"/>
  <c r="F101" i="43"/>
  <c r="F104" i="43"/>
  <c r="N101" i="43"/>
  <c r="N102" i="43"/>
  <c r="E22" i="43"/>
  <c r="G101" i="43"/>
  <c r="G105" i="43"/>
  <c r="C101" i="43"/>
  <c r="C104"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C4" i="12"/>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F34" i="67"/>
  <c r="F62" i="67"/>
  <c r="M20" i="67"/>
  <c r="F62" i="15"/>
  <c r="E10" i="6"/>
  <c r="G30" i="6"/>
  <c r="G31" i="6"/>
  <c r="J56" i="9"/>
  <c r="J57" i="9"/>
  <c r="A24" i="51"/>
  <c r="B18" i="72"/>
  <c r="U29" i="34"/>
  <c r="C106" i="43"/>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S2" i="43"/>
  <c r="F103" i="43"/>
  <c r="F105" i="43"/>
  <c r="J106" i="43"/>
  <c r="N104" i="43"/>
  <c r="N107" i="43"/>
  <c r="E56" i="40"/>
  <c r="AR12" i="1"/>
  <c r="AQ12" i="1"/>
  <c r="T12" i="1"/>
  <c r="AR10" i="1"/>
  <c r="T10" i="1"/>
  <c r="E19" i="69"/>
  <c r="E19" i="68"/>
  <c r="E19" i="11"/>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D9" i="53"/>
  <c r="B25" i="72"/>
  <c r="B24" i="72"/>
  <c r="G6" i="1"/>
  <c r="H85" i="43"/>
  <c r="H81" i="43"/>
  <c r="H84" i="43"/>
  <c r="H88" i="43"/>
  <c r="H53" i="43"/>
  <c r="H78" i="43"/>
  <c r="H71" i="43"/>
  <c r="C17" i="43"/>
  <c r="F33" i="43"/>
  <c r="K17" i="43"/>
  <c r="F34" i="43"/>
  <c r="N6" i="43"/>
  <c r="C6" i="43"/>
  <c r="N3" i="43"/>
  <c r="F38" i="43"/>
  <c r="F37" i="43"/>
  <c r="M9" i="43"/>
  <c r="N5" i="43"/>
  <c r="M12" i="43"/>
  <c r="B19" i="53"/>
  <c r="B37" i="72"/>
  <c r="C7" i="35"/>
  <c r="C7" i="33"/>
  <c r="C58" i="33"/>
  <c r="D58" i="33"/>
  <c r="E58" i="33"/>
  <c r="F58" i="33"/>
  <c r="G58" i="33"/>
  <c r="H58" i="33"/>
  <c r="I58" i="33"/>
  <c r="J58" i="33"/>
  <c r="K58" i="33"/>
  <c r="L58" i="33"/>
  <c r="M58" i="33"/>
  <c r="N58" i="33"/>
  <c r="O58" i="33"/>
  <c r="C7" i="21"/>
  <c r="C58" i="21"/>
  <c r="C7" i="40"/>
  <c r="C63" i="40"/>
  <c r="M47" i="9"/>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51" i="40"/>
  <c r="B6" i="1"/>
  <c r="E6" i="1"/>
  <c r="S8" i="1"/>
  <c r="O11" i="1"/>
  <c r="P11" i="1"/>
  <c r="AP6" i="1"/>
  <c r="B9" i="1"/>
  <c r="E9" i="1"/>
  <c r="G1" i="69"/>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B7" i="49"/>
  <c r="E4" i="4"/>
  <c r="B9" i="49"/>
  <c r="C4" i="4"/>
  <c r="K4" i="4"/>
  <c r="B46" i="48"/>
  <c r="B4" i="72"/>
  <c r="AQ13" i="1"/>
  <c r="O6" i="1"/>
  <c r="P6" i="1"/>
  <c r="F30" i="68"/>
  <c r="F30" i="11"/>
  <c r="C48" i="11"/>
  <c r="F28" i="67"/>
  <c r="F52" i="9"/>
  <c r="M18" i="67"/>
  <c r="F32" i="67"/>
  <c r="F60" i="67"/>
  <c r="F30" i="69"/>
  <c r="C48" i="69"/>
  <c r="F60" i="15"/>
  <c r="M18" i="15"/>
  <c r="T11" i="1"/>
  <c r="D9" i="69"/>
  <c r="C9" i="69"/>
  <c r="D19" i="12"/>
  <c r="C19" i="12"/>
  <c r="AQ9" i="1"/>
  <c r="AR11" i="1"/>
  <c r="E59" i="40"/>
  <c r="E30" i="6"/>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S21" i="6"/>
  <c r="L27" i="6"/>
  <c r="S26" i="6"/>
  <c r="S22" i="6"/>
  <c r="M20" i="6"/>
  <c r="I20" i="6"/>
  <c r="AP7" i="1"/>
  <c r="O7" i="1"/>
  <c r="H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H6" i="3"/>
  <c r="AC6" i="3"/>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Q52" i="15"/>
  <c r="S20" i="6"/>
  <c r="M27" i="6"/>
  <c r="F1" i="67"/>
  <c r="Q52" i="67"/>
  <c r="AC11" i="37"/>
  <c r="W11" i="37"/>
  <c r="W11" i="34"/>
  <c r="AC11" i="34"/>
  <c r="H20" i="6"/>
  <c r="B2" i="74"/>
  <c r="E6" i="3"/>
  <c r="C10" i="68"/>
  <c r="D10" i="11"/>
  <c r="C10" i="11"/>
  <c r="D20" i="12"/>
  <c r="C20" i="12"/>
  <c r="D15" i="6"/>
  <c r="C18" i="4"/>
  <c r="D8" i="6"/>
  <c r="D14" i="6"/>
  <c r="R20" i="6"/>
  <c r="R7" i="1"/>
  <c r="D5" i="6"/>
  <c r="D6" i="6"/>
  <c r="D12" i="6"/>
  <c r="D9" i="6"/>
  <c r="D11" i="6"/>
  <c r="D10" i="6"/>
  <c r="D13" i="6"/>
  <c r="L19" i="9"/>
  <c r="E61" i="40"/>
  <c r="H25" i="6"/>
  <c r="R25" i="6"/>
  <c r="H22" i="6"/>
  <c r="H23" i="6"/>
  <c r="H21" i="6"/>
  <c r="H26" i="6"/>
  <c r="H24" i="6"/>
  <c r="P16" i="1"/>
  <c r="C11" i="12"/>
  <c r="C15" i="12"/>
  <c r="F34" i="11"/>
  <c r="C37" i="11"/>
  <c r="F11" i="12"/>
  <c r="S19" i="6"/>
  <c r="S27" i="6"/>
  <c r="I27" i="6"/>
  <c r="F50" i="11"/>
  <c r="F50" i="69"/>
  <c r="L16" i="1"/>
  <c r="C34" i="11"/>
  <c r="C38" i="11"/>
  <c r="R26" i="6"/>
  <c r="R23" i="6"/>
  <c r="R24" i="6"/>
  <c r="R21" i="6"/>
  <c r="R8" i="1"/>
  <c r="R22" i="6"/>
  <c r="D16" i="6"/>
  <c r="A7" i="51"/>
  <c r="B7" i="72"/>
  <c r="C4" i="52"/>
  <c r="B45" i="72"/>
  <c r="A10" i="51"/>
  <c r="B9" i="72"/>
  <c r="H27" i="6"/>
  <c r="C35" i="11"/>
  <c r="R27" i="6"/>
  <c r="I5" i="6"/>
  <c r="E2" i="70"/>
  <c r="C34" i="69"/>
  <c r="C38" i="69"/>
  <c r="D10" i="69"/>
  <c r="C10" i="69"/>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B4" i="62"/>
  <c r="B71" i="72"/>
  <c r="F43" i="67"/>
  <c r="D2" i="34"/>
  <c r="M23" i="15"/>
  <c r="F26" i="67"/>
  <c r="F8" i="67"/>
  <c r="D2" i="33"/>
  <c r="M9" i="67"/>
  <c r="E13" i="76"/>
  <c r="J15" i="67"/>
  <c r="B10" i="76"/>
  <c r="M27" i="67"/>
  <c r="AO8" i="1"/>
  <c r="F41" i="67"/>
  <c r="B8" i="76"/>
  <c r="F3" i="73"/>
  <c r="M29" i="67"/>
  <c r="E7" i="76"/>
  <c r="AO7" i="1"/>
  <c r="F20" i="31"/>
  <c r="D2" i="35"/>
  <c r="M21" i="15"/>
  <c r="L47" i="67"/>
  <c r="F5" i="73"/>
  <c r="M24" i="15"/>
  <c r="D2" i="21"/>
  <c r="M26" i="15"/>
  <c r="C76" i="15"/>
  <c r="L51" i="15"/>
  <c r="L57" i="15"/>
  <c r="L47" i="15"/>
  <c r="L58" i="15"/>
  <c r="L59" i="15"/>
  <c r="L60" i="15"/>
  <c r="AO6" i="1"/>
  <c r="B12" i="76"/>
  <c r="E11" i="76"/>
  <c r="M29" i="15"/>
  <c r="F7" i="73"/>
  <c r="E10" i="76"/>
  <c r="F16" i="67"/>
  <c r="F36" i="67"/>
  <c r="M22" i="67"/>
  <c r="M6" i="67"/>
  <c r="AO10" i="1"/>
  <c r="AO12" i="1"/>
  <c r="F6" i="73"/>
  <c r="F6" i="67"/>
  <c r="M26" i="67"/>
  <c r="M8" i="67"/>
  <c r="B3" i="15"/>
  <c r="D20" i="9"/>
  <c r="M23" i="67"/>
  <c r="D2" i="37"/>
  <c r="E9" i="76"/>
  <c r="F40" i="67"/>
  <c r="F42" i="67"/>
  <c r="E2" i="69"/>
  <c r="M21" i="67"/>
  <c r="E2" i="68"/>
  <c r="M27" i="15"/>
  <c r="F35" i="67"/>
  <c r="E12" i="76"/>
  <c r="J15" i="15"/>
  <c r="F9" i="67"/>
  <c r="M28" i="15"/>
  <c r="F7" i="67"/>
  <c r="AO9" i="1"/>
  <c r="D2" i="36"/>
  <c r="M22" i="15"/>
  <c r="M24" i="67"/>
  <c r="B11" i="76"/>
  <c r="F13" i="67"/>
  <c r="AO13" i="1"/>
  <c r="F37" i="67"/>
  <c r="C76" i="67"/>
  <c r="B13" i="76"/>
  <c r="B9" i="76"/>
  <c r="F38" i="67"/>
  <c r="M28" i="67"/>
  <c r="AO11" i="1"/>
  <c r="B7" i="76"/>
  <c r="E8" i="76"/>
  <c r="C65" i="40"/>
  <c r="D63" i="40"/>
  <c r="AA7" i="33"/>
  <c r="R48" i="33"/>
  <c r="C36" i="11"/>
  <c r="C33" i="11"/>
  <c r="C39" i="11"/>
  <c r="C13" i="12"/>
  <c r="C30" i="69"/>
  <c r="C77" i="9"/>
  <c r="C74" i="9"/>
  <c r="C28" i="67"/>
  <c r="C30" i="68"/>
  <c r="H77" i="43"/>
  <c r="H76" i="43"/>
  <c r="H51" i="43"/>
  <c r="H67" i="43"/>
  <c r="H59" i="43"/>
  <c r="H60" i="43"/>
  <c r="H61" i="43"/>
  <c r="M4" i="43"/>
  <c r="M5" i="43"/>
  <c r="N12" i="43"/>
  <c r="N11" i="43"/>
  <c r="M10" i="43"/>
  <c r="M2" i="43"/>
  <c r="M7" i="43"/>
  <c r="H70" i="43"/>
  <c r="H54" i="43"/>
  <c r="N9" i="43"/>
  <c r="M8" i="43"/>
  <c r="N10" i="43"/>
  <c r="H48" i="43"/>
  <c r="H74" i="43"/>
  <c r="M6" i="43"/>
  <c r="N7" i="43"/>
  <c r="N4" i="43"/>
  <c r="N2" i="43"/>
  <c r="H49" i="43"/>
  <c r="N17" i="43"/>
  <c r="L17" i="43"/>
  <c r="O17" i="43"/>
  <c r="M17" i="43"/>
  <c r="E17" i="43"/>
  <c r="E48" i="33"/>
  <c r="R49" i="33"/>
  <c r="G52" i="33"/>
  <c r="H52" i="33"/>
  <c r="AC7" i="33"/>
  <c r="V48" i="33"/>
  <c r="I48" i="33"/>
  <c r="G53" i="33"/>
  <c r="H53" i="33"/>
  <c r="G59" i="34"/>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24" i="12"/>
  <c r="C48" i="68"/>
  <c r="C9" i="71"/>
  <c r="D9" i="71"/>
  <c r="D10" i="71"/>
  <c r="D11" i="71"/>
  <c r="U11" i="71"/>
  <c r="S11" i="71"/>
  <c r="T11" i="71"/>
  <c r="AB9" i="71"/>
  <c r="X7" i="71"/>
  <c r="X6" i="71"/>
  <c r="AA7" i="71"/>
  <c r="AA6" i="71"/>
  <c r="X10" i="71"/>
  <c r="Z5" i="71"/>
  <c r="Y6" i="71"/>
  <c r="Z6" i="71"/>
  <c r="AB7" i="71"/>
  <c r="AB6" i="71"/>
  <c r="B6" i="71"/>
  <c r="B5" i="71"/>
  <c r="S7" i="71"/>
  <c r="C94" i="9"/>
  <c r="C92" i="9"/>
  <c r="C20" i="11"/>
  <c r="F8" i="71"/>
  <c r="F7" i="71"/>
  <c r="F6" i="71"/>
  <c r="F5" i="71"/>
  <c r="Y7" i="71"/>
  <c r="Z7" i="71"/>
  <c r="E7" i="49"/>
  <c r="B15" i="49"/>
  <c r="AB3" i="71"/>
  <c r="X3" i="71"/>
  <c r="C8" i="71"/>
  <c r="E8" i="71"/>
  <c r="E7" i="71"/>
  <c r="E10" i="49"/>
  <c r="B6" i="49"/>
  <c r="E14" i="49"/>
  <c r="D19" i="69"/>
  <c r="C19" i="69"/>
  <c r="P24" i="43"/>
  <c r="B66" i="40"/>
  <c r="P21" i="43"/>
  <c r="C12" i="12"/>
  <c r="P22" i="43"/>
  <c r="C14" i="12"/>
  <c r="C23" i="12"/>
  <c r="R16" i="1"/>
  <c r="B13" i="49"/>
  <c r="B4" i="49"/>
  <c r="E22" i="49"/>
  <c r="E16" i="49"/>
  <c r="E11" i="49"/>
  <c r="B10" i="49"/>
  <c r="E6" i="49"/>
  <c r="E8" i="49"/>
  <c r="E5" i="49"/>
  <c r="B8" i="49"/>
  <c r="B5" i="49"/>
  <c r="E21" i="49"/>
  <c r="E4" i="49"/>
  <c r="B11" i="49"/>
  <c r="B14" i="49"/>
  <c r="B16" i="49"/>
  <c r="E13" i="49"/>
  <c r="E15" i="49"/>
  <c r="E9" i="49"/>
  <c r="B22" i="49"/>
  <c r="C18" i="12"/>
  <c r="C8" i="69"/>
  <c r="C5" i="69"/>
  <c r="C35" i="69"/>
  <c r="D102" i="9"/>
  <c r="D21" i="9"/>
  <c r="B6" i="70"/>
  <c r="F69" i="15"/>
  <c r="F63" i="15"/>
  <c r="C62" i="15"/>
  <c r="F70" i="67"/>
  <c r="F64" i="67"/>
  <c r="Q50" i="15"/>
  <c r="I54" i="15"/>
  <c r="L56" i="15"/>
  <c r="F71" i="67"/>
  <c r="F66" i="15"/>
  <c r="F50" i="15"/>
  <c r="J18" i="15"/>
  <c r="B10" i="70"/>
  <c r="F68" i="67"/>
  <c r="F66" i="67"/>
  <c r="L59" i="67"/>
  <c r="M59" i="67"/>
  <c r="N59" i="67"/>
  <c r="L58" i="67"/>
  <c r="F68" i="15"/>
  <c r="N59" i="15"/>
  <c r="M59" i="15"/>
  <c r="F65" i="15"/>
  <c r="Q71" i="67"/>
  <c r="B13" i="70"/>
  <c r="B8" i="70"/>
  <c r="C34" i="67"/>
  <c r="F63" i="67"/>
  <c r="C62" i="67"/>
  <c r="J20" i="15"/>
  <c r="D103" i="9"/>
  <c r="B20" i="31"/>
  <c r="B7" i="70"/>
  <c r="F69" i="67"/>
  <c r="J20" i="67"/>
  <c r="F71" i="15"/>
  <c r="F65" i="67"/>
  <c r="Q71" i="15"/>
  <c r="M7" i="67"/>
  <c r="J6" i="67"/>
  <c r="J18" i="67"/>
  <c r="F50" i="67"/>
  <c r="F51" i="67"/>
  <c r="C6" i="67"/>
  <c r="C32" i="67"/>
  <c r="B11" i="70"/>
  <c r="F51" i="15"/>
  <c r="F64" i="15"/>
  <c r="I54" i="67"/>
  <c r="J57" i="67"/>
  <c r="J55" i="67"/>
  <c r="J58" i="67"/>
  <c r="Q50" i="67"/>
  <c r="L56" i="67"/>
  <c r="C27" i="67"/>
  <c r="B12" i="70"/>
  <c r="B9" i="70"/>
  <c r="D7" i="73"/>
  <c r="C17" i="67"/>
  <c r="D3" i="73"/>
  <c r="C14" i="67"/>
  <c r="F31" i="15"/>
  <c r="M17" i="67"/>
  <c r="F59" i="67"/>
  <c r="F59" i="15"/>
  <c r="M17" i="15"/>
  <c r="F31" i="67"/>
  <c r="C16" i="67"/>
  <c r="D4" i="73"/>
  <c r="E20" i="43"/>
  <c r="M28" i="43"/>
  <c r="G20" i="43"/>
  <c r="D65" i="40"/>
  <c r="E63" i="40"/>
  <c r="G17" i="43"/>
  <c r="C16" i="43"/>
  <c r="D5" i="43"/>
  <c r="C5" i="43"/>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H59" i="34"/>
  <c r="C49" i="33"/>
  <c r="B2" i="33"/>
  <c r="B3" i="33"/>
  <c r="C48" i="33"/>
  <c r="J7" i="21"/>
  <c r="S7" i="36"/>
  <c r="AA7" i="36"/>
  <c r="R36" i="36"/>
  <c r="W7" i="36"/>
  <c r="AC7" i="36"/>
  <c r="V36" i="36"/>
  <c r="I36" i="36"/>
  <c r="AB7" i="35"/>
  <c r="T38" i="35"/>
  <c r="G38" i="35"/>
  <c r="U7" i="35"/>
  <c r="AC7" i="35"/>
  <c r="V38" i="35"/>
  <c r="I38" i="35"/>
  <c r="W7" i="35"/>
  <c r="U7" i="37"/>
  <c r="AB7" i="37"/>
  <c r="T42" i="37"/>
  <c r="G42" i="37"/>
  <c r="S7" i="37"/>
  <c r="AA7" i="37"/>
  <c r="R42" i="37"/>
  <c r="E53" i="33"/>
  <c r="F53" i="33"/>
  <c r="E52" i="33"/>
  <c r="F52" i="33"/>
  <c r="E6" i="71"/>
  <c r="E5" i="71"/>
  <c r="V7" i="71"/>
  <c r="C20" i="69"/>
  <c r="D37" i="69"/>
  <c r="C37" i="69"/>
  <c r="C33" i="69"/>
  <c r="C39" i="69"/>
  <c r="C16" i="12"/>
  <c r="C21" i="12"/>
  <c r="C22" i="12"/>
  <c r="C7" i="71"/>
  <c r="D8" i="71"/>
  <c r="P25" i="43"/>
  <c r="C49" i="67"/>
  <c r="C49" i="15"/>
  <c r="C18" i="67"/>
  <c r="C15" i="67"/>
  <c r="F11" i="67"/>
  <c r="M11" i="67"/>
  <c r="J10" i="67"/>
  <c r="J5" i="67"/>
  <c r="Q73" i="67"/>
  <c r="Q60" i="67"/>
  <c r="B2" i="70"/>
  <c r="B3" i="70"/>
  <c r="P28" i="43"/>
  <c r="Q60" i="15"/>
  <c r="Q73" i="15"/>
  <c r="Q74" i="15"/>
  <c r="Q61" i="15"/>
  <c r="Q61" i="67"/>
  <c r="Q74" i="67"/>
  <c r="N28" i="43"/>
  <c r="O28" i="43"/>
  <c r="E65" i="40"/>
  <c r="F63" i="40"/>
  <c r="E41" i="43"/>
  <c r="C41" i="43"/>
  <c r="C20" i="43"/>
  <c r="I42" i="35"/>
  <c r="J42" i="35"/>
  <c r="G42" i="35"/>
  <c r="H42" i="35"/>
  <c r="G43" i="35"/>
  <c r="H43" i="35"/>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C6" i="71"/>
  <c r="C5" i="71"/>
  <c r="D5" i="71"/>
  <c r="T7" i="71"/>
  <c r="D6" i="71"/>
  <c r="D7" i="71"/>
  <c r="C19" i="67"/>
  <c r="C20" i="67"/>
  <c r="C26" i="67"/>
  <c r="J24" i="67"/>
  <c r="J26" i="67"/>
  <c r="J29" i="67"/>
  <c r="C53" i="67"/>
  <c r="C48" i="67"/>
  <c r="C10" i="67"/>
  <c r="C5" i="67"/>
  <c r="J24" i="15"/>
  <c r="C53" i="15"/>
  <c r="C48" i="15"/>
  <c r="F24" i="67"/>
  <c r="C24" i="67"/>
  <c r="F25" i="12"/>
  <c r="C26" i="12"/>
  <c r="D25" i="12"/>
  <c r="F22" i="11"/>
  <c r="C44" i="11"/>
  <c r="D41" i="11"/>
  <c r="F22" i="69"/>
  <c r="C23" i="69"/>
  <c r="F65" i="40"/>
  <c r="G63" i="40"/>
  <c r="AC7" i="34"/>
  <c r="V49" i="34"/>
  <c r="I49" i="34"/>
  <c r="W7" i="34"/>
  <c r="E43" i="35"/>
  <c r="F43" i="35"/>
  <c r="E42" i="35"/>
  <c r="F42" i="35"/>
  <c r="C36" i="36"/>
  <c r="C37" i="36"/>
  <c r="B2" i="36"/>
  <c r="B3" i="36"/>
  <c r="C42" i="37"/>
  <c r="C43" i="37"/>
  <c r="B2" i="37"/>
  <c r="B3" i="37"/>
  <c r="G52" i="21"/>
  <c r="H52" i="21"/>
  <c r="G53" i="21"/>
  <c r="H53" i="21"/>
  <c r="I43" i="35"/>
  <c r="J43" i="35"/>
  <c r="H7" i="34"/>
  <c r="E48" i="21"/>
  <c r="R49" i="21"/>
  <c r="C38" i="35"/>
  <c r="C39" i="35"/>
  <c r="B2" i="35"/>
  <c r="B3" i="35"/>
  <c r="S7" i="34"/>
  <c r="AA7" i="34"/>
  <c r="R49" i="34"/>
  <c r="I52" i="21"/>
  <c r="J52" i="21"/>
  <c r="I53" i="21"/>
  <c r="J53" i="21"/>
  <c r="E40" i="36"/>
  <c r="F40" i="36"/>
  <c r="E41" i="36"/>
  <c r="F41" i="36"/>
  <c r="I41" i="36"/>
  <c r="J41" i="36"/>
  <c r="E47" i="37"/>
  <c r="F47" i="37"/>
  <c r="E46" i="37"/>
  <c r="F46" i="37"/>
  <c r="M20" i="43"/>
  <c r="C19" i="43"/>
  <c r="T14" i="43"/>
  <c r="V14" i="43"/>
  <c r="U7" i="71"/>
  <c r="C66" i="15"/>
  <c r="C60" i="15"/>
  <c r="C60" i="67"/>
  <c r="C66" i="67"/>
  <c r="C38" i="67"/>
  <c r="C25" i="69"/>
  <c r="C43" i="69"/>
  <c r="C26" i="11"/>
  <c r="D22" i="11"/>
  <c r="C23" i="67"/>
  <c r="C29" i="67"/>
  <c r="J19" i="67"/>
  <c r="C42" i="11"/>
  <c r="C24" i="69"/>
  <c r="C44" i="69"/>
  <c r="D41" i="69"/>
  <c r="C25" i="11"/>
  <c r="C23" i="11"/>
  <c r="J19" i="15"/>
  <c r="J17" i="15"/>
  <c r="C27" i="12"/>
  <c r="C25" i="12"/>
  <c r="C42" i="69"/>
  <c r="C26" i="69"/>
  <c r="D22" i="69"/>
  <c r="C24" i="11"/>
  <c r="C43" i="11"/>
  <c r="G65" i="40"/>
  <c r="H63" i="40"/>
  <c r="R50" i="34"/>
  <c r="E49" i="34"/>
  <c r="U7" i="34"/>
  <c r="AB7" i="34"/>
  <c r="T49" i="34"/>
  <c r="G49" i="34"/>
  <c r="E52" i="21"/>
  <c r="F52" i="21"/>
  <c r="E53" i="21"/>
  <c r="F53" i="21"/>
  <c r="I53" i="34"/>
  <c r="J53" i="34"/>
  <c r="I54" i="34"/>
  <c r="J54" i="34"/>
  <c r="C48" i="21"/>
  <c r="C49" i="21"/>
  <c r="B2" i="21"/>
  <c r="B3" i="21"/>
  <c r="C39" i="43"/>
  <c r="E39" i="43"/>
  <c r="T3" i="43"/>
  <c r="V3" i="43"/>
  <c r="T6" i="43"/>
  <c r="V6" i="43"/>
  <c r="C38" i="43"/>
  <c r="G38" i="43"/>
  <c r="I38" i="43"/>
  <c r="T5" i="43"/>
  <c r="V5" i="43"/>
  <c r="C29" i="43"/>
  <c r="C30" i="43"/>
  <c r="E30" i="43"/>
  <c r="T2" i="43"/>
  <c r="V2" i="43"/>
  <c r="C36" i="43"/>
  <c r="E36" i="43"/>
  <c r="T8" i="43"/>
  <c r="V8" i="43"/>
  <c r="C35" i="43"/>
  <c r="E35" i="43"/>
  <c r="T13" i="43"/>
  <c r="V13" i="43"/>
  <c r="C37" i="43"/>
  <c r="E37" i="43"/>
  <c r="T16" i="43"/>
  <c r="V16" i="43"/>
  <c r="T15" i="43"/>
  <c r="V15" i="43"/>
  <c r="C33" i="43"/>
  <c r="E33" i="43"/>
  <c r="T9" i="43"/>
  <c r="V9" i="43"/>
  <c r="T7" i="43"/>
  <c r="V7" i="43"/>
  <c r="T12" i="43"/>
  <c r="V12" i="43"/>
  <c r="T10" i="43"/>
  <c r="V10" i="43"/>
  <c r="T11" i="43"/>
  <c r="V11" i="43"/>
  <c r="C34" i="43"/>
  <c r="E34" i="43"/>
  <c r="T4" i="43"/>
  <c r="V4" i="43"/>
  <c r="G33" i="43"/>
  <c r="I33" i="43"/>
  <c r="E38" i="43"/>
  <c r="G36" i="43"/>
  <c r="I36" i="43"/>
  <c r="G37" i="43"/>
  <c r="I37" i="43"/>
  <c r="C22" i="69"/>
  <c r="C57" i="67"/>
  <c r="J17" i="67"/>
  <c r="C36" i="67"/>
  <c r="J14" i="67"/>
  <c r="J13" i="67"/>
  <c r="J23" i="67"/>
  <c r="C33" i="67"/>
  <c r="C31" i="67"/>
  <c r="C41" i="11"/>
  <c r="C41" i="69"/>
  <c r="J59" i="67"/>
  <c r="J60" i="67"/>
  <c r="L46" i="67"/>
  <c r="Q49" i="67"/>
  <c r="C13" i="67"/>
  <c r="C37" i="67"/>
  <c r="Q49" i="15"/>
  <c r="C22" i="11"/>
  <c r="C57" i="15"/>
  <c r="C64" i="15"/>
  <c r="Q70" i="15"/>
  <c r="J14" i="15"/>
  <c r="J22" i="15"/>
  <c r="G35" i="43"/>
  <c r="I35" i="43"/>
  <c r="E29" i="43"/>
  <c r="C26" i="43"/>
  <c r="B2" i="43"/>
  <c r="H65" i="40"/>
  <c r="I63" i="40"/>
  <c r="C50" i="34"/>
  <c r="B2" i="34"/>
  <c r="B3" i="34"/>
  <c r="C49" i="34"/>
  <c r="G53" i="34"/>
  <c r="H53" i="34"/>
  <c r="G54" i="34"/>
  <c r="H54" i="34"/>
  <c r="E54" i="34"/>
  <c r="F54" i="34"/>
  <c r="E53" i="34"/>
  <c r="F53" i="34"/>
  <c r="G39" i="43"/>
  <c r="I39" i="43"/>
  <c r="G34" i="43"/>
  <c r="I34" i="43"/>
  <c r="C27" i="43"/>
  <c r="Q48" i="67"/>
  <c r="J22" i="67"/>
  <c r="C61" i="67"/>
  <c r="C59" i="67"/>
  <c r="C64" i="67"/>
  <c r="B6" i="76"/>
  <c r="E6" i="76"/>
  <c r="C30" i="67"/>
  <c r="C39" i="67"/>
  <c r="Q69" i="67"/>
  <c r="C61" i="15"/>
  <c r="C59" i="15"/>
  <c r="Q48" i="15"/>
  <c r="Q70" i="67"/>
  <c r="J13" i="15"/>
  <c r="J23" i="15"/>
  <c r="J16" i="15"/>
  <c r="J25" i="15"/>
  <c r="C75" i="67"/>
  <c r="C56" i="67"/>
  <c r="C65" i="67"/>
  <c r="C58" i="67"/>
  <c r="C67" i="67"/>
  <c r="C68" i="67"/>
  <c r="C75" i="15"/>
  <c r="C56" i="15"/>
  <c r="C65" i="15"/>
  <c r="I65" i="40"/>
  <c r="J63" i="40"/>
  <c r="E2" i="76"/>
  <c r="B2" i="76"/>
  <c r="B3" i="43"/>
  <c r="J16" i="67"/>
  <c r="J25" i="67"/>
  <c r="C40" i="67"/>
  <c r="L51" i="67"/>
  <c r="C80" i="67"/>
  <c r="C79" i="67"/>
  <c r="C58" i="15"/>
  <c r="C67" i="15"/>
  <c r="C68" i="15"/>
  <c r="C71" i="15"/>
  <c r="Q68" i="67"/>
  <c r="Q69" i="15"/>
  <c r="Q68" i="15"/>
  <c r="C80" i="15"/>
  <c r="C79" i="15"/>
  <c r="K63" i="40"/>
  <c r="J65" i="40"/>
  <c r="B3" i="76"/>
  <c r="Q67" i="67"/>
  <c r="L57" i="67"/>
  <c r="L60" i="67"/>
  <c r="Q67" i="15"/>
  <c r="C71" i="67"/>
  <c r="C45" i="67"/>
  <c r="C46" i="67"/>
  <c r="Q56" i="67"/>
  <c r="Q47" i="67"/>
  <c r="Q53" i="67"/>
  <c r="Q65" i="67"/>
  <c r="C43" i="67"/>
  <c r="D2" i="67"/>
  <c r="C83" i="67"/>
  <c r="C82" i="67"/>
  <c r="Q65" i="15"/>
  <c r="Q56" i="15"/>
  <c r="C46" i="15"/>
  <c r="C83" i="15"/>
  <c r="C82" i="15"/>
  <c r="C43" i="15"/>
  <c r="Q47" i="15"/>
  <c r="Q53" i="15"/>
  <c r="L63" i="40"/>
  <c r="K65" i="40"/>
  <c r="Q57" i="15"/>
  <c r="Q66" i="15"/>
  <c r="Q75" i="15"/>
  <c r="Q66" i="67"/>
  <c r="Q75" i="67"/>
  <c r="Q57" i="67"/>
  <c r="Q62" i="67"/>
  <c r="Q62" i="15"/>
  <c r="B2" i="67"/>
  <c r="B3" i="67"/>
  <c r="M63" i="40"/>
  <c r="L65" i="40"/>
  <c r="N63" i="40"/>
  <c r="M65" i="40"/>
  <c r="N65" i="40"/>
  <c r="O63" i="40"/>
  <c r="O65" i="40"/>
  <c r="J7" i="40"/>
  <c r="F7" i="40"/>
  <c r="S7" i="40"/>
  <c r="AA7" i="40"/>
  <c r="R42" i="40"/>
  <c r="H7" i="40"/>
  <c r="W7" i="40"/>
  <c r="AC7" i="40"/>
  <c r="V42" i="40"/>
  <c r="I42" i="40"/>
  <c r="E42" i="40"/>
  <c r="I47" i="40"/>
  <c r="J47" i="40"/>
  <c r="R43" i="40"/>
  <c r="I46" i="40"/>
  <c r="J46" i="40"/>
  <c r="U7" i="40"/>
  <c r="AB7" i="40"/>
  <c r="T42" i="40"/>
  <c r="G42" i="40"/>
  <c r="U7" i="39"/>
  <c r="W7" i="39"/>
  <c r="S7" i="39"/>
  <c r="G47" i="40"/>
  <c r="H47" i="40"/>
  <c r="G46" i="40"/>
  <c r="H46" i="40"/>
  <c r="C43" i="40"/>
  <c r="C42" i="40"/>
  <c r="E47" i="40"/>
  <c r="F47" i="40"/>
  <c r="E46" i="40"/>
  <c r="F46" i="40"/>
  <c r="B55" i="40"/>
  <c r="F55" i="40"/>
  <c r="B57" i="40"/>
  <c r="F57" i="40"/>
  <c r="B56" i="40"/>
  <c r="F56" i="40"/>
  <c r="B53" i="40"/>
  <c r="F53" i="40"/>
  <c r="B58" i="40"/>
  <c r="F58" i="40"/>
  <c r="B51" i="40"/>
  <c r="F51" i="40"/>
  <c r="B60" i="40"/>
  <c r="F60" i="40"/>
  <c r="B59" i="40"/>
  <c r="F59" i="40"/>
  <c r="B54" i="40"/>
  <c r="F54" i="40"/>
  <c r="F61" i="40"/>
  <c r="B2" i="40"/>
  <c r="B3" i="40"/>
  <c r="B52" i="40"/>
  <c r="F52" i="40"/>
  <c r="D113" i="43"/>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B3" i="39"/>
  <c r="E47" i="39"/>
  <c r="E51" i="39"/>
  <c r="F51" i="39"/>
  <c r="G47" i="39"/>
  <c r="E52" i="39"/>
  <c r="F52" i="39"/>
  <c r="C47" i="39"/>
  <c r="I47" i="39"/>
  <c r="G52" i="39"/>
  <c r="H52" i="39"/>
  <c r="G51" i="39"/>
  <c r="H51" i="39"/>
  <c r="I52" i="39"/>
  <c r="J52" i="39"/>
  <c r="I51" i="39"/>
  <c r="J51" i="39"/>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M49" i="9"/>
  <c r="D45" i="9"/>
  <c r="D55" i="9"/>
  <c r="M53" i="9"/>
  <c r="C85" i="9"/>
  <c r="C93" i="9"/>
  <c r="C86" i="9"/>
  <c r="C95" i="9"/>
  <c r="C96" i="9"/>
  <c r="C97" i="9"/>
  <c r="D58" i="9"/>
  <c r="D56" i="9"/>
  <c r="M54" i="9"/>
  <c r="N57" i="9"/>
  <c r="N59" i="9"/>
  <c r="N61" i="9"/>
  <c r="N60" i="9"/>
  <c r="P57" i="9"/>
  <c r="N58" i="9"/>
  <c r="E96" i="9"/>
  <c r="E97" i="9"/>
  <c r="C72" i="9"/>
  <c r="C78" i="9"/>
  <c r="C73" i="9"/>
  <c r="C79" i="9"/>
  <c r="C80" i="9"/>
  <c r="E80" i="9"/>
  <c r="E81" i="9"/>
  <c r="C81" i="9"/>
  <c r="D122" i="9"/>
  <c r="G14" i="74"/>
  <c r="B6" i="74"/>
  <c r="D6" i="74"/>
  <c r="C6" i="74"/>
  <c r="F27" i="11"/>
  <c r="C46" i="11"/>
  <c r="C45" i="11"/>
  <c r="C47" i="11"/>
  <c r="D45" i="11"/>
  <c r="C49" i="11"/>
  <c r="C51" i="11"/>
  <c r="C28" i="11"/>
  <c r="C27" i="11"/>
  <c r="C29" i="11"/>
  <c r="D27" i="11"/>
  <c r="C31" i="11"/>
  <c r="C52" i="11"/>
  <c r="C56" i="11"/>
  <c r="C57" i="11"/>
  <c r="F27" i="69"/>
  <c r="C46" i="69"/>
  <c r="C45" i="69"/>
  <c r="C47" i="69"/>
  <c r="D45" i="69"/>
  <c r="C49" i="69"/>
  <c r="C51" i="69"/>
  <c r="C28" i="69"/>
  <c r="C27" i="69"/>
  <c r="C29" i="69"/>
  <c r="D27" i="69"/>
  <c r="C31" i="69"/>
  <c r="C52" i="69"/>
  <c r="C57" i="69"/>
  <c r="C56" i="69"/>
  <c r="D8" i="52"/>
  <c r="D123" i="9"/>
  <c r="D9" i="52"/>
  <c r="D13" i="53"/>
  <c r="B30" i="72"/>
  <c r="D14" i="53"/>
  <c r="B32" i="72"/>
  <c r="B2" i="11"/>
  <c r="B3" i="11"/>
  <c r="B2" i="69"/>
  <c r="B3" i="69"/>
  <c r="D53" i="9"/>
  <c r="D52" i="9"/>
  <c r="C64" i="9"/>
  <c r="C63" i="9"/>
  <c r="C67" i="9"/>
  <c r="C68" i="9"/>
  <c r="D54" i="9"/>
  <c r="H108" i="9"/>
  <c r="D15" i="53"/>
  <c r="B31" i="72"/>
  <c r="D5" i="53"/>
  <c r="D6" i="53"/>
  <c r="B22" i="72"/>
  <c r="B20" i="72"/>
  <c r="D14" i="74"/>
  <c r="B5" i="74"/>
  <c r="C5" i="74"/>
  <c r="D5" i="74"/>
  <c r="F14" i="74"/>
  <c r="E14" i="74"/>
  <c r="I118" i="9"/>
  <c r="H102" i="9"/>
  <c r="D7" i="53"/>
  <c r="B21" i="72"/>
  <c r="B3" i="68"/>
  <c r="C57" i="68"/>
  <c r="D35" i="9"/>
  <c r="C35" i="9"/>
  <c r="F118" i="9"/>
  <c r="G118" i="9"/>
  <c r="E118" i="9"/>
  <c r="E4" i="52"/>
  <c r="B48" i="72"/>
  <c r="C105" i="9"/>
  <c r="I4" i="52"/>
  <c r="M48" i="9"/>
  <c r="F28" i="12"/>
  <c r="C30" i="12"/>
  <c r="C28" i="12"/>
  <c r="C29" i="12"/>
  <c r="D28" i="12"/>
  <c r="C32" i="12"/>
  <c r="B2" i="12"/>
  <c r="B3" i="12"/>
  <c r="C34" i="9"/>
  <c r="D118" i="9"/>
  <c r="D4" i="52"/>
  <c r="B47" i="72"/>
  <c r="G4" i="52"/>
  <c r="B52" i="72"/>
  <c r="F119" i="9"/>
  <c r="F5" i="52"/>
  <c r="B53" i="72"/>
  <c r="F4" i="52"/>
  <c r="B51" i="72"/>
  <c r="C104" i="9"/>
  <c r="H4" i="52"/>
  <c r="H119" i="9"/>
  <c r="H5" i="52"/>
  <c r="D119" i="9"/>
  <c r="D5" i="52"/>
  <c r="B49" i="72"/>
  <c r="G21" i="9"/>
  <c r="S10" i="39"/>
  <c r="F10" i="40"/>
  <c r="S10" i="40"/>
  <c r="AA10" i="40"/>
  <c r="H10" i="40"/>
  <c r="AB10" i="40"/>
  <c r="U10" i="40"/>
  <c r="J10" i="40"/>
  <c r="AC10" i="40"/>
  <c r="W10" i="40"/>
  <c r="W10" i="39"/>
  <c r="U10" i="39"/>
  <c r="C102" i="9"/>
  <c r="D22" i="9"/>
  <c r="C21" i="9"/>
  <c r="C20" i="9"/>
  <c r="C103" i="9"/>
  <c r="G20" i="9"/>
  <c r="C56" i="68"/>
  <c r="D34" i="9"/>
  <c r="L63" i="9"/>
  <c r="M63" i="9"/>
  <c r="L64" i="9"/>
  <c r="M64" i="9"/>
  <c r="L65" i="9"/>
  <c r="M65" i="9"/>
  <c r="L66" i="9"/>
  <c r="M66" i="9"/>
  <c r="L67" i="9"/>
  <c r="M67" i="9"/>
  <c r="L68" i="9"/>
  <c r="M68" i="9"/>
  <c r="M69" i="9"/>
  <c r="N69"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2"/>
            <color indexed="81"/>
            <rFont val="宋体"/>
            <family val="3"/>
            <charset val="134"/>
          </rPr>
          <t>取值范围：
1.5%-2.5%</t>
        </r>
        <r>
          <rPr>
            <sz val="9"/>
            <color indexed="81"/>
            <rFont val="宋体"/>
            <family val="3"/>
            <charset val="134"/>
          </rPr>
          <t xml:space="preserve">
</t>
        </r>
      </text>
    </comment>
    <comment ref="AL5" authorId="0" shape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<sst xmlns="http://schemas.openxmlformats.org/spreadsheetml/2006/main" count="9158" uniqueCount="3422">
  <si>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</si>
  <si>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</si>
  <si>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</si>
  <si>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</si>
  <si>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</si>
  <si>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</si>
  <si>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</si>
  <si>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</si>
  <si>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</si>
  <si>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</si>
  <si>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</si>
  <si>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</si>
  <si>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</si>
  <si>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</si>
  <si>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</si>
  <si>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</si>
  <si>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</si>
  <si>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</si>
  <si>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</si>
  <si>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</si>
  <si>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</si>
  <si>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</si>
  <si>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</si>
  <si>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</si>
  <si>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</si>
  <si>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</si>
  <si>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</si>
  <si>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</si>
  <si>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</si>
  <si>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</si>
  <si>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</si>
  <si>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</si>
  <si>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</si>
  <si>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</si>
  <si>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</si>
  <si>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</si>
  <si>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</si>
  <si>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</si>
  <si>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</si>
  <si>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</si>
  <si>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</si>
  <si>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</si>
  <si>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</si>
  <si>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</si>
  <si>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</si>
  <si>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</si>
  <si>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</si>
  <si>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</si>
  <si>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</si>
  <si>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</si>
  <si>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</si>
  <si>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</si>
  <si>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</si>
  <si>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</si>
  <si>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</si>
  <si>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</si>
  <si>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</si>
  <si>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</si>
  <si>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</si>
  <si>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</si>
  <si>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</si>
  <si>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</si>
  <si>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</si>
  <si>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</si>
  <si>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</si>
  <si>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</si>
  <si>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</si>
  <si>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</si>
  <si>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</si>
  <si>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</si>
  <si>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</si>
  <si>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</si>
  <si>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</si>
  <si>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</si>
  <si>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</si>
  <si>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</si>
  <si>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</si>
  <si>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</si>
  <si>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</si>
  <si>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</si>
  <si>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</si>
  <si>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</si>
  <si>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</si>
  <si>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</si>
  <si>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</si>
  <si>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</si>
  <si>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</si>
  <si>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</si>
  <si>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</si>
  <si>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</si>
  <si>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</si>
  <si>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</si>
  <si>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</si>
  <si>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</si>
  <si>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</si>
  <si>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</si>
  <si>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</si>
  <si>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</si>
  <si>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</si>
  <si>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</si>
  <si>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</si>
  <si>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</si>
  <si>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</si>
  <si>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</si>
  <si>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</si>
  <si>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</si>
  <si>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</si>
  <si>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</si>
  <si>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</si>
  <si>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</si>
  <si>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</si>
  <si>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</si>
  <si>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</si>
  <si>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</si>
  <si>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</si>
  <si>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</si>
  <si>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</si>
  <si>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</si>
  <si>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</si>
  <si>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</si>
  <si>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</si>
  <si>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</si>
  <si>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</si>
  <si>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</si>
  <si>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</si>
  <si>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</si>
  <si>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</si>
  <si>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</si>
  <si>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</si>
  <si>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</si>
  <si>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</si>
  <si>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</si>
  <si>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</si>
  <si>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</si>
  <si>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</si>
  <si>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</si>
  <si>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</si>
  <si>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</si>
  <si>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</si>
  <si>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</si>
  <si>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</si>
  <si>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</si>
  <si>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</si>
  <si>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</si>
  <si>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</si>
  <si>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</si>
  <si>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</si>
  <si>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</si>
  <si>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</si>
  <si>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</si>
  <si>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</si>
  <si>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</si>
  <si>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</si>
  <si>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</si>
  <si>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</si>
  <si>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</si>
  <si>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</si>
  <si>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</si>
  <si>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</si>
  <si>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</si>
  <si>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</si>
  <si>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</si>
  <si>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</si>
  <si>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</si>
  <si>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</si>
  <si>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</si>
  <si>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</si>
  <si>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</si>
  <si>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</si>
  <si>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</si>
  <si>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</si>
  <si>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</si>
  <si>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</si>
  <si>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</si>
  <si>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</si>
  <si>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</si>
  <si>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</si>
  <si>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</si>
  <si>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</si>
  <si>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</si>
  <si>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</si>
  <si>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</si>
  <si>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</si>
  <si>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</si>
  <si>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</si>
  <si>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</si>
  <si>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</si>
  <si>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</si>
  <si>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</si>
  <si>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</si>
  <si>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</si>
  <si>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</si>
  <si>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</si>
  <si>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</si>
  <si>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</si>
  <si>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</si>
  <si>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</si>
  <si>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</si>
  <si>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</si>
  <si>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</si>
  <si>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</si>
  <si>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</si>
  <si>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</si>
  <si>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</si>
  <si>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</si>
  <si>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</si>
  <si>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</si>
  <si>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</si>
  <si>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</si>
  <si>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</si>
  <si>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</si>
  <si>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</si>
  <si>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</si>
  <si>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</si>
  <si>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</si>
  <si>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</si>
  <si>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</si>
  <si>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</si>
  <si>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</si>
  <si>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</si>
  <si>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</si>
  <si>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</si>
  <si>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</si>
  <si>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</si>
  <si>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</si>
  <si>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</si>
  <si>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</si>
  <si>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</si>
  <si>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</si>
  <si>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</si>
  <si>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</si>
  <si>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</si>
  <si>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</si>
  <si>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</si>
  <si>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</si>
  <si>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</si>
  <si>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</si>
  <si>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</si>
  <si>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</si>
  <si>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</si>
  <si>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</si>
  <si>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</si>
  <si>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</si>
  <si>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</si>
  <si>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</si>
  <si>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</si>
  <si>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</si>
  <si>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</si>
  <si>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</si>
  <si>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</si>
  <si>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</si>
  <si>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</si>
  <si>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</si>
  <si>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</si>
  <si>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</si>
  <si>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</si>
  <si>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</si>
  <si>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</si>
  <si>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</si>
  <si>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</si>
  <si>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</si>
  <si>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</si>
  <si>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</si>
  <si>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</si>
  <si>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</si>
  <si>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</si>
  <si>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</si>
  <si>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</si>
  <si>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</si>
  <si>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</si>
  <si>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</si>
  <si>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</si>
  <si>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</si>
  <si>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</si>
  <si>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</si>
  <si>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</si>
  <si>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</si>
  <si>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</si>
  <si>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</si>
  <si>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</si>
  <si>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</si>
  <si>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</si>
  <si>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</si>
  <si>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</si>
  <si>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</si>
  <si>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</si>
  <si>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</si>
  <si>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</si>
  <si>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</si>
  <si>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</si>
  <si>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</si>
  <si>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</si>
  <si>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</si>
  <si>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</si>
  <si>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</si>
  <si>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</si>
  <si>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</si>
  <si>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</si>
  <si>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</si>
  <si>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</si>
  <si>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</si>
  <si>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</si>
  <si>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</si>
  <si>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</si>
  <si>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</si>
  <si>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</si>
  <si>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</si>
  <si>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</si>
  <si>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</si>
  <si>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</si>
  <si>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</si>
  <si>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</si>
  <si>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</si>
  <si>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</si>
  <si>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</si>
  <si>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</si>
  <si>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</si>
  <si>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</si>
  <si>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</si>
  <si>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</si>
  <si>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</si>
  <si>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</si>
  <si>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</si>
  <si>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</si>
  <si>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</si>
  <si>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</si>
  <si>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</si>
  <si>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</si>
  <si>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</si>
  <si>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</si>
  <si>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</si>
  <si>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</si>
  <si>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</si>
  <si>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</si>
  <si>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</si>
  <si>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</si>
  <si>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</si>
  <si>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</si>
  <si>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</si>
  <si>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</si>
  <si>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</si>
  <si>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</si>
  <si>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</si>
  <si>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</si>
  <si>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</si>
  <si>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</si>
  <si>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</si>
  <si>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</si>
  <si>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</si>
  <si>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</si>
  <si>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</si>
  <si>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</si>
  <si>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</si>
  <si>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</si>
  <si>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</si>
  <si>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</si>
  <si>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</si>
  <si>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</si>
  <si>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</si>
  <si>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</si>
  <si>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</si>
  <si>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</si>
  <si>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</si>
  <si>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</si>
  <si>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</si>
  <si>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</si>
  <si>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</si>
  <si>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</si>
  <si>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</si>
  <si>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</si>
  <si>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</si>
  <si>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</si>
  <si>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</si>
  <si>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</si>
  <si>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</si>
  <si>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</si>
  <si>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</si>
  <si>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</si>
  <si>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</si>
  <si>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</si>
  <si>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</si>
  <si>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</si>
  <si>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</si>
  <si>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</si>
  <si>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</si>
  <si>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</si>
  <si>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</si>
  <si>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</si>
  <si>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</si>
  <si>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</si>
  <si>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</si>
  <si>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</si>
  <si>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</si>
  <si>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</si>
  <si>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</si>
  <si>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</si>
  <si>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</si>
  <si>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</si>
  <si>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</si>
  <si>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</si>
  <si>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</si>
  <si>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</si>
  <si>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</si>
  <si>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</si>
  <si>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</si>
  <si>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</si>
  <si>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</si>
  <si>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</si>
  <si>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</si>
  <si>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</si>
  <si>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</si>
  <si>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</si>
  <si>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</si>
  <si>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</si>
  <si>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</si>
  <si>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</si>
  <si>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</si>
  <si>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</si>
  <si>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</si>
  <si>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</si>
  <si>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</si>
  <si>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</si>
  <si>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</si>
  <si>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</si>
  <si>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</si>
  <si>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</si>
  <si>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</si>
  <si>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</si>
  <si>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</si>
  <si>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</si>
  <si>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</si>
  <si>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</si>
  <si>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</si>
  <si>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</si>
  <si>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</si>
  <si>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</si>
  <si>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</si>
  <si>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</si>
  <si>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</si>
  <si>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</si>
  <si>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</si>
  <si>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</si>
  <si>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</si>
  <si>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</si>
  <si>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</si>
  <si>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</si>
  <si>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</si>
  <si>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</si>
  <si>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</si>
  <si>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</si>
  <si>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</si>
  <si>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</si>
  <si>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</si>
  <si>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</si>
  <si>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</si>
  <si>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</si>
  <si>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</si>
  <si>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</si>
  <si>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</si>
  <si>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</si>
  <si>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</si>
  <si>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</si>
  <si>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</si>
  <si>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</si>
  <si>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</si>
  <si>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</si>
  <si>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</si>
  <si>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</si>
  <si>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</si>
  <si>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</si>
  <si>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</si>
  <si>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</si>
  <si>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</si>
  <si>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</si>
  <si>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</si>
  <si>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</si>
  <si>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</si>
  <si>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</si>
  <si>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</si>
  <si>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</si>
  <si>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</si>
  <si>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</si>
  <si>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</si>
  <si>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</si>
  <si>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</si>
  <si>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</si>
  <si>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</si>
  <si>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</si>
  <si>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</si>
  <si>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</si>
  <si>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</si>
  <si>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</si>
  <si>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</si>
  <si>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</si>
  <si>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</si>
  <si>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</si>
  <si>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</si>
  <si>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</si>
  <si>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</si>
  <si>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</si>
  <si>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</si>
  <si>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</si>
  <si>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</si>
  <si>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</si>
  <si>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</si>
  <si>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</si>
  <si>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</si>
  <si>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</si>
  <si>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</si>
  <si>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</si>
  <si>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</si>
  <si>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</si>
  <si>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</si>
  <si>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</si>
  <si>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</si>
  <si>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</si>
  <si>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</si>
  <si>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</si>
  <si>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</si>
  <si>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</si>
  <si>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</si>
  <si>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</si>
  <si>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</si>
  <si>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</si>
  <si>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</si>
  <si>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</si>
  <si>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</si>
  <si>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</si>
  <si>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</si>
  <si>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</si>
  <si>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</si>
  <si>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</si>
  <si>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</si>
  <si>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</si>
  <si>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</si>
  <si>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</si>
  <si>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</si>
  <si>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</si>
  <si>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</si>
  <si>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</si>
  <si>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</si>
  <si>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</si>
  <si>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</si>
  <si>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</si>
  <si>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</si>
  <si>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</si>
  <si>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</si>
  <si>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</si>
  <si>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</si>
  <si>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</si>
  <si>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</si>
  <si>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</si>
  <si>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</si>
  <si>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</si>
  <si>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</si>
  <si>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</si>
  <si>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</si>
  <si>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</si>
  <si>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</si>
  <si>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</si>
  <si>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</si>
  <si>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</si>
  <si>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</si>
  <si>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</si>
  <si>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</si>
  <si>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</si>
  <si>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</si>
  <si>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</si>
  <si>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</si>
  <si>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</si>
  <si>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</si>
  <si>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</si>
  <si>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</si>
  <si>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</si>
  <si>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</si>
  <si>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</si>
  <si>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</si>
  <si>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</si>
  <si>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</si>
  <si>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</si>
  <si>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</si>
  <si>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</si>
  <si>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</si>
  <si>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</si>
  <si>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</si>
  <si>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</si>
  <si>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</si>
  <si>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</si>
  <si>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</si>
  <si>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</si>
  <si>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</si>
  <si>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</si>
  <si>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</si>
  <si>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</si>
  <si>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</si>
  <si>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</si>
  <si>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</si>
  <si>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</si>
  <si>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</si>
  <si>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</si>
  <si>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</si>
  <si>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</si>
  <si>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</si>
  <si>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</si>
  <si>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</si>
  <si>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</si>
  <si>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</si>
  <si>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</si>
  <si>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</si>
  <si>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</si>
  <si>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</si>
  <si>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</si>
  <si>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</si>
  <si>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</si>
  <si>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</si>
  <si>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</si>
  <si>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</si>
  <si>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</si>
  <si>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</si>
  <si>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</si>
  <si>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</si>
  <si>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</si>
  <si>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</si>
  <si>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</si>
  <si>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</si>
  <si>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</si>
  <si>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</si>
  <si>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</si>
  <si>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</si>
  <si>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</si>
  <si>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</si>
  <si>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</si>
  <si>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</si>
  <si>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</si>
  <si>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</si>
  <si>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</si>
  <si>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</si>
  <si>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</si>
  <si>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</si>
  <si>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</si>
  <si>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</si>
  <si>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</si>
  <si>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</si>
  <si>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</si>
  <si>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</si>
  <si>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</si>
  <si>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</si>
  <si>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</si>
  <si>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</si>
  <si>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</si>
  <si>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</si>
  <si>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</si>
  <si>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</si>
  <si>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</si>
  <si>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</si>
  <si>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</si>
  <si>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</si>
  <si>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</si>
  <si>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</si>
  <si>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</si>
  <si>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</si>
  <si>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</si>
  <si>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</si>
  <si>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</si>
  <si>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</si>
  <si>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</si>
  <si>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</si>
  <si>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</si>
  <si>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</si>
  <si>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</si>
  <si>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</si>
  <si>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</si>
  <si>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</si>
  <si>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</si>
  <si>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</si>
  <si>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</si>
  <si>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</si>
  <si>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</si>
  <si>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</si>
  <si>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</si>
  <si>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</si>
  <si>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</si>
  <si>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</si>
  <si>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</si>
  <si>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</si>
  <si>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</si>
  <si>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</si>
  <si>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</si>
  <si>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</si>
  <si>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</si>
  <si>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</si>
  <si>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</si>
  <si>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</si>
  <si>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</si>
  <si>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</si>
  <si>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</si>
  <si>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</si>
  <si>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</si>
  <si>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</si>
  <si>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</si>
  <si>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</si>
  <si>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</si>
  <si>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</si>
  <si>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</si>
  <si>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</si>
  <si>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</si>
  <si>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</si>
  <si>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</si>
  <si>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</si>
  <si>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</si>
  <si>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</si>
  <si>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</si>
  <si>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</si>
  <si>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</si>
  <si>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</si>
  <si>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</si>
  <si>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</si>
  <si>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</si>
  <si>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</si>
  <si>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</si>
  <si>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</si>
  <si>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</si>
  <si>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</si>
  <si>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</si>
  <si>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</si>
  <si>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</si>
  <si>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</si>
  <si>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</si>
  <si>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</si>
  <si>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</si>
  <si>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</si>
  <si>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</si>
  <si>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</si>
  <si>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</si>
  <si>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</si>
  <si>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</si>
  <si>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</si>
  <si>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</si>
  <si>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</si>
  <si>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</si>
  <si>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</si>
  <si>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</si>
  <si>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</si>
  <si>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</si>
  <si>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</si>
  <si>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</si>
  <si>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</si>
  <si>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</si>
  <si>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</si>
  <si>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</si>
  <si>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</si>
  <si>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</si>
  <si>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</si>
  <si>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</si>
  <si>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</si>
  <si>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</si>
  <si>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</si>
  <si>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</si>
  <si>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</si>
  <si>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</si>
  <si>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</si>
  <si>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</si>
  <si>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</si>
  <si>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</si>
  <si>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</si>
  <si>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</si>
  <si>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</si>
  <si>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</si>
  <si>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</si>
  <si>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</si>
  <si>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</si>
  <si>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</si>
  <si>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</si>
  <si>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</si>
  <si>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</si>
  <si>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</si>
  <si>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</si>
  <si>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</si>
  <si>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</si>
  <si>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</si>
  <si>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</si>
  <si>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</si>
  <si>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</si>
  <si>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</si>
  <si>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</si>
  <si>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</si>
  <si>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</si>
  <si>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</si>
  <si>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</si>
  <si>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</si>
  <si>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</si>
  <si>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</si>
  <si>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</si>
  <si>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</si>
  <si>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</si>
  <si>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</si>
  <si>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</si>
  <si>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</si>
  <si>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</si>
  <si>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</si>
  <si>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</si>
  <si>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</si>
  <si>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</si>
  <si>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</si>
  <si>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</si>
  <si>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</si>
  <si>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</si>
  <si>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</si>
  <si>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</si>
  <si>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</si>
  <si>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</si>
  <si>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</si>
  <si>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</si>
  <si>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</si>
  <si>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</si>
  <si>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</si>
  <si>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</si>
  <si>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</si>
  <si>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</si>
  <si>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</si>
  <si>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</si>
  <si>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</si>
  <si>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</si>
  <si>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</si>
  <si>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</si>
  <si>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</si>
  <si>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</si>
  <si>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</si>
  <si>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</si>
  <si>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</si>
  <si>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</si>
  <si>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</si>
  <si>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</si>
  <si>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</si>
  <si>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</si>
  <si>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</si>
  <si>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</si>
  <si>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</si>
  <si>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</si>
  <si>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</si>
  <si>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</si>
  <si>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</si>
  <si>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</si>
  <si>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</si>
  <si>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</si>
  <si>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</si>
  <si>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</si>
  <si>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</si>
  <si>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</si>
  <si>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</si>
  <si>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</si>
  <si>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</si>
  <si>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</si>
  <si>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</si>
  <si>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</si>
  <si>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</si>
  <si>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</si>
  <si>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</si>
  <si>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</si>
  <si>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</si>
  <si>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</si>
  <si>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</si>
  <si>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</si>
  <si>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</si>
  <si>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</si>
  <si>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</si>
  <si>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</si>
  <si>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</si>
  <si>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</si>
  <si>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</si>
  <si>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</si>
  <si>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</si>
  <si>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</si>
  <si>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</si>
  <si>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</si>
  <si>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</si>
  <si>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</si>
  <si>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</si>
  <si>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</si>
  <si>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</si>
  <si>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</si>
  <si>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</si>
  <si>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</si>
  <si>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</si>
  <si>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</si>
  <si>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</si>
  <si>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</si>
  <si>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</si>
  <si>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</si>
  <si>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</si>
  <si>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</si>
  <si>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</si>
  <si>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</si>
  <si>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</si>
  <si>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</si>
  <si>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</si>
  <si>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</si>
  <si>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</si>
  <si>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</si>
  <si>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</si>
  <si>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</si>
  <si>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</si>
  <si>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</si>
  <si>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</si>
  <si>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</si>
  <si>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</si>
  <si>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</si>
  <si>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</si>
  <si>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</si>
  <si>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</si>
  <si>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</si>
  <si>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</si>
  <si>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</si>
  <si>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</si>
  <si>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</si>
  <si>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</si>
  <si>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</si>
  <si>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</si>
  <si>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</si>
  <si>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</si>
  <si>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</si>
  <si>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</si>
  <si>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</si>
  <si>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</si>
  <si>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</si>
  <si>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</si>
  <si>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</si>
  <si>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</si>
  <si>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</si>
  <si>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</si>
  <si>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</si>
  <si>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</si>
  <si>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</si>
  <si>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</si>
  <si>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</si>
  <si>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</si>
  <si>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</si>
  <si>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</si>
  <si>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</si>
  <si>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</si>
  <si>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</si>
  <si>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</si>
  <si>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</si>
  <si>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</si>
  <si>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</si>
  <si>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</si>
  <si>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</si>
  <si>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</si>
  <si>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</si>
  <si>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</si>
  <si>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</si>
  <si>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</si>
  <si>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</si>
  <si>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</si>
  <si>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</si>
  <si>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</si>
  <si>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</si>
  <si>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</si>
  <si>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</si>
  <si>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</si>
  <si>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</si>
  <si>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</si>
  <si>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</si>
  <si>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</si>
  <si>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</si>
  <si>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</si>
  <si>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</si>
  <si>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</si>
  <si>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</si>
  <si>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</si>
  <si>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</si>
  <si>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</si>
  <si>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</si>
  <si>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</si>
  <si>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</si>
  <si>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</si>
  <si>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</si>
  <si>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</si>
  <si>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</si>
  <si>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</si>
  <si>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</si>
  <si>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</si>
  <si>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</si>
  <si>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</si>
  <si>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</si>
  <si>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</si>
  <si>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</si>
  <si>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</si>
  <si>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</si>
  <si>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</si>
  <si>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</si>
  <si>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</si>
  <si>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</si>
  <si>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</si>
  <si>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</si>
  <si>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</si>
  <si>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</si>
  <si>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</si>
  <si>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</si>
  <si>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</si>
  <si>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</si>
  <si>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</si>
  <si>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</si>
  <si>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</si>
  <si>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</si>
  <si>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</si>
  <si>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</si>
  <si>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</si>
  <si>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</si>
  <si>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</si>
  <si>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</si>
  <si>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</si>
  <si>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</si>
  <si>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</si>
  <si>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</si>
  <si>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</si>
  <si>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</si>
  <si>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</si>
  <si>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</si>
  <si>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</si>
  <si>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</si>
  <si>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</si>
  <si>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</si>
  <si>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</si>
  <si>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</si>
  <si>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</si>
  <si>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</si>
  <si>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</si>
  <si>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</si>
  <si>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</si>
  <si>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</si>
  <si>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</si>
  <si>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</si>
  <si>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</si>
  <si>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</si>
  <si>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</si>
  <si>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</si>
  <si>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</si>
  <si>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</si>
  <si>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</si>
  <si>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</si>
  <si>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</si>
  <si>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</si>
  <si>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</si>
  <si>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</si>
  <si>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</si>
  <si>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</si>
  <si>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</si>
  <si>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</si>
  <si>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</si>
  <si>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</si>
  <si>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</si>
  <si>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</si>
  <si>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</si>
  <si>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</si>
  <si>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</si>
  <si>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</si>
  <si>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</si>
  <si>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</si>
  <si>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</si>
  <si>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</si>
  <si>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</si>
  <si>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</si>
  <si>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</si>
  <si>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</si>
  <si>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</si>
  <si>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</si>
  <si>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</si>
  <si>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</si>
  <si>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</si>
  <si>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</si>
  <si>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</si>
  <si>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</si>
  <si>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</si>
  <si>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</si>
  <si>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</si>
  <si>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</si>
  <si>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</si>
  <si>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</si>
  <si>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</si>
  <si>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</si>
  <si>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</si>
  <si>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</si>
  <si>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</si>
  <si>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</si>
  <si>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</si>
  <si>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</si>
  <si>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</si>
  <si>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</si>
  <si>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</si>
  <si>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</si>
  <si>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</si>
  <si>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</si>
  <si>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</si>
  <si>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</si>
  <si>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</si>
  <si>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</si>
  <si>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</si>
  <si>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</si>
  <si>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</si>
  <si>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</si>
  <si>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</si>
  <si>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</si>
  <si>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</si>
  <si>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</si>
  <si>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</si>
  <si>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</si>
  <si>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</si>
  <si>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</si>
  <si>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</si>
  <si>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</si>
  <si>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</si>
  <si>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</si>
  <si>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</si>
  <si>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</si>
  <si>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</si>
  <si>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</si>
  <si>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</si>
  <si>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</si>
  <si>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</si>
  <si>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</si>
  <si>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</si>
  <si>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</si>
  <si>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</si>
  <si>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</si>
  <si>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</si>
  <si>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</si>
  <si>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</si>
  <si>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</si>
  <si>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</si>
  <si>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</si>
  <si>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</si>
  <si>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</si>
  <si>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</si>
  <si>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</si>
  <si>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</si>
  <si>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</si>
  <si>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</si>
  <si>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</si>
  <si>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</si>
  <si>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</si>
  <si>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</si>
  <si>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</si>
  <si>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</si>
  <si>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</si>
  <si>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</si>
  <si>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</si>
  <si>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</si>
  <si>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</si>
  <si>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</si>
  <si>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</si>
  <si>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</si>
  <si>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</si>
  <si>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</si>
  <si>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</si>
  <si>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</si>
  <si>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</si>
  <si>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</si>
  <si>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</si>
  <si>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</si>
  <si>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</si>
  <si>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</si>
  <si>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</si>
  <si>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</si>
  <si>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</si>
  <si>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</si>
  <si>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</si>
  <si>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</si>
  <si>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</si>
  <si>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</si>
  <si>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</si>
  <si>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</si>
  <si>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</si>
  <si>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</si>
  <si>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</si>
  <si>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</si>
  <si>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</si>
  <si>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</si>
  <si>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</si>
  <si>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</si>
  <si>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</si>
  <si>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</si>
  <si>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</si>
  <si>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</si>
  <si>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</si>
  <si>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</si>
  <si>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</si>
  <si>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</si>
  <si>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</si>
  <si>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</si>
  <si>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</si>
  <si>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</si>
  <si>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</si>
  <si>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</si>
  <si>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</si>
  <si>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</si>
  <si>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</si>
  <si>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</si>
  <si>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</si>
  <si>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</si>
  <si>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</si>
  <si>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</si>
  <si>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</si>
  <si>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</si>
  <si>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</si>
  <si>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</si>
  <si>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</si>
  <si>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</si>
  <si>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</si>
  <si>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</si>
  <si>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</si>
  <si>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</si>
  <si>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</si>
  <si>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</si>
  <si>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</si>
  <si>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</si>
  <si>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</si>
  <si>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</si>
  <si>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</si>
  <si>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</si>
  <si>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</si>
  <si>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</si>
  <si>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</si>
  <si>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</si>
  <si>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</si>
  <si>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</si>
  <si>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</si>
  <si>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</si>
  <si>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</si>
  <si>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</si>
  <si>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</si>
  <si>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</si>
  <si>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</si>
  <si>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</si>
  <si>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</si>
  <si>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</si>
  <si>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</si>
  <si>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</si>
  <si>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</si>
  <si>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</si>
  <si>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</si>
  <si>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</si>
  <si>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</si>
  <si>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</si>
  <si>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</si>
  <si>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</si>
  <si>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</si>
  <si>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</si>
  <si>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</si>
  <si>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</si>
  <si>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</si>
  <si>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</si>
  <si>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</si>
  <si>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</si>
  <si>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</si>
  <si>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</si>
  <si>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</si>
  <si>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</si>
  <si>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</si>
  <si>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</si>
  <si>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</si>
  <si>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</si>
  <si>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</si>
  <si>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</si>
  <si>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</si>
  <si>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</si>
  <si>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</si>
  <si>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</si>
  <si>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</si>
  <si>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</si>
  <si>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</si>
  <si>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</si>
  <si>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</si>
  <si>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</si>
  <si>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</si>
  <si>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</si>
  <si>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</si>
  <si>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</si>
  <si>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</si>
  <si>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</si>
  <si>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</si>
  <si>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</si>
  <si>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</si>
  <si>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</si>
  <si>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</si>
  <si>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</si>
  <si>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</si>
  <si>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</si>
  <si>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</si>
  <si>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</si>
  <si>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</si>
  <si>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</si>
  <si>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</si>
  <si>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</si>
  <si>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</si>
  <si>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</si>
  <si>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</si>
  <si>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</si>
  <si>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</si>
  <si>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</si>
  <si>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</si>
  <si>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</si>
  <si>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</si>
  <si>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</si>
  <si>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</si>
  <si>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</si>
  <si>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</si>
  <si>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</si>
  <si>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</si>
  <si>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</si>
  <si>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</si>
  <si>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</si>
  <si>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</si>
  <si>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</si>
  <si>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</si>
  <si>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</si>
  <si>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</si>
  <si>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</si>
  <si>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</si>
  <si>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</si>
  <si>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</si>
  <si>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</si>
  <si>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</si>
  <si>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</si>
  <si>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</si>
  <si>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</si>
  <si>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</si>
  <si>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</si>
  <si>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</si>
  <si>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</si>
  <si>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</si>
  <si>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</si>
  <si>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</si>
  <si>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</si>
  <si>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</si>
  <si>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</si>
  <si>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</si>
  <si>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</si>
  <si>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</si>
  <si>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</si>
  <si>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</si>
  <si>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</si>
  <si>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</si>
  <si>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</si>
  <si>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</si>
  <si>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</si>
  <si>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</si>
  <si>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</si>
  <si>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</si>
  <si>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</si>
  <si>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</si>
  <si>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</si>
  <si>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</si>
  <si>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</si>
  <si>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</si>
  <si>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</si>
  <si>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</si>
  <si>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</si>
  <si>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</si>
  <si>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</si>
  <si>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</si>
  <si>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</si>
  <si>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</si>
  <si>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</si>
  <si>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</si>
  <si>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</si>
  <si>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</si>
  <si>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</si>
  <si>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</si>
  <si>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</si>
  <si>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</si>
  <si>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</si>
  <si>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</si>
  <si>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</si>
  <si>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</si>
  <si>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</si>
  <si>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</si>
  <si>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</si>
  <si>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</si>
  <si>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</si>
  <si>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</si>
  <si>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</si>
  <si>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</si>
  <si>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</si>
  <si>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</si>
  <si>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</si>
  <si>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</si>
  <si>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</si>
  <si>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</si>
  <si>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</si>
  <si>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</si>
  <si>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</si>
  <si>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</si>
  <si>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</si>
  <si>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</si>
  <si>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</si>
  <si>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</si>
  <si>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</si>
  <si>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</si>
  <si>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</si>
  <si>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</si>
  <si>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</si>
  <si>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</si>
  <si>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</si>
  <si>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</si>
  <si>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</si>
  <si>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</si>
  <si>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</si>
  <si>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</si>
  <si>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</si>
  <si>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</si>
  <si>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</si>
  <si>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</si>
  <si>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</si>
  <si>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</si>
  <si>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</si>
  <si>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</si>
  <si>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</si>
  <si>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</si>
  <si>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</si>
  <si>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</si>
  <si>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</si>
  <si>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</si>
  <si>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</si>
  <si>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</si>
  <si>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</si>
  <si>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</si>
  <si>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</si>
  <si>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</si>
  <si>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</si>
  <si>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</si>
  <si>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</si>
  <si>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</si>
  <si>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</si>
  <si>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</si>
  <si>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</si>
  <si>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</si>
  <si>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</si>
  <si>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</si>
  <si>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</si>
  <si>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</si>
  <si>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</si>
  <si>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</si>
  <si>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</si>
  <si>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</si>
  <si>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</si>
  <si>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</si>
  <si>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</si>
  <si>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</si>
  <si>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</si>
  <si>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</si>
  <si>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</si>
  <si>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</si>
  <si>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</si>
  <si>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</si>
  <si>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</si>
  <si>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</si>
  <si>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</si>
  <si>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</si>
  <si>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</si>
  <si>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</si>
  <si>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</si>
  <si>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</si>
  <si>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</si>
  <si>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</si>
  <si>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</si>
  <si>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</si>
  <si>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</si>
  <si>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</si>
  <si>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</si>
  <si>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</si>
  <si>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</si>
  <si>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</si>
  <si>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</si>
  <si>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</si>
  <si>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</si>
  <si>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</si>
  <si>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</si>
  <si>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</si>
  <si>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</si>
  <si>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</si>
  <si>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</si>
  <si>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</si>
  <si>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</si>
  <si>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</si>
  <si>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</si>
  <si>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</si>
  <si>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</si>
  <si>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</si>
  <si>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</si>
  <si>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</si>
  <si>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</si>
  <si>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</si>
  <si>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</si>
  <si>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</si>
  <si>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</si>
  <si>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</si>
  <si>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</si>
  <si>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</si>
  <si>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</si>
  <si>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</si>
  <si>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</si>
  <si>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</si>
  <si>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</si>
  <si>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</si>
  <si>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</si>
  <si>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</si>
  <si>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</si>
  <si>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</si>
  <si>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</si>
  <si>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</si>
  <si>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</si>
  <si>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</si>
  <si>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</si>
  <si>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</si>
  <si>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</si>
  <si>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</si>
  <si>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</si>
  <si>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</si>
  <si>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</si>
  <si>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</si>
  <si>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</si>
  <si>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</si>
  <si>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</si>
  <si>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</si>
  <si>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</si>
  <si>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</si>
  <si>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</si>
  <si>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</si>
  <si>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</si>
  <si>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</si>
  <si>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</si>
  <si>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</si>
  <si>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</si>
  <si>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</si>
  <si>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</si>
  <si>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</si>
  <si>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</si>
  <si>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</si>
  <si>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</si>
  <si>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</si>
  <si>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</si>
  <si>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</si>
  <si>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</si>
  <si>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</si>
  <si>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</si>
  <si>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</si>
  <si>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</si>
  <si>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</si>
  <si>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</si>
  <si>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</si>
  <si>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</si>
  <si>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</si>
  <si>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</si>
  <si>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</si>
  <si>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</si>
  <si>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</si>
  <si>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</si>
  <si>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</si>
  <si>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</si>
  <si>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</si>
  <si>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</si>
  <si>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</si>
  <si>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</si>
  <si>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</si>
  <si>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</si>
  <si>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</si>
  <si>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</si>
  <si>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</si>
  <si>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</si>
  <si>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</si>
  <si>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</si>
  <si>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</si>
  <si>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</si>
  <si>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</si>
  <si>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</si>
  <si>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</si>
  <si>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</si>
  <si>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</si>
  <si>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</si>
  <si>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</si>
  <si>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</si>
  <si>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</si>
  <si>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</si>
  <si>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</si>
  <si>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</si>
  <si>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</si>
  <si>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</si>
  <si>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</si>
  <si>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</si>
  <si>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</si>
  <si>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</si>
  <si>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</si>
  <si>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</si>
  <si>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</si>
  <si>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</si>
  <si>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</si>
  <si>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</si>
  <si>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</si>
  <si>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</si>
  <si>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</si>
  <si>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</si>
  <si>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</si>
  <si>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</si>
  <si>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</si>
  <si>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</si>
  <si>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</si>
  <si>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</si>
  <si>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</si>
  <si>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</si>
  <si>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</si>
  <si>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</si>
  <si>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</si>
  <si>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</si>
  <si>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</si>
  <si>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</si>
  <si>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</si>
  <si>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</si>
  <si>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</si>
  <si>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</si>
  <si>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</si>
  <si>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</si>
  <si>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</si>
  <si>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</si>
  <si>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</si>
  <si>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</si>
  <si>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</si>
  <si>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</si>
  <si>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</si>
  <si>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</si>
  <si>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</si>
  <si>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</si>
  <si>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</si>
  <si>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</si>
  <si>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</si>
  <si>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</si>
  <si>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</si>
  <si>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</si>
  <si>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</si>
  <si>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</si>
  <si>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</si>
  <si>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</si>
  <si>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</si>
  <si>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</si>
  <si>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</si>
  <si>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</si>
  <si>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</si>
  <si>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</si>
  <si>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</si>
  <si>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</si>
  <si>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</si>
  <si>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</si>
  <si>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</si>
  <si>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</si>
  <si>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</si>
  <si>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</si>
  <si>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</si>
  <si>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</si>
  <si>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</si>
  <si>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</si>
  <si>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</si>
  <si>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</si>
  <si>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</si>
  <si>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</si>
  <si>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</si>
  <si>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</si>
  <si>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</si>
  <si>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</si>
  <si>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</si>
  <si>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</si>
  <si>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</si>
  <si>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</si>
  <si>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</si>
  <si>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</si>
  <si>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</si>
  <si>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</si>
  <si>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</si>
  <si>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</si>
  <si>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</si>
  <si>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</si>
  <si>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</si>
  <si>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</si>
  <si>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</si>
  <si>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</si>
  <si>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</si>
  <si>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</si>
  <si>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</si>
  <si>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</si>
  <si>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</si>
  <si>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</si>
  <si>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</si>
  <si>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</si>
  <si>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</si>
  <si>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</si>
  <si>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</si>
  <si>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</si>
  <si>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</si>
  <si>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</si>
  <si>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</si>
  <si>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</si>
  <si>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</si>
  <si>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</si>
  <si>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</si>
  <si>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</si>
  <si>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</si>
  <si>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</si>
  <si>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</si>
  <si>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</si>
  <si>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</si>
  <si>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</si>
  <si>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</si>
  <si>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</si>
  <si>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</si>
  <si>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</si>
  <si>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</si>
  <si>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</si>
  <si>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</si>
  <si>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</si>
  <si>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</si>
  <si>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</si>
  <si>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</si>
  <si>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</si>
  <si>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</si>
  <si>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</si>
  <si>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</si>
  <si>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</si>
  <si>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</si>
  <si>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</si>
  <si>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</si>
  <si>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</si>
  <si>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</si>
  <si>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</si>
  <si>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</si>
  <si>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</si>
  <si>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</si>
  <si>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</si>
  <si>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</si>
  <si>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</si>
  <si>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</si>
  <si>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</si>
  <si>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</si>
  <si>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</si>
  <si>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</si>
  <si>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</si>
  <si>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</si>
  <si>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</si>
  <si>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</si>
  <si>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</si>
  <si>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</si>
  <si>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</si>
  <si>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</si>
  <si>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</si>
  <si>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</si>
  <si>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</si>
  <si>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</si>
  <si>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</si>
  <si>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</si>
  <si>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</si>
  <si>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</si>
  <si>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</si>
  <si>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</si>
  <si>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</si>
  <si>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</si>
  <si>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</si>
  <si>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</si>
  <si>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</si>
  <si>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</si>
  <si>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</si>
  <si>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</si>
  <si>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</si>
  <si>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</si>
  <si>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</si>
  <si>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</si>
  <si>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</si>
  <si>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</si>
  <si>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</si>
  <si>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</si>
  <si>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</si>
  <si>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</si>
  <si>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</si>
  <si>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</si>
  <si>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</si>
  <si>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</si>
  <si>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</si>
  <si>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</si>
  <si>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</si>
  <si>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</si>
  <si>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</si>
  <si>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</si>
  <si>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</si>
  <si>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</si>
  <si>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</si>
  <si>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</si>
  <si>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</si>
  <si>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</si>
  <si>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</si>
  <si>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</si>
  <si>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</si>
  <si>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</si>
  <si>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</si>
  <si>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</si>
  <si>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</si>
  <si>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</si>
  <si>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</si>
  <si>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</si>
  <si>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</si>
  <si>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</si>
  <si>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</si>
  <si>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</si>
  <si>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</si>
  <si>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</si>
  <si>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</si>
  <si>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</si>
  <si>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</si>
  <si>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</si>
  <si>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</si>
  <si>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</si>
  <si>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</si>
  <si>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</si>
  <si>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</si>
  <si>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</si>
  <si>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</si>
  <si>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</si>
  <si>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</si>
  <si>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</si>
  <si>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</si>
  <si>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</si>
  <si>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</si>
  <si>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</si>
  <si>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</si>
  <si>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</si>
  <si>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</si>
  <si>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</si>
  <si>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</si>
  <si>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</si>
  <si>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</si>
  <si>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</si>
  <si>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</si>
  <si>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</si>
  <si>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</si>
  <si>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</si>
  <si>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</si>
  <si>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</si>
  <si>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</si>
  <si>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</si>
  <si>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</si>
  <si>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</si>
  <si>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</si>
  <si>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</si>
  <si>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</si>
  <si>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</si>
  <si>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</si>
  <si>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</si>
  <si>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</si>
  <si>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</si>
  <si>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</si>
  <si>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</si>
  <si>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</si>
  <si>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</si>
  <si>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</si>
  <si>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</si>
  <si>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</si>
  <si>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</si>
  <si>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</si>
  <si>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</si>
  <si>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</si>
  <si>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</si>
  <si>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</si>
  <si>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</si>
  <si>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</si>
  <si>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</si>
  <si>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</si>
  <si>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</si>
  <si>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</si>
  <si>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</si>
  <si>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</si>
  <si>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</si>
  <si>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</si>
  <si>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</si>
  <si>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</si>
  <si>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</si>
  <si>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</si>
  <si>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</si>
  <si>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</si>
  <si>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</si>
  <si>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</si>
  <si>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</si>
  <si>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</si>
  <si>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</si>
  <si>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</si>
  <si>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</si>
  <si>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</si>
  <si>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</si>
  <si>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</si>
  <si>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</si>
  <si>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</si>
  <si>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</si>
  <si>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</si>
  <si>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</si>
  <si>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</si>
  <si>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</si>
  <si>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</si>
  <si>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</si>
  <si>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</si>
  <si>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</si>
  <si>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</si>
  <si>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</si>
  <si>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</si>
  <si>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</si>
  <si>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</si>
  <si>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</si>
  <si>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</si>
  <si>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</si>
  <si>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</si>
  <si>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</si>
  <si>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</si>
  <si>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</si>
  <si>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</si>
  <si>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</si>
  <si>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</si>
  <si>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</si>
  <si>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</si>
  <si>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</si>
  <si>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</si>
  <si>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</si>
  <si>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</si>
  <si>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</si>
  <si>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</si>
  <si>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</si>
  <si>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</si>
  <si>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</si>
  <si>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</si>
  <si>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</si>
  <si>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</si>
  <si>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</si>
  <si>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</si>
  <si>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</si>
  <si>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</si>
  <si>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</si>
  <si>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</si>
  <si>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</si>
  <si>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</si>
  <si>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</si>
  <si>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</si>
  <si>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</si>
  <si>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</si>
  <si>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</si>
  <si>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</si>
  <si>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</si>
  <si>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</si>
  <si>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</si>
  <si>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</si>
  <si>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</si>
  <si>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</si>
  <si>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</si>
  <si>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</si>
  <si>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</si>
  <si>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</si>
  <si>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</si>
  <si>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</si>
  <si>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</si>
  <si>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</si>
  <si>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</si>
  <si>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</si>
  <si>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</si>
  <si>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</si>
  <si>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</si>
  <si>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</si>
  <si>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</si>
  <si>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</si>
  <si>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</si>
  <si>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</si>
  <si>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</si>
  <si>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</si>
  <si>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</si>
  <si>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</si>
  <si>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</si>
  <si>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</si>
  <si>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</si>
  <si>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</si>
  <si>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</si>
  <si>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</si>
  <si>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</si>
  <si>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</si>
  <si>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</si>
  <si>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</si>
  <si>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</si>
  <si>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</si>
  <si>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</si>
  <si>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</si>
  <si>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</si>
  <si>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</si>
  <si>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</si>
  <si>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</si>
  <si>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</si>
  <si>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</si>
  <si>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</si>
  <si>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</si>
  <si>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</si>
  <si>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</si>
  <si>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</si>
  <si>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</si>
  <si>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</si>
  <si>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</si>
  <si>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</si>
  <si>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</si>
  <si>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</si>
  <si>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</si>
  <si>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</si>
  <si>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</si>
  <si>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</si>
  <si>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</si>
  <si>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</si>
  <si>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</si>
  <si>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</si>
  <si>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</si>
  <si>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</si>
  <si>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</si>
  <si>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</si>
  <si>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</si>
  <si>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</si>
  <si>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</si>
  <si>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</si>
  <si>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</si>
  <si>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</si>
  <si>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</si>
  <si>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</si>
  <si>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</si>
  <si>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</si>
  <si>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</si>
  <si>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</si>
  <si>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</si>
  <si>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</si>
  <si>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</si>
  <si>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</si>
  <si>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</si>
  <si>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</si>
  <si>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</si>
  <si>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</si>
  <si>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</si>
  <si>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</si>
  <si>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</si>
  <si>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</si>
  <si>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</si>
  <si>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</si>
  <si>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</si>
  <si>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</si>
  <si>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</si>
  <si>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</si>
  <si>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</si>
  <si>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</si>
  <si>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</si>
  <si>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</si>
  <si>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</si>
  <si>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</si>
  <si>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</si>
  <si>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</si>
  <si>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</si>
  <si>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</si>
  <si>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</si>
  <si>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</si>
  <si>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</si>
  <si>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</si>
  <si>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</si>
  <si>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</si>
  <si>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</si>
  <si>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</si>
  <si>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</si>
  <si>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</si>
  <si>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</si>
  <si>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</si>
  <si>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</si>
  <si>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</si>
  <si>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</si>
  <si>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</si>
  <si>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</si>
  <si>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</si>
  <si>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</si>
  <si>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</si>
  <si>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</si>
  <si>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</si>
  <si>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</si>
  <si>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</si>
  <si>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</si>
  <si>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</si>
  <si>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</si>
  <si>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</si>
  <si>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</si>
  <si>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</si>
  <si>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</si>
  <si>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</si>
  <si>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</si>
  <si>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</si>
  <si>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</si>
  <si>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</si>
  <si>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</si>
  <si>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</si>
  <si>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</si>
  <si>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</si>
  <si>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</si>
  <si>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</si>
  <si>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</si>
  <si>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</si>
  <si>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</si>
  <si>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</si>
  <si>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</si>
  <si>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</si>
  <si>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</si>
  <si>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</si>
  <si>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</si>
  <si>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</si>
  <si>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</si>
  <si>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</si>
  <si>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</si>
  <si>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</si>
  <si>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</si>
  <si>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</si>
  <si>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</si>
  <si>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</si>
  <si>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</si>
  <si>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</si>
  <si>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</si>
  <si>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</si>
  <si>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</si>
  <si>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</si>
  <si>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</si>
  <si>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</si>
  <si>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</si>
  <si>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</si>
  <si>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</si>
  <si>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</si>
  <si>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</si>
  <si>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</si>
  <si>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</si>
  <si>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</si>
  <si>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</si>
  <si>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</si>
  <si>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</si>
  <si>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</si>
  <si>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</si>
  <si>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</si>
  <si>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</si>
  <si>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</si>
  <si>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</si>
  <si>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</si>
  <si>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</si>
  <si>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</si>
  <si>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</si>
  <si>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</si>
  <si>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</si>
  <si>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</si>
  <si>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</si>
  <si>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</si>
  <si>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</si>
  <si>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</si>
  <si>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</si>
  <si>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</si>
  <si>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</si>
  <si>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</si>
  <si>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</si>
  <si>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</si>
  <si>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</si>
  <si>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</si>
  <si>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</si>
  <si>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</si>
  <si>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</si>
  <si>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</si>
  <si>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</si>
  <si>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</si>
  <si>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</si>
  <si>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</si>
  <si>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</si>
  <si>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</si>
  <si>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</si>
  <si>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</si>
  <si>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</si>
  <si>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</si>
  <si>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</si>
  <si>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</si>
  <si>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</si>
  <si>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</si>
  <si>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</si>
  <si>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</si>
  <si>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</si>
  <si>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</si>
  <si>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</si>
  <si>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</si>
  <si>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</si>
  <si>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</si>
  <si>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</si>
  <si>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</si>
  <si>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</si>
  <si>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</si>
  <si>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</si>
  <si>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</si>
  <si>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</si>
  <si>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</si>
  <si>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</si>
  <si>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</si>
  <si>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</si>
  <si>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</si>
  <si>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</si>
  <si>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</si>
  <si>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</si>
  <si>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</si>
  <si>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</si>
  <si>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</si>
  <si>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</si>
  <si>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</si>
  <si>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</si>
  <si>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</si>
  <si>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</si>
  <si>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</si>
  <si>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</si>
  <si>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</si>
  <si>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</si>
  <si>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</si>
  <si>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</si>
  <si>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</si>
  <si>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</si>
  <si>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</si>
  <si>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</si>
  <si>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</si>
  <si>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</si>
  <si>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</si>
  <si>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</si>
  <si>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</si>
  <si>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</si>
  <si>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</si>
  <si>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</si>
  <si>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</si>
  <si>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</si>
  <si>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</si>
  <si>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</si>
  <si>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</si>
  <si>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</si>
  <si>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</si>
  <si>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</si>
  <si>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</si>
  <si>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</si>
  <si>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</si>
  <si>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</si>
  <si>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</si>
  <si>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</si>
  <si>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</si>
  <si>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</si>
  <si>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</si>
  <si>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</si>
  <si>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</si>
  <si>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</si>
  <si>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</si>
  <si>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</si>
  <si>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</si>
  <si>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</si>
  <si>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</si>
  <si>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</si>
  <si>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</si>
  <si>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</si>
  <si>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</si>
  <si>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</si>
  <si>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</si>
  <si>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</si>
  <si>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</si>
  <si>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</si>
  <si>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</si>
  <si>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</si>
  <si>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</si>
  <si>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</si>
  <si>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</si>
  <si>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</si>
  <si>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</si>
  <si>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</si>
  <si>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</si>
  <si>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</si>
  <si>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</si>
  <si>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</si>
  <si>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</si>
  <si>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</si>
  <si>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</si>
  <si>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</si>
  <si>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</si>
  <si>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</si>
  <si>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</si>
  <si>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</si>
  <si>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</si>
  <si>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</si>
  <si>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</si>
  <si>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</si>
  <si>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</si>
  <si>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</si>
  <si>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</si>
  <si>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</si>
  <si>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</si>
  <si>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</si>
  <si>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</si>
  <si>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</si>
  <si>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</si>
  <si>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</si>
  <si>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</si>
  <si>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</si>
  <si>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</si>
  <si>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</si>
  <si>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</si>
  <si>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</si>
  <si>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</si>
  <si>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</si>
  <si>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</si>
  <si>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</si>
  <si>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</si>
  <si>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</si>
  <si>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</si>
  <si>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</si>
  <si>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</si>
  <si>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</si>
  <si>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</si>
  <si>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</si>
  <si>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</si>
  <si>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</si>
  <si>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</si>
  <si>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</si>
  <si>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</si>
  <si>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</si>
  <si>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</si>
  <si>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</si>
  <si>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</si>
  <si>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</si>
  <si>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</si>
  <si>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</si>
  <si>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</si>
  <si>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</si>
  <si>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</si>
  <si>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</si>
  <si>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</si>
  <si>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</si>
  <si>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</si>
  <si>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</si>
  <si>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</si>
  <si>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</si>
  <si>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</si>
  <si>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</si>
  <si>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</si>
  <si>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</si>
  <si>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</si>
  <si>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</si>
  <si>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</si>
  <si>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</si>
  <si>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</si>
  <si>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</si>
  <si>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</si>
  <si>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</si>
  <si>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</si>
  <si>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</si>
  <si>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</si>
  <si>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</si>
  <si>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</si>
  <si>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</si>
  <si>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</si>
  <si>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</si>
  <si>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</si>
  <si>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</si>
  <si>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</si>
  <si>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</si>
  <si>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</si>
  <si>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</si>
  <si>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</si>
  <si>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</si>
  <si>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</si>
  <si>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</si>
  <si>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</si>
  <si>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</si>
  <si>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</si>
  <si>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</si>
  <si>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</si>
  <si>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</si>
  <si>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</si>
  <si>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</si>
  <si>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</si>
  <si>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</si>
  <si>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</si>
  <si>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</si>
  <si>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</si>
  <si>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</si>
  <si>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</si>
  <si>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</si>
  <si>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</si>
  <si>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</si>
  <si>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</si>
  <si>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</si>
  <si>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</si>
  <si>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</si>
  <si>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</si>
  <si>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</si>
  <si>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</si>
  <si>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</si>
  <si>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</si>
  <si>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</si>
  <si>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</si>
  <si>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</si>
  <si>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</si>
  <si>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</si>
  <si>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</si>
  <si>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</si>
  <si>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</si>
  <si>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</si>
  <si>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</si>
  <si>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</si>
  <si>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</si>
  <si>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</si>
  <si>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</si>
  <si>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</si>
  <si>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</si>
  <si>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</si>
  <si>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</si>
  <si>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</si>
  <si>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</si>
  <si>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</si>
  <si>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</si>
  <si>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</si>
  <si>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</si>
  <si>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</si>
  <si>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</si>
  <si>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</si>
  <si>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</si>
  <si>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</si>
  <si>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</si>
  <si>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</si>
  <si>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</si>
  <si>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</si>
  <si>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</si>
  <si>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</si>
  <si>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</si>
  <si>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</si>
  <si>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</si>
  <si>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</si>
  <si>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</si>
  <si>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</si>
  <si>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</si>
  <si>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</si>
  <si>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</si>
  <si>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</si>
  <si>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</si>
  <si>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</si>
  <si>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</si>
  <si>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</si>
  <si>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</si>
  <si>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</si>
  <si>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</si>
  <si>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</si>
  <si>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</si>
  <si>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</si>
  <si>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</si>
  <si>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</si>
  <si>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</si>
  <si>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</si>
  <si>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</si>
  <si>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</si>
  <si>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</si>
  <si>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</si>
  <si>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</si>
  <si>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</si>
  <si>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</si>
  <si>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</si>
  <si>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</si>
  <si>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</si>
  <si>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</si>
  <si>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</si>
  <si>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</si>
  <si>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</si>
  <si>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</si>
  <si>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</si>
  <si>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</si>
  <si>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</si>
  <si>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</si>
  <si>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</si>
  <si>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</si>
  <si>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</si>
  <si>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</si>
  <si>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</si>
  <si>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</si>
  <si>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</si>
  <si>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</si>
  <si>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</si>
  <si>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</si>
  <si>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</si>
  <si>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</si>
  <si>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</si>
  <si>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</si>
  <si>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</si>
  <si>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</si>
  <si>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</si>
  <si>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</si>
  <si>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</si>
  <si>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</si>
  <si>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</si>
  <si>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</si>
  <si>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</si>
  <si>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</si>
  <si>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</si>
  <si>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</si>
  <si>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</si>
  <si>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</si>
  <si>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</si>
  <si>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</si>
  <si>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</si>
  <si>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</si>
  <si>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</si>
  <si>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</si>
  <si>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</si>
  <si>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</si>
  <si>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</si>
  <si>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</si>
  <si>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</si>
  <si>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</si>
  <si>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</si>
  <si>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</si>
  <si>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</si>
  <si>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</si>
  <si>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</si>
  <si>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</si>
  <si>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</si>
  <si>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</si>
  <si>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</si>
  <si>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</si>
  <si>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</si>
  <si>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</si>
  <si>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</si>
  <si>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</si>
  <si>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</si>
  <si>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</si>
  <si>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</si>
  <si>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</si>
  <si>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</si>
  <si>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</si>
  <si>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</si>
  <si>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</si>
  <si>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</si>
  <si>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</si>
  <si>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</si>
  <si>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</si>
  <si>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</si>
  <si>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</si>
  <si>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</si>
  <si>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</si>
  <si>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</si>
  <si>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</si>
  <si>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</si>
  <si>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</si>
  <si>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</si>
  <si>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</si>
  <si>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</si>
  <si>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</si>
  <si>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</si>
  <si>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</si>
  <si>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</si>
  <si>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</si>
  <si>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</si>
  <si>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</si>
  <si>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</si>
  <si>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</si>
  <si>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</si>
  <si>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</si>
  <si>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</si>
  <si>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</si>
  <si>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</si>
  <si>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</si>
  <si>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</si>
  <si>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</si>
  <si>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</si>
  <si>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</si>
  <si>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</si>
  <si>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</si>
  <si>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</si>
  <si>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</si>
  <si>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</si>
  <si>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</si>
  <si>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</si>
  <si>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</si>
  <si>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</si>
  <si>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</si>
  <si>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</si>
  <si>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</si>
  <si>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</si>
  <si>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</si>
  <si>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</si>
  <si>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</si>
  <si>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</si>
  <si>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</si>
  <si>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</si>
  <si>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</si>
  <si>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</si>
  <si>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</si>
  <si>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</si>
  <si>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</si>
  <si>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</si>
  <si>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</si>
  <si>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</si>
  <si>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</si>
  <si>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</si>
  <si>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</si>
  <si>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</si>
  <si>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</si>
  <si>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</si>
  <si>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</si>
  <si>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</si>
  <si>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</si>
  <si>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</si>
  <si>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</si>
  <si>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</si>
  <si>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</si>
  <si>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</si>
  <si>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</si>
  <si>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</si>
  <si>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</si>
  <si>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</si>
  <si>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</si>
  <si>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</si>
  <si>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</si>
  <si>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</si>
  <si>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</si>
  <si>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</si>
  <si>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</si>
  <si>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</si>
  <si>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</si>
  <si>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</si>
  <si>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</si>
  <si>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</si>
  <si>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</si>
  <si>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</si>
  <si>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</si>
  <si>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</si>
  <si>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</si>
  <si>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</si>
  <si>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</si>
  <si>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</si>
  <si>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</si>
  <si>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</si>
  <si>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</si>
  <si>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</si>
  <si>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</si>
  <si>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</si>
  <si>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</si>
  <si>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</si>
  <si>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</si>
  <si>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</si>
  <si>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</si>
  <si>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</si>
  <si>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</si>
  <si>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</si>
  <si>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</si>
  <si>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</si>
  <si>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</si>
  <si>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</si>
  <si>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</si>
  <si>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</si>
  <si>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</si>
  <si>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</si>
  <si>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</si>
  <si>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</si>
  <si>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</si>
  <si>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</si>
  <si>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</si>
  <si>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</si>
  <si>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</si>
  <si>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</si>
  <si>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</si>
  <si>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</si>
  <si>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</si>
  <si>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</si>
  <si>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</si>
  <si>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</si>
  <si>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</si>
  <si>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</si>
  <si>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</si>
  <si>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</si>
  <si>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</si>
  <si>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</si>
  <si>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</si>
  <si>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</si>
  <si>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</si>
  <si>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</si>
  <si>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</si>
  <si>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</si>
  <si>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</si>
  <si>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</si>
  <si>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</si>
  <si>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</si>
  <si>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</si>
  <si>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</si>
  <si>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</si>
  <si>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</si>
  <si>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</si>
  <si>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</si>
  <si>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</si>
  <si>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</si>
  <si>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</si>
  <si>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</si>
  <si>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</si>
  <si>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</si>
  <si>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</si>
  <si>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</si>
  <si>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</si>
  <si>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</si>
  <si>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</si>
  <si>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</si>
  <si>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</si>
  <si>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</si>
  <si>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</si>
  <si>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</si>
  <si>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</si>
  <si>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</si>
  <si>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</si>
  <si>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</si>
  <si>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</si>
  <si>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</si>
  <si>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</si>
  <si>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</si>
  <si>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</si>
  <si>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</si>
  <si>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</si>
  <si>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</si>
  <si>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</si>
  <si>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</si>
  <si>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</si>
  <si>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</si>
  <si>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</si>
  <si>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</si>
  <si>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</si>
  <si>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</si>
  <si>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</si>
  <si>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</si>
  <si>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</si>
  <si>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</si>
  <si>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</si>
  <si>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</si>
  <si>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</si>
  <si>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</si>
  <si>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</si>
  <si>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</si>
  <si>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</si>
  <si>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</si>
  <si>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</si>
  <si>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</si>
  <si>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</si>
  <si>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</si>
  <si>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</si>
  <si>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</si>
  <si>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</si>
  <si>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</si>
  <si>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</si>
  <si>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</si>
  <si>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</si>
  <si>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</si>
  <si>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</si>
  <si>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</si>
  <si>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</si>
  <si>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</si>
  <si>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</si>
  <si>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</si>
  <si>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</si>
  <si>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</si>
  <si>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</si>
  <si>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</si>
  <si>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</si>
  <si>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</si>
  <si>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</si>
  <si>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</si>
  <si>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</si>
  <si>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</si>
  <si>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</si>
  <si>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</si>
  <si>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</si>
  <si>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</si>
  <si>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</si>
  <si>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</si>
  <si>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</si>
  <si>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</si>
  <si>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</si>
  <si>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</si>
  <si>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</si>
  <si>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</si>
  <si>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</si>
  <si>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</si>
  <si>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</si>
  <si>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</si>
  <si>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</si>
  <si>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</si>
  <si>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</si>
  <si>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</si>
  <si>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</si>
  <si>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</si>
  <si>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</si>
  <si>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</si>
  <si>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</si>
  <si>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</si>
  <si>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</si>
  <si>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</si>
  <si>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</si>
  <si>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</si>
  <si>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</si>
  <si>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</si>
  <si>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</si>
  <si>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</si>
  <si>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</si>
  <si>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</si>
  <si>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</si>
  <si>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</si>
  <si>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</si>
  <si>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</si>
  <si>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</si>
  <si>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</si>
  <si>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</si>
  <si>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</si>
  <si>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</si>
  <si>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</si>
  <si>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</si>
  <si>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</si>
  <si>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</si>
  <si>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</si>
  <si>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</si>
  <si>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</si>
  <si>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</si>
  <si>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</si>
  <si>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</si>
  <si>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</si>
  <si>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</si>
  <si>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</si>
  <si>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</si>
  <si>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</si>
  <si>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</si>
  <si>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</si>
  <si>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</si>
  <si>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</si>
  <si>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</si>
  <si>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</si>
  <si>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</si>
  <si>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</si>
  <si>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</si>
  <si>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</si>
  <si>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</si>
  <si>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</si>
  <si>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</si>
  <si>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</si>
  <si>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</si>
  <si>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</si>
  <si>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</si>
  <si>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</si>
  <si>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</si>
  <si>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</si>
  <si>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</si>
  <si>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</si>
  <si>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</si>
  <si>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</si>
  <si>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</si>
  <si>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</si>
  <si>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</si>
  <si>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</si>
  <si>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</si>
  <si>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</si>
  <si>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</si>
  <si>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</si>
  <si>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</si>
  <si>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</si>
  <si>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</si>
  <si>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</si>
  <si>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</si>
  <si>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</si>
  <si>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</si>
  <si>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</si>
  <si>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</si>
  <si>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</si>
  <si>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</si>
  <si>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</si>
  <si>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</si>
  <si>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</si>
  <si>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</si>
  <si>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</si>
  <si>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</si>
  <si>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</si>
  <si>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</si>
  <si>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</si>
  <si>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</si>
  <si>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</si>
  <si>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</si>
  <si>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</si>
  <si>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</si>
  <si>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</si>
  <si>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</si>
  <si>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</si>
  <si>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</si>
  <si>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</si>
  <si>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</si>
  <si>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</si>
  <si>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</si>
  <si>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</si>
  <si>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</si>
  <si>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</si>
  <si>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</si>
  <si>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</si>
  <si>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</si>
  <si>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</si>
  <si>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</si>
  <si>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</si>
  <si>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</si>
  <si>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</si>
  <si>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</si>
  <si>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</si>
  <si>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</si>
  <si>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</si>
  <si>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</si>
  <si>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</si>
  <si>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</si>
  <si>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</si>
  <si>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</si>
  <si>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</si>
  <si>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</si>
  <si>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</si>
  <si>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</si>
  <si>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</si>
  <si>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</si>
  <si>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</si>
  <si>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</si>
  <si>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</si>
  <si>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</si>
  <si>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</si>
  <si>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</si>
  <si>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</si>
  <si>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</si>
  <si>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</si>
  <si>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</si>
  <si>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</si>
  <si>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</si>
  <si>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</si>
  <si>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</si>
  <si>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</si>
  <si>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</si>
  <si>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</si>
  <si>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</si>
  <si>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</si>
  <si>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</si>
  <si>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</si>
  <si>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</si>
  <si>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</si>
  <si>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</si>
  <si>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</si>
  <si>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</si>
  <si>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</si>
  <si>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</si>
  <si>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</si>
  <si>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</si>
  <si>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</si>
  <si>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</si>
  <si>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</si>
  <si>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</si>
  <si>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</si>
  <si>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</si>
  <si>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</si>
  <si>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</si>
  <si>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</si>
  <si>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</si>
  <si>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</si>
  <si>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</si>
  <si>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</si>
  <si>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</si>
  <si>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</si>
  <si>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</si>
  <si>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</si>
  <si>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</si>
  <si>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</si>
  <si>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</si>
  <si>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</si>
  <si>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</si>
  <si>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</si>
  <si>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</si>
  <si>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</si>
  <si>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</si>
  <si>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</si>
  <si>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</si>
  <si>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</si>
  <si>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</si>
  <si>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</si>
  <si>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</si>
  <si>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</si>
  <si>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</si>
  <si>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</si>
  <si>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</si>
  <si>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</si>
  <si>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</si>
  <si>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</si>
  <si>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</si>
  <si>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</si>
  <si>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</si>
  <si>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</si>
  <si>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</si>
  <si>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</si>
  <si>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</si>
  <si>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</si>
  <si>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</si>
  <si>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</si>
  <si>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</si>
  <si>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</si>
  <si>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</si>
  <si>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</si>
  <si>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</si>
  <si>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</si>
  <si>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</si>
  <si>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</si>
  <si>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</si>
  <si>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</si>
  <si>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</si>
  <si>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</si>
  <si>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</si>
  <si>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</si>
  <si>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</si>
  <si>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</si>
  <si>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</si>
  <si>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</si>
  <si>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</si>
  <si>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</si>
  <si>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</si>
  <si>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</si>
  <si>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</si>
  <si>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</si>
  <si>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</si>
  <si>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</si>
  <si>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</si>
  <si>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</si>
  <si>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</si>
  <si>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</si>
  <si>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</si>
  <si>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</si>
  <si>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</si>
  <si>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</si>
  <si>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</si>
  <si>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</si>
  <si>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</si>
  <si>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</si>
  <si>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</si>
  <si>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</si>
  <si>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</si>
  <si>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</si>
  <si>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</si>
  <si>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</si>
  <si>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</si>
  <si>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</si>
  <si>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</si>
  <si>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</si>
  <si>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</si>
  <si>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2019-1</t>
    <phoneticPr fontId="3" type="noConversion"/>
  </si>
  <si>
    <t>级别开发程度</t>
    <phoneticPr fontId="3" type="noConversion"/>
  </si>
  <si>
    <t>2018A-027</t>
    <phoneticPr fontId="136" type="noConversion"/>
  </si>
  <si>
    <t>2019-2</t>
    <phoneticPr fontId="3" type="noConversion"/>
  </si>
  <si>
    <t>2019-3</t>
    <phoneticPr fontId="143" type="noConversion"/>
  </si>
  <si>
    <t>2018-4</t>
    <phoneticPr fontId="3" type="noConversion"/>
  </si>
  <si>
    <t>吴薇</t>
  </si>
  <si>
    <t>王鹏</t>
  </si>
  <si>
    <t>出让</t>
  </si>
  <si>
    <t>房地产抵押价值</t>
  </si>
  <si>
    <t>其他：</t>
  </si>
  <si>
    <t>山东省</t>
    <phoneticPr fontId="6" type="noConversion"/>
  </si>
  <si>
    <r>
      <rPr>
        <sz val="12"/>
        <color theme="9" tint="-0.249977111117893"/>
        <rFont val="宋体"/>
        <family val="3"/>
        <charset val="134"/>
      </rPr>
      <t>青岛市黄岛区开发区汉江路</t>
    </r>
    <r>
      <rPr>
        <sz val="12"/>
        <color theme="9" tint="-0.249977111117893"/>
        <rFont val="Arial"/>
        <family val="2"/>
      </rPr>
      <t>3</t>
    </r>
    <r>
      <rPr>
        <sz val="12"/>
        <color theme="9" tint="-0.249977111117893"/>
        <rFont val="宋体"/>
        <family val="3"/>
        <charset val="134"/>
      </rPr>
      <t>号万达广场全幢、地下</t>
    </r>
    <phoneticPr fontId="6" type="noConversion"/>
  </si>
  <si>
    <t>企业</t>
  </si>
  <si>
    <t>青岛融创游艇产业投资有限公司</t>
    <phoneticPr fontId="6" type="noConversion"/>
  </si>
  <si>
    <t>商业项目</t>
  </si>
  <si>
    <t>商场</t>
  </si>
  <si>
    <t>现房</t>
  </si>
  <si>
    <t>通路</t>
  </si>
  <si>
    <t>通电</t>
  </si>
  <si>
    <t>通讯</t>
  </si>
  <si>
    <t>通上水</t>
  </si>
  <si>
    <t>通下水</t>
  </si>
  <si>
    <t>是</t>
  </si>
  <si>
    <t>地上</t>
  </si>
  <si>
    <t>独立商业</t>
  </si>
  <si>
    <t>地下</t>
  </si>
  <si>
    <t>商业</t>
    <phoneticPr fontId="7" type="noConversion"/>
  </si>
  <si>
    <t>成新度</t>
  </si>
  <si>
    <t>商业案例</t>
    <phoneticPr fontId="143" type="noConversion"/>
  </si>
  <si>
    <t>楼层</t>
    <phoneticPr fontId="143" type="noConversion"/>
  </si>
  <si>
    <t>面积</t>
    <phoneticPr fontId="143" type="noConversion"/>
  </si>
  <si>
    <t>租金单价</t>
    <phoneticPr fontId="143" type="noConversion"/>
  </si>
  <si>
    <t>位置</t>
    <phoneticPr fontId="143" type="noConversion"/>
  </si>
  <si>
    <t>香江路</t>
    <phoneticPr fontId="143" type="noConversion"/>
  </si>
  <si>
    <t>较好</t>
    <phoneticPr fontId="3" type="noConversion"/>
  </si>
  <si>
    <t>较好</t>
    <phoneticPr fontId="3" type="noConversion"/>
  </si>
  <si>
    <t>一般</t>
    <phoneticPr fontId="3" type="noConversion"/>
  </si>
  <si>
    <t>六通</t>
    <phoneticPr fontId="3" type="noConversion"/>
  </si>
  <si>
    <t>商业</t>
    <phoneticPr fontId="31" type="noConversion"/>
  </si>
  <si>
    <t>规则</t>
    <phoneticPr fontId="3" type="noConversion"/>
  </si>
  <si>
    <t>较规则</t>
    <phoneticPr fontId="3" type="noConversion"/>
  </si>
  <si>
    <t>不规则</t>
    <phoneticPr fontId="3" type="noConversion"/>
  </si>
  <si>
    <t>七通</t>
    <phoneticPr fontId="3" type="noConversion"/>
  </si>
  <si>
    <t>六通</t>
    <phoneticPr fontId="3" type="noConversion"/>
  </si>
  <si>
    <t>五通</t>
    <phoneticPr fontId="3" type="noConversion"/>
  </si>
  <si>
    <t>较适宜</t>
    <phoneticPr fontId="3" type="noConversion"/>
  </si>
  <si>
    <t>地块名称</t>
  </si>
  <si>
    <t>城市</t>
  </si>
  <si>
    <t>用地性质</t>
  </si>
  <si>
    <t>区县</t>
  </si>
  <si>
    <t>板块</t>
  </si>
  <si>
    <t>土地位置</t>
  </si>
  <si>
    <t>出让方式</t>
  </si>
  <si>
    <t>地块编号</t>
  </si>
  <si>
    <t>详细规划</t>
  </si>
  <si>
    <t>建设用地面积(㎡)</t>
  </si>
  <si>
    <t>规划建筑面积(㎡)</t>
  </si>
  <si>
    <t>容积率</t>
  </si>
  <si>
    <t>商业比例</t>
  </si>
  <si>
    <t>建筑密度</t>
  </si>
  <si>
    <t>限制高度</t>
  </si>
  <si>
    <t>保障房类型</t>
  </si>
  <si>
    <t>推出保障房面积(㎡)</t>
  </si>
  <si>
    <t>成交保障房面积(㎡)</t>
  </si>
  <si>
    <t>配建自住房情况</t>
  </si>
  <si>
    <t>推出特殊政策</t>
  </si>
  <si>
    <t>成交特殊政策</t>
  </si>
  <si>
    <t>配建养老设施面积情况</t>
  </si>
  <si>
    <t>开发进度</t>
  </si>
  <si>
    <t>公告时间</t>
  </si>
  <si>
    <t>起始日期</t>
  </si>
  <si>
    <t>截止日期</t>
  </si>
  <si>
    <t>成交日期</t>
  </si>
  <si>
    <t>公告编号</t>
  </si>
  <si>
    <t>交易状态</t>
  </si>
  <si>
    <t>受让单位</t>
  </si>
  <si>
    <t>保证金(万元)</t>
  </si>
  <si>
    <t>起始价(万元)</t>
  </si>
  <si>
    <t>成交价(万元)</t>
  </si>
  <si>
    <t>推出每亩价(万元/亩)</t>
  </si>
  <si>
    <t>成交每亩价(万元/亩)</t>
  </si>
  <si>
    <t>推出楼面价(元/㎡)</t>
  </si>
  <si>
    <t>成交楼面价(元/㎡)</t>
  </si>
  <si>
    <t>推出楼面价(除保障房)(元/㎡)</t>
  </si>
  <si>
    <t>成交楼面价(除保障房)(元/㎡)</t>
  </si>
  <si>
    <t>溢价率</t>
  </si>
  <si>
    <t>出让年限</t>
  </si>
  <si>
    <t>竞报整体自持比例(%)</t>
  </si>
  <si>
    <t>竞报商品住房自持比例(%)</t>
  </si>
  <si>
    <t>竞报商办部分自持比例(%)</t>
  </si>
  <si>
    <t>土地星级</t>
  </si>
  <si>
    <t>黄岛区银沙滩路西、唐岛湾南岸</t>
  </si>
  <si>
    <t>青岛市</t>
  </si>
  <si>
    <t>商业/办公用地</t>
  </si>
  <si>
    <t>黄岛区</t>
  </si>
  <si>
    <t>拍卖</t>
  </si>
  <si>
    <t>HD2019-3092</t>
  </si>
  <si>
    <t>旅馆</t>
  </si>
  <si>
    <t>≤0.5</t>
  </si>
  <si>
    <t>≤50%</t>
  </si>
  <si>
    <t>未开工</t>
  </si>
  <si>
    <t>2019-06-21</t>
  </si>
  <si>
    <t>2019-07-16</t>
  </si>
  <si>
    <t>青黄自然资告字〔2019〕3092号</t>
  </si>
  <si>
    <t>已成交</t>
  </si>
  <si>
    <t>青岛嘉声文旅有限公司</t>
  </si>
  <si>
    <t>40年</t>
  </si>
  <si>
    <t>1星</t>
  </si>
  <si>
    <t>黄岛区月牙河路北、滨海大道西</t>
  </si>
  <si>
    <t>HD2019-3058</t>
  </si>
  <si>
    <t>商务金融用地</t>
  </si>
  <si>
    <t>≤2</t>
  </si>
  <si>
    <t>≤40%</t>
  </si>
  <si>
    <t>2019-05-21</t>
  </si>
  <si>
    <t>2019-06-13</t>
  </si>
  <si>
    <t>青黄自然资告字[2019]3056号-3</t>
  </si>
  <si>
    <t>青岛珠山书画院有限公司</t>
  </si>
  <si>
    <t>3星</t>
  </si>
  <si>
    <t>黄岛区月牙河路北、蓝海湾路西</t>
  </si>
  <si>
    <t>HD2019-3056</t>
  </si>
  <si>
    <t>青黄自然资告字[2019]3056号-1</t>
  </si>
  <si>
    <t>HD2019-3057</t>
  </si>
  <si>
    <t>≤1.1</t>
  </si>
  <si>
    <t>青黄自然资告字[2019]3056号-2</t>
  </si>
  <si>
    <t>黄岛区华山一路南、华山路东</t>
  </si>
  <si>
    <t>HD2019-3053</t>
  </si>
  <si>
    <t>≤2.0</t>
  </si>
  <si>
    <t>≤55%</t>
  </si>
  <si>
    <t>2019-05-08</t>
  </si>
  <si>
    <t>2019-05-31</t>
  </si>
  <si>
    <t>青黄自然资告字[2019]3053号</t>
  </si>
  <si>
    <t>青岛和发文化传媒有限公司</t>
  </si>
  <si>
    <t>4星</t>
  </si>
  <si>
    <t>黄岛区前湾港路北、创智路东</t>
  </si>
  <si>
    <t>HD2019-3043</t>
  </si>
  <si>
    <t>文化设施用地、商务金融用地</t>
  </si>
  <si>
    <t>≤0.6</t>
  </si>
  <si>
    <t>≤30%</t>
  </si>
  <si>
    <t>2019-04-10</t>
  </si>
  <si>
    <t>2019-05-07</t>
  </si>
  <si>
    <t>青黄自然资告字[2019]3042号-2</t>
  </si>
  <si>
    <t>大地飞天(青岛)科普文化发展有限公司</t>
  </si>
  <si>
    <t>文化50年、商务40年</t>
  </si>
  <si>
    <t>黄岛区青连铁路东、玉溪路北</t>
  </si>
  <si>
    <t>HD2019-3039</t>
  </si>
  <si>
    <t>≤5.0</t>
  </si>
  <si>
    <t>2019-03-30</t>
  </si>
  <si>
    <t>2019-05-06</t>
  </si>
  <si>
    <t>青黄自然资告字[2019]3038号-2</t>
  </si>
  <si>
    <t>绿地海筑(青岛)置业有限公司</t>
  </si>
  <si>
    <t>黄岛区滨海大道西、世纪大道北</t>
  </si>
  <si>
    <t>HD2019-3026</t>
  </si>
  <si>
    <t>餐饮用地、旅馆用地、商务金融用地</t>
  </si>
  <si>
    <t>＞1且≤3.67</t>
  </si>
  <si>
    <t>限地价</t>
  </si>
  <si>
    <t>2019-02-14</t>
  </si>
  <si>
    <t>2019-03-11</t>
  </si>
  <si>
    <t>青黄土告字[2019]3025号-2</t>
  </si>
  <si>
    <t>青岛融创建晟投资有限公司</t>
  </si>
  <si>
    <t>黄岛区藏马山旅游度假区规划6号线以东、下丁家洼村北</t>
  </si>
  <si>
    <t>HD2019-3024</t>
  </si>
  <si>
    <t>娱乐、其他商服用地,旅馆用地,商务金融用地</t>
  </si>
  <si>
    <t>≤1.5</t>
  </si>
  <si>
    <t>≤45%</t>
  </si>
  <si>
    <t>2019-01-26</t>
  </si>
  <si>
    <t>2019-02-20</t>
  </si>
  <si>
    <t>青黄土告字[2019]3022号-2</t>
  </si>
  <si>
    <t>青岛融创西发文化发展有限公司</t>
  </si>
  <si>
    <t>黄岛区S293省道东、登台路南</t>
  </si>
  <si>
    <t>HD2018-3181</t>
  </si>
  <si>
    <t>≤1.0</t>
  </si>
  <si>
    <t>2018-12-29</t>
  </si>
  <si>
    <t>2019-01-23</t>
  </si>
  <si>
    <t>青黄土告字[2018]3178号-4</t>
  </si>
  <si>
    <t>青岛龙湾丽汀文化旅游发展有限公司</t>
  </si>
  <si>
    <t>黄岛区开城路东、藏南镇高戈庄村北</t>
  </si>
  <si>
    <t>HD2018-3169</t>
  </si>
  <si>
    <t>旅馆用地、商务金融用地</t>
  </si>
  <si>
    <t>2018-12-05</t>
  </si>
  <si>
    <t>2018-12-28</t>
  </si>
  <si>
    <t>青黄土告字[2018]3163号-7</t>
  </si>
  <si>
    <t>青岛佳诺华健康产业投资管理有限公司</t>
  </si>
  <si>
    <t>黄岛区二零四国道以南、东马河以东</t>
  </si>
  <si>
    <t>HD2018-3150</t>
  </si>
  <si>
    <t>零售商业用地</t>
  </si>
  <si>
    <t>≤1.2</t>
  </si>
  <si>
    <t>2018-11-23</t>
  </si>
  <si>
    <t>2018-12-18</t>
  </si>
  <si>
    <t>青黄土告字[2018]3149号-2</t>
  </si>
  <si>
    <t>青岛锦昊泰恒置业有限公司</t>
  </si>
  <si>
    <t>黄岛区开城路东、藏南镇河西屯村北</t>
  </si>
  <si>
    <t>HD2018-3153</t>
  </si>
  <si>
    <t>青黄土告字[2018]3149号-5</t>
  </si>
  <si>
    <t>青岛隆岳置业有限公司</t>
  </si>
  <si>
    <t>黄岛区崮上村南、崮山路东</t>
  </si>
  <si>
    <t>HD2018-3152</t>
  </si>
  <si>
    <t>餐饮、旅馆用地,商务金融用地</t>
  </si>
  <si>
    <t>青黄土告字[2018]3149号-4</t>
  </si>
  <si>
    <t>青岛东方小镇文化旅游发展有限公司</t>
  </si>
  <si>
    <t>黄岛区海湾路南、融合路东</t>
  </si>
  <si>
    <t>HD2018-3146</t>
  </si>
  <si>
    <t>住宿餐饮用地</t>
  </si>
  <si>
    <t>开工中</t>
  </si>
  <si>
    <t>2018-11-10</t>
  </si>
  <si>
    <t>青黄土告字[2018]3146号</t>
  </si>
  <si>
    <t>青岛融发东达地产开发有限公司</t>
  </si>
  <si>
    <t>2星</t>
  </si>
  <si>
    <t>黄岛区团结路南侧、山东省青岛市第九中学(新校区)西侧</t>
  </si>
  <si>
    <t>HD2018-3138</t>
  </si>
  <si>
    <t>其他商服用地</t>
  </si>
  <si>
    <t>2018-10-27</t>
  </si>
  <si>
    <t>2018-11-21</t>
  </si>
  <si>
    <t>青黄土告字[2018]3127号-11</t>
  </si>
  <si>
    <t>青岛英创建设发展有限公司</t>
  </si>
  <si>
    <t>黄岛区海西三路东、东岳西路南</t>
  </si>
  <si>
    <t>HD2018-3141</t>
  </si>
  <si>
    <t>批发零售用地</t>
  </si>
  <si>
    <t>青黄土告字[2018]3127号-14</t>
  </si>
  <si>
    <t>青岛中农现代农业发展有限公司</t>
  </si>
  <si>
    <t>黄岛区开城路西、张家楼镇大山张村南</t>
  </si>
  <si>
    <t>HD2018-3128</t>
  </si>
  <si>
    <t>≤1</t>
  </si>
  <si>
    <t>青黄土告字[2018]3127号-2</t>
  </si>
  <si>
    <t>黄岛区开城路北、藏南镇贺吉沟村西</t>
  </si>
  <si>
    <t>HD2018-3129</t>
  </si>
  <si>
    <t>青黄土告字[2018]3127号-3</t>
  </si>
  <si>
    <t>HD2018-3136</t>
  </si>
  <si>
    <t>青黄土告字[2018]3127号-10</t>
  </si>
  <si>
    <t>HD2018-3135</t>
  </si>
  <si>
    <t>青黄土告字[2018]3127号-9</t>
  </si>
  <si>
    <t>HD2018-3131</t>
  </si>
  <si>
    <t>青黄土告字[2018]3127号-5</t>
  </si>
  <si>
    <t>黄岛区开城路西、藏南镇曾家官庄村北</t>
  </si>
  <si>
    <t>HD2018-3134</t>
  </si>
  <si>
    <t>青黄土告字[2018]3127号-8</t>
  </si>
  <si>
    <t>HD2018-3130</t>
  </si>
  <si>
    <t>青黄土告字[2018]3127号-4</t>
  </si>
  <si>
    <t>黄岛区开城路北、藏南镇长阡沟安置区西</t>
  </si>
  <si>
    <t>HD2018-3133</t>
  </si>
  <si>
    <t>青黄土告字[2018]3127号-7</t>
  </si>
  <si>
    <t>HD2018-3100</t>
  </si>
  <si>
    <t>≤40</t>
  </si>
  <si>
    <t>2018-09-15</t>
  </si>
  <si>
    <t>2018-10-10</t>
  </si>
  <si>
    <t>青黄土告字[2018]3076号-25</t>
  </si>
  <si>
    <t>HD2018-3077</t>
  </si>
  <si>
    <t>青黄土告字[2018]3076号-2</t>
  </si>
  <si>
    <t>HD2018-3089</t>
  </si>
  <si>
    <t>青黄土告字[2018]3076号-14</t>
  </si>
  <si>
    <t>HD2018-3083</t>
  </si>
  <si>
    <t>青黄土告字[2018]3076号-8</t>
  </si>
  <si>
    <t>黄岛区开城路西、藏南镇长阡沟安置区北</t>
  </si>
  <si>
    <t>HD2018-3092</t>
  </si>
  <si>
    <t>青黄土告字[2018]3076号-17</t>
  </si>
  <si>
    <t>黄岛区开城路西、藏南镇曾家官庄村南</t>
  </si>
  <si>
    <t>HD2018-3093</t>
  </si>
  <si>
    <t>青黄土告字[2018]3076号-18</t>
  </si>
  <si>
    <t>HD2018-3086</t>
  </si>
  <si>
    <t>青黄土告字[2018]3076号-11</t>
  </si>
  <si>
    <t>HD2018-3098</t>
  </si>
  <si>
    <t>青黄土告字[2018]3076号-23</t>
  </si>
  <si>
    <t>HD2018-3097</t>
  </si>
  <si>
    <t>青黄土告字[2018]3076号-22</t>
  </si>
  <si>
    <t>HD2018-3094</t>
  </si>
  <si>
    <t>青黄土告字[2018]3076号-19</t>
  </si>
  <si>
    <t>黄岛区开城路西、藏南镇高戈庄村北</t>
  </si>
  <si>
    <t>HD2018-3095</t>
  </si>
  <si>
    <t>青黄土告字[2018]3076号-20</t>
  </si>
  <si>
    <t>HD2018-3099</t>
  </si>
  <si>
    <t>青黄土告字[2018]3076号-24</t>
  </si>
  <si>
    <t>HD2018-3080</t>
  </si>
  <si>
    <t>青黄土告字[2018]3076号-5</t>
  </si>
  <si>
    <t>黄岛区柏果树河以东、规划珠山路以北</t>
  </si>
  <si>
    <t>HD2018-3070</t>
  </si>
  <si>
    <t>≤2.4</t>
  </si>
  <si>
    <t>≤36</t>
  </si>
  <si>
    <t>限地价,竞自持</t>
  </si>
  <si>
    <t>2018-08-24</t>
  </si>
  <si>
    <t>2018-09-18</t>
  </si>
  <si>
    <t>青黄土告字[2018]3068号-3</t>
  </si>
  <si>
    <t>青岛时空文化集团有限公司</t>
  </si>
  <si>
    <t>黄岛区积米崖十号线南、昆仑山路西</t>
  </si>
  <si>
    <t>HD2018-3069</t>
  </si>
  <si>
    <t>青黄土告字[2018]3068号-2</t>
  </si>
  <si>
    <t>青岛弘健众和实业有限公司</t>
  </si>
  <si>
    <t>黄岛区珠江路北、银海路西</t>
  </si>
  <si>
    <t>HD2018-3067</t>
  </si>
  <si>
    <t>≤1.8</t>
  </si>
  <si>
    <t>≤55</t>
  </si>
  <si>
    <t>2018-08-17</t>
  </si>
  <si>
    <t>2018-09-11</t>
  </si>
  <si>
    <t>青黄土告字[2018]3064号-4</t>
  </si>
  <si>
    <t>青岛青科建联运营管理有限公司</t>
  </si>
  <si>
    <t>5星</t>
  </si>
  <si>
    <t>黄岛区华山路东、华山一路南</t>
  </si>
  <si>
    <t>HD2018-3063</t>
  </si>
  <si>
    <t>2018-08-07</t>
  </si>
  <si>
    <t>2018-08-30</t>
  </si>
  <si>
    <t>青黄土告字[2018]3062号-2</t>
  </si>
  <si>
    <t>青岛西海岸文化产业投资有限公司</t>
  </si>
  <si>
    <t>黄岛区泰薛路北、石山路东</t>
  </si>
  <si>
    <t>HD2018-3062</t>
  </si>
  <si>
    <t>青黄土告字[2018]3062号-1</t>
  </si>
  <si>
    <t>黄岛区碧玉路南、海军路西</t>
  </si>
  <si>
    <t>HD2018-3054</t>
  </si>
  <si>
    <t>≤45</t>
  </si>
  <si>
    <t>2018-07-31</t>
  </si>
  <si>
    <t>2018-08-23</t>
  </si>
  <si>
    <t>青黄土告字[2018]3054号-1</t>
  </si>
  <si>
    <t>青岛西海岸古镇置业有限公司</t>
  </si>
  <si>
    <t>黄岛区滨海大道北、琅琊台南路西</t>
  </si>
  <si>
    <t>HD2018-3057</t>
  </si>
  <si>
    <t>2018-07-27</t>
  </si>
  <si>
    <t>2018-08-21</t>
  </si>
  <si>
    <t>青黄土告字[2018]3057号-1</t>
  </si>
  <si>
    <t>青岛地铁资源开发有限公司,北京润置商业运营管理有限公司,青岛中嘉建设集团有限公司,中城新产业地产(深圳)有限公司</t>
  </si>
  <si>
    <t>黄岛区胶河经济区丰美路西、泰昌路北</t>
  </si>
  <si>
    <t>HD2018-3045</t>
  </si>
  <si>
    <t>2018-07-14</t>
  </si>
  <si>
    <t>2018-08-08</t>
  </si>
  <si>
    <t>青黄土告字[2018]3043号-3</t>
  </si>
  <si>
    <t>青岛黄发胶河文化旅游发展有限公司</t>
  </si>
  <si>
    <t>黄岛区淮河西路南、灵山路西</t>
  </si>
  <si>
    <t>HD2018-3030</t>
  </si>
  <si>
    <t>限房价,含人才住房</t>
  </si>
  <si>
    <t>含人才住房</t>
  </si>
  <si>
    <t>2018-04-29</t>
  </si>
  <si>
    <t>2018-05-23</t>
  </si>
  <si>
    <t>青黄土告字[2018]3026号-5</t>
  </si>
  <si>
    <t>青岛西海岸达智房地产开发有限公司</t>
  </si>
  <si>
    <t>黄岛区开城路(前湾港路)以南、两河路以东</t>
  </si>
  <si>
    <t>HD2018-3025</t>
  </si>
  <si>
    <t>2018-04-27</t>
  </si>
  <si>
    <t>青黄土告字[2018]3025号</t>
  </si>
  <si>
    <t>青岛利泰源中石油工程服务有限公司</t>
  </si>
  <si>
    <t>黄岛区泊里镇中心路西、纬十五路南</t>
  </si>
  <si>
    <t>HD2018-3014</t>
  </si>
  <si>
    <t>零售商业用地(加油加气站)</t>
  </si>
  <si>
    <t>≤0.2</t>
  </si>
  <si>
    <t>≤20</t>
  </si>
  <si>
    <t>2018-02-12</t>
  </si>
  <si>
    <t>2018-03-07</t>
  </si>
  <si>
    <t>青黄土告字[2018]3014号</t>
  </si>
  <si>
    <t>青岛港国际股份有限公司</t>
  </si>
  <si>
    <t>黄岛区珠江路北、萧山路东</t>
  </si>
  <si>
    <t>HD2017-3118</t>
  </si>
  <si>
    <t>≤4</t>
  </si>
  <si>
    <t>2017-12-31</t>
  </si>
  <si>
    <t>2018-01-24</t>
  </si>
  <si>
    <t>2018-02-28</t>
  </si>
  <si>
    <t>青黄土告字[2017]3118号-1</t>
  </si>
  <si>
    <t>中青鸿(青岛)实业有限公司</t>
  </si>
  <si>
    <t>万达广场</t>
    <phoneticPr fontId="3" type="noConversion"/>
  </si>
  <si>
    <t>黄岛区</t>
    <phoneticPr fontId="3" type="noConversion"/>
  </si>
  <si>
    <t>一般</t>
  </si>
  <si>
    <t>较好</t>
  </si>
  <si>
    <t>较规则</t>
  </si>
  <si>
    <t>较适宜</t>
  </si>
  <si>
    <t>六通</t>
  </si>
  <si>
    <t>五通</t>
  </si>
  <si>
    <t>其他省市系数</t>
  </si>
  <si>
    <t>未包含在土地购买价格中</t>
  </si>
  <si>
    <t>已包含在土地取得成本中</t>
  </si>
  <si>
    <r>
      <t>B</t>
    </r>
    <r>
      <rPr>
        <sz val="11"/>
        <color theme="1"/>
        <rFont val="宋体"/>
        <family val="3"/>
        <charset val="134"/>
        <scheme val="minor"/>
      </rPr>
      <t>1</t>
    </r>
    <phoneticPr fontId="143" type="noConversion"/>
  </si>
  <si>
    <t>建筑面积</t>
    <phoneticPr fontId="143" type="noConversion"/>
  </si>
  <si>
    <t>系数</t>
    <phoneticPr fontId="143" type="noConversion"/>
  </si>
  <si>
    <t>收益法</t>
  </si>
  <si>
    <t>押一</t>
  </si>
  <si>
    <t>按租金收入计税</t>
  </si>
  <si>
    <t>钢混</t>
  </si>
  <si>
    <t>非生产用房</t>
  </si>
  <si>
    <t>成本法</t>
  </si>
  <si>
    <t>成本比率</t>
  </si>
  <si>
    <t>抵押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</si>
</sst>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FF0000"/>
      <name val="宋体"/>
      <family val="3"/>
      <charset val="134"/>
      <scheme val="min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7" borderId="124" xfId="16" applyFont="1" applyFill="1" applyBorder="1" applyAlignment="1" applyProtection="1">
      <alignment horizontal="center" vertical="center" wrapText="1"/>
    </xf>
    <xf numFmtId="0" fontId="152" fillId="17" borderId="125" xfId="16" applyFont="1" applyFill="1" applyBorder="1" applyAlignment="1" applyProtection="1">
      <alignment horizontal="center" vertical="center" wrapText="1"/>
    </xf>
    <xf numFmtId="0" fontId="190" fillId="7" borderId="60" xfId="0" applyFont="1" applyFill="1" applyBorder="1" applyAlignment="1" applyProtection="1">
      <alignment vertical="center" wrapText="1"/>
      <protection locked="0"/>
    </xf>
    <xf numFmtId="0" fontId="190" fillId="7" borderId="54" xfId="0" applyFont="1" applyFill="1" applyBorder="1" applyAlignment="1" applyProtection="1">
      <alignment vertical="center" wrapText="1"/>
      <protection locked="0"/>
    </xf>
    <xf numFmtId="177" fontId="80" fillId="0" borderId="1" xfId="1" applyNumberFormat="1" applyFont="1" applyFill="1" applyBorder="1" applyAlignment="1" applyProtection="1">
      <alignment vertical="center"/>
      <protection locked="0" hidden="1"/>
    </xf>
    <xf numFmtId="0" fontId="99" fillId="0" borderId="0" xfId="0" applyFont="1">
      <alignment vertical="center"/>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13" fillId="0" borderId="1" xfId="0" applyFont="1" applyBorder="1" applyAlignment="1"/>
    <xf numFmtId="0" fontId="254" fillId="0" borderId="1" xfId="0" applyFont="1" applyBorder="1" applyAlignment="1"/>
    <xf numFmtId="0" fontId="99" fillId="0" borderId="0" xfId="0" applyFont="1" applyAlignment="1">
      <alignment horizontal="left" vertical="center"/>
    </xf>
    <xf numFmtId="0" fontId="0" fillId="0" borderId="0" xfId="0" applyAlignment="1">
      <alignment horizontal="left" vertical="center"/>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225" fillId="0" borderId="23" xfId="0" applyFont="1" applyFill="1" applyBorder="1" applyAlignment="1" applyProtection="1">
      <alignment horizontal="center" vertical="center" wrapText="1"/>
      <protection locked="0"/>
    </xf>
    <xf numFmtId="0" fontId="225" fillId="0" borderId="11" xfId="0" applyFont="1" applyFill="1" applyBorder="1" applyAlignment="1" applyProtection="1">
      <alignment horizontal="center" vertical="center" wrapText="1"/>
      <protection locked="0"/>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08">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0</xdr:rowOff>
    </xdr:from>
    <xdr:to>
      <xdr:col>8</xdr:col>
      <xdr:colOff>298450</xdr:colOff>
      <xdr:row>13</xdr:row>
      <xdr:rowOff>41608</xdr:rowOff>
    </xdr:to>
    <xdr:pic>
      <xdr:nvPicPr>
        <xdr:cNvPr id="2" name="图片 1"/>
        <xdr:cNvPicPr>
          <a:picLocks noChangeAspect="1"/>
        </xdr:cNvPicPr>
      </xdr:nvPicPr>
      <xdr:blipFill>
        <a:blip xmlns:r="http://schemas.openxmlformats.org/officeDocument/2006/relationships" r:embed="rId1"/>
        <a:stretch>
          <a:fillRect/>
        </a:stretch>
      </xdr:blipFill>
      <xdr:spPr>
        <a:xfrm>
          <a:off x="99060" y="0"/>
          <a:ext cx="5076190" cy="2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141514</xdr:rowOff>
    </xdr:from>
    <xdr:to>
      <xdr:col>19</xdr:col>
      <xdr:colOff>71067</xdr:colOff>
      <xdr:row>86</xdr:row>
      <xdr:rowOff>134045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761514"/>
          <a:ext cx="8409524" cy="532653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1215</v>
      </c>
      <c r="B1" s="1585" t="s">
        <v>1294</v>
      </c>
    </row>
    <row r="2" spans="1:2" s="1590" customFormat="1" ht="16.2" thickTop="1">
      <c r="A2" s="1588" t="s">
        <v>1216</v>
      </c>
      <c r="B2" s="1589" t="str">
        <f>'预评函-封皮'!B37:I37</f>
        <v>山东省青岛市黄岛区开发区汉江路3号万达广场全幢、地下房地产抵押价值预评估</v>
      </c>
    </row>
    <row r="3" spans="1:2" s="1593" customFormat="1">
      <c r="A3" s="1591" t="s">
        <v>1217</v>
      </c>
      <c r="B3" s="1592">
        <f>'预评函-封皮'!B40</f>
        <v>0</v>
      </c>
    </row>
    <row r="4" spans="1:2" s="1593" customFormat="1">
      <c r="A4" s="1591" t="s">
        <v>1218</v>
      </c>
      <c r="B4" s="1592" t="str">
        <f ca="1">'预评函-封皮'!B46</f>
        <v>吴薇（注册号：1419970001)、王鹏（注册号：1120050019)</v>
      </c>
    </row>
    <row r="5" spans="1:2" s="1587" customFormat="1" ht="16.2" thickBot="1">
      <c r="A5" s="1594" t="s">
        <v>1219</v>
      </c>
      <c r="B5" s="1595" t="str">
        <f>'预评函-封皮'!B49</f>
        <v>康正预评字号</v>
      </c>
    </row>
    <row r="6" spans="1:2" s="1590" customFormat="1" ht="16.2" thickTop="1">
      <c r="A6" s="1588" t="s">
        <v>1220</v>
      </c>
      <c r="B6" s="1589" t="str">
        <f>'预评函-1'!A4</f>
        <v>受贵公司委托，我公司对山东省青岛市黄岛区开发区汉江路3号万达广场全幢、地下房地产抵押价值进行了预评估。</v>
      </c>
    </row>
    <row r="7" spans="1:2" s="1593" customFormat="1">
      <c r="A7" s="1591" t="s">
        <v>1260</v>
      </c>
      <c r="B7" s="1592" t="str">
        <f>'预评函-1'!A7</f>
        <v>估价对象为山东省青岛市黄岛区开发区汉江路3号万达广场全幢、地下房地产，为青岛融创游艇产业投资有限公司所有。根据《国有土地使用证》[]，估价对象（分摊）出让国有建设用地使用权面积为0平方米，建筑面积为76522.88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山东省青岛市黄岛区开发区汉江路3号万达广场全幢、地下房地产,属青岛融创游艇产业投资有限公司开发建设的商业项目，该项目尚在开发建设中。根据《国有土地使用证》[]，估价对象（分摊）出让国有建设用地使用权面积为0平方米，规划建筑面积为76522.88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拟使用山东省青岛市黄岛区开发区汉江路3号万达广场全幢、地下房地产作为抵押担保物，向办理贷款手续。特委托北京康正宏基房地产评估有限公司对上述抵押物进行评估。本次评估为确定房地产抵押贷款额度提供参考依据而评估房地产抵押价值。</v>
      </c>
    </row>
    <row r="12" spans="1:2" s="1593" customFormat="1">
      <c r="A12" s="1591" t="s">
        <v>1222</v>
      </c>
      <c r="B12" s="1592" t="str">
        <f>'预评函-1'!A15</f>
        <v>2019年8月15日（评估专业人员实地查勘之日）</v>
      </c>
    </row>
    <row r="13" spans="1:2" s="1593" customFormat="1">
      <c r="A13" s="1591" t="s">
        <v>1223</v>
      </c>
      <c r="B13" s="1592" t="str">
        <f>'预评函-1'!A18</f>
        <v>本次估价的“房地产价值”是指在正常市场情况下，在价值时点2019年8月15日，估价对象规划用途为，土地取得方式为出让，出让国有建设用地使用权剩余土地使用年限为，假定未设立法定优先受偿款下的房地产市场价值。</v>
      </c>
    </row>
    <row r="14" spans="1:2" s="1593" customFormat="1">
      <c r="A14" s="1591" t="s">
        <v>1224</v>
      </c>
      <c r="B14" s="1592"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7" customFormat="1" ht="16.2" thickBot="1">
      <c r="A18" s="1594" t="s">
        <v>1228</v>
      </c>
      <c r="B18" s="1595" t="str">
        <f>'预评函-1'!A24</f>
        <v>本次评估采用的主估价方法为成本法和收益法。</v>
      </c>
    </row>
    <row r="19" spans="1:2" s="1590" customFormat="1" ht="16.2"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86456</v>
      </c>
    </row>
    <row r="21" spans="1:2" s="1593" customFormat="1">
      <c r="A21" s="1591" t="s">
        <v>1231</v>
      </c>
      <c r="B21" s="1592">
        <f ca="1">'预评函-2'!D7</f>
        <v>11298</v>
      </c>
    </row>
    <row r="22" spans="1:2" s="1593" customFormat="1">
      <c r="A22" s="1591" t="s">
        <v>1232</v>
      </c>
      <c r="B22" s="1592" t="str">
        <f ca="1">'预评函-2'!D6</f>
        <v>捌亿陆仟肆佰伍拾陆万元整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86456</v>
      </c>
    </row>
    <row r="31" spans="1:2" s="1593" customFormat="1">
      <c r="A31" s="1591" t="s">
        <v>1270</v>
      </c>
      <c r="B31" s="1592">
        <f ca="1">'预评函-2'!D15</f>
        <v>11298</v>
      </c>
    </row>
    <row r="32" spans="1:2" s="1593" customFormat="1">
      <c r="A32" s="1591" t="s">
        <v>1237</v>
      </c>
      <c r="B32" s="1592" t="str">
        <f ca="1">'预评函-2'!D14</f>
        <v>捌亿陆仟肆佰伍拾陆万元整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山东省青岛市黄岛区开发区汉江路3号万达广场全幢、地下房地产</v>
      </c>
    </row>
    <row r="42" spans="1:2" s="1593" customFormat="1" ht="31.2">
      <c r="A42" s="1591" t="s">
        <v>1284</v>
      </c>
      <c r="B42" s="1592" t="str">
        <f>'预评函-3'!B2</f>
        <v>建筑面积</v>
      </c>
    </row>
    <row r="43" spans="1:2" s="1593" customFormat="1">
      <c r="A43" s="1591" t="s">
        <v>1285</v>
      </c>
      <c r="B43" s="1592">
        <f>'预评函-3'!B4</f>
        <v>76522.880000000005</v>
      </c>
    </row>
    <row r="44" spans="1:2" s="1593" customFormat="1" ht="31.2">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f ca="1">'预评函-3'!D4</f>
        <v>32940</v>
      </c>
    </row>
    <row r="48" spans="1:2" s="1593" customFormat="1">
      <c r="A48" s="1591" t="s">
        <v>1243</v>
      </c>
      <c r="B48" s="1592">
        <f ca="1">'预评函-3'!E4</f>
        <v>4305</v>
      </c>
    </row>
    <row r="49" spans="1:2" s="1593" customFormat="1">
      <c r="A49" s="1591" t="s">
        <v>1244</v>
      </c>
      <c r="B49" s="1592" t="str">
        <f ca="1">'预评函-3'!D5</f>
        <v>叁亿贰仟玖佰肆拾万元整</v>
      </c>
    </row>
    <row r="50" spans="1:2" s="1593" customFormat="1">
      <c r="A50" s="1591" t="s">
        <v>1268</v>
      </c>
      <c r="B50" s="1592" t="str">
        <f>'预评函-3'!F2</f>
        <v>在建建筑物价值</v>
      </c>
    </row>
    <row r="51" spans="1:2" s="1593" customFormat="1">
      <c r="A51" s="1591" t="s">
        <v>1245</v>
      </c>
      <c r="B51" s="1592">
        <f ca="1">'预评函-3'!F4</f>
        <v>53516</v>
      </c>
    </row>
    <row r="52" spans="1:2" s="1593" customFormat="1">
      <c r="A52" s="1591" t="s">
        <v>1246</v>
      </c>
      <c r="B52" s="1592">
        <f ca="1">'预评函-3'!G4</f>
        <v>6993</v>
      </c>
    </row>
    <row r="53" spans="1:2" s="1593" customFormat="1">
      <c r="A53" s="1591" t="s">
        <v>1274</v>
      </c>
      <c r="B53" s="1592" t="str">
        <f ca="1">'预评函-3'!F5</f>
        <v>伍亿叁仟伍佰壹拾陆万元整</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6.2" thickBot="1">
      <c r="A57" s="1594" t="s">
        <v>1293</v>
      </c>
      <c r="B57" s="1595" t="str">
        <f>'预评函-3'!A6</f>
        <v>估价师知悉的法定优先受偿款</v>
      </c>
    </row>
    <row r="58" spans="1:2" s="1590" customFormat="1" ht="16.2"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6.2" thickBot="1">
      <c r="A69" s="1594" t="s">
        <v>1255</v>
      </c>
      <c r="B69" s="1596">
        <f>'预评函-4'!C31</f>
        <v>42551</v>
      </c>
    </row>
    <row r="70" spans="1:2" ht="16.2" thickTop="1">
      <c r="A70" s="1597" t="s">
        <v>1256</v>
      </c>
      <c r="B70" s="1598" t="str">
        <f>'预评函-4'!A4</f>
        <v>吴薇</v>
      </c>
    </row>
    <row r="71" spans="1:2">
      <c r="A71" s="1591" t="s">
        <v>1257</v>
      </c>
      <c r="B71" s="1592">
        <f ca="1">'预评函-4'!B4</f>
        <v>1419970001</v>
      </c>
    </row>
    <row r="72" spans="1:2">
      <c r="A72" s="1591" t="s">
        <v>1258</v>
      </c>
      <c r="B72" s="1600" t="str">
        <f>'预评函-4'!A5</f>
        <v>王鹏</v>
      </c>
    </row>
    <row r="73" spans="1:2" s="1587" customFormat="1" ht="16.2" thickBot="1">
      <c r="A73" s="1594" t="s">
        <v>1259</v>
      </c>
      <c r="B73" s="1595">
        <f ca="1">'预评函-4'!B5</f>
        <v>1120050019</v>
      </c>
    </row>
    <row r="74" spans="1:2" ht="16.2"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66" t="str">
        <f>项目基本情况!B1</f>
        <v>山东省青岛市黄岛区开发区汉江路3号万达广场全幢、地下房地产抵押价值预评估</v>
      </c>
      <c r="C37" s="2966"/>
      <c r="D37" s="2966"/>
      <c r="E37" s="2966"/>
      <c r="F37" s="2966"/>
      <c r="G37" s="2966"/>
      <c r="H37" s="2966"/>
      <c r="I37" s="2966"/>
    </row>
    <row r="38" spans="1:9">
      <c r="A38" s="1016"/>
      <c r="B38" s="1016"/>
    </row>
    <row r="39" spans="1:9">
      <c r="A39" s="1014" t="s">
        <v>818</v>
      </c>
      <c r="B39" s="1014" t="s">
        <v>820</v>
      </c>
    </row>
    <row r="40" spans="1:9">
      <c r="A40" s="1014"/>
      <c r="B40" s="1941">
        <f>项目基本情况!B5</f>
        <v>0</v>
      </c>
    </row>
    <row r="41" spans="1:9">
      <c r="A41" s="1014"/>
      <c r="B41" s="1014"/>
    </row>
    <row r="42" spans="1:9">
      <c r="A42" s="1014" t="s">
        <v>818</v>
      </c>
      <c r="B42" s="1014" t="s">
        <v>821</v>
      </c>
    </row>
    <row r="43" spans="1:9">
      <c r="A43" s="1014"/>
      <c r="B43" s="1941" t="s">
        <v>822</v>
      </c>
    </row>
    <row r="44" spans="1:9">
      <c r="A44" s="1014"/>
      <c r="B44" s="1014"/>
    </row>
    <row r="45" spans="1:9">
      <c r="A45" s="1014" t="s">
        <v>818</v>
      </c>
      <c r="B45" s="1014" t="s">
        <v>823</v>
      </c>
    </row>
    <row r="46" spans="1:9" s="1014" customFormat="1">
      <c r="B46" s="1941" t="str">
        <f ca="1">项目基本情况!K4</f>
        <v>吴薇（注册号：1419970001)、王鹏（注册号：1120050019)</v>
      </c>
    </row>
    <row r="47" spans="1:9">
      <c r="A47" s="1014"/>
      <c r="B47" s="1014" t="str">
        <f>项目基本情况!K5</f>
        <v/>
      </c>
    </row>
    <row r="48" spans="1:9">
      <c r="A48" s="1014" t="s">
        <v>818</v>
      </c>
      <c r="B48" s="1014" t="s">
        <v>824</v>
      </c>
    </row>
    <row r="49" spans="2:2">
      <c r="B49" s="1941"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4" customWidth="1"/>
    <col min="2" max="16384" width="9" style="1944"/>
  </cols>
  <sheetData>
    <row r="1" spans="1:1" ht="22.8">
      <c r="A1" s="1943" t="s">
        <v>1606</v>
      </c>
    </row>
    <row r="2" spans="1:1">
      <c r="A2" s="1945"/>
    </row>
    <row r="3" spans="1:1" ht="17.399999999999999">
      <c r="A3" s="1946" t="str">
        <f>项目基本情况!B5&amp;"："</f>
        <v>：</v>
      </c>
    </row>
    <row r="4" spans="1:1" ht="34.799999999999997">
      <c r="A4" s="1947" t="str">
        <f>"受贵公司委托，我公司对"&amp;项目基本情况!S1&amp;"进行了预评估。"</f>
        <v>受贵公司委托，我公司对山东省青岛市黄岛区开发区汉江路3号万达广场全幢、地下房地产抵押价值进行了预评估。</v>
      </c>
    </row>
    <row r="5" spans="1:1" ht="17.399999999999999">
      <c r="A5" s="1948" t="s">
        <v>1607</v>
      </c>
    </row>
    <row r="6" spans="1:1" ht="17.399999999999999">
      <c r="A6" s="1949" t="s">
        <v>1608</v>
      </c>
    </row>
    <row r="7" spans="1:1" ht="69.599999999999994">
      <c r="A7" s="194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山东省青岛市黄岛区开发区汉江路3号万达广场全幢、地下房地产，为青岛融创游艇产业投资有限公司所有。根据《国有土地使用证》[]，估价对象（分摊）出让国有建设用地使用权面积为0平方米，建筑面积为76522.88平方米。</v>
      </c>
    </row>
    <row r="8" spans="1:1" ht="54.6">
      <c r="A8" s="1950" t="s">
        <v>1609</v>
      </c>
    </row>
    <row r="9" spans="1:1" ht="17.399999999999999">
      <c r="A9" s="1949" t="s">
        <v>1610</v>
      </c>
    </row>
    <row r="10" spans="1:1" ht="69.599999999999994">
      <c r="A10" s="194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山东省青岛市黄岛区开发区汉江路3号万达广场全幢、地下房地产,属青岛融创游艇产业投资有限公司开发建设的商业项目，该项目尚在开发建设中。根据《国有土地使用证》[]，估价对象（分摊）出让国有建设用地使用权面积为0平方米，规划建筑面积为76522.88平方米。</v>
      </c>
    </row>
    <row r="11" spans="1:1" ht="72">
      <c r="A11" s="1950" t="s">
        <v>1611</v>
      </c>
    </row>
    <row r="12" spans="1:1" ht="17.399999999999999">
      <c r="A12" s="1948" t="s">
        <v>1612</v>
      </c>
    </row>
    <row r="13" spans="1:1" ht="38.25" customHeight="1">
      <c r="A13" s="1951" t="str">
        <f>IF(项目基本情况!B8="抵押",IF(项目基本情况!B5=项目基本情况!B6,定义!C51,定义!B51),定义!D51)</f>
        <v>拟使用山东省青岛市黄岛区开发区汉江路3号万达广场全幢、地下房地产作为抵押担保物，向办理贷款手续。特委托北京康正宏基房地产评估有限公司对上述抵押物进行评估。本次评估为确定房地产抵押贷款额度提供参考依据而评估房地产抵押价值。</v>
      </c>
    </row>
    <row r="14" spans="1:1" ht="17.399999999999999">
      <c r="A14" s="1952" t="s">
        <v>1613</v>
      </c>
    </row>
    <row r="15" spans="1:1" ht="17.399999999999999">
      <c r="A15" s="1953" t="str">
        <f>TEXT(项目基本情况!D3,"yyyy年m月d日;;")&amp;IF(项目基本情况!D3=项目基本情况!B3,"（评估专业人员实地查勘之日）","")</f>
        <v>2019年8月15日（评估专业人员实地查勘之日）</v>
      </c>
    </row>
    <row r="16" spans="1:1" ht="17.399999999999999">
      <c r="A16" s="1952" t="s">
        <v>1614</v>
      </c>
    </row>
    <row r="17" spans="1:1" ht="69.599999999999994">
      <c r="A17" s="1947" t="s">
        <v>1615</v>
      </c>
    </row>
    <row r="18" spans="1:1" ht="69.599999999999994">
      <c r="A18" s="194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15日，估价对象规划用途为，土地取得方式为出让，出让国有建设用地使用权剩余土地使用年限为，假定未设立法定优先受偿款下的房地产市场价值。</v>
      </c>
    </row>
    <row r="19" spans="1:1" ht="157.5" customHeight="1">
      <c r="A19" s="194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94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952" t="s">
        <v>1604</v>
      </c>
    </row>
    <row r="24" spans="1:1" ht="17.399999999999999">
      <c r="A24" s="1954" t="str">
        <f>"本次评估采用的主估价方法为"&amp;结果表!K4&amp;"和"&amp;结果表!L4&amp;"。"</f>
        <v>本次评估采用的主估价方法为成本法和收益法。</v>
      </c>
    </row>
    <row r="25" spans="1:1" ht="17.399999999999999">
      <c r="A25" s="1954"/>
    </row>
    <row r="26" spans="1:1" ht="17.399999999999999">
      <c r="A26" s="1955" t="s">
        <v>1605</v>
      </c>
    </row>
    <row r="27" spans="1:1">
      <c r="A27" s="1956"/>
    </row>
    <row r="28" spans="1:1">
      <c r="A28" s="1956"/>
    </row>
    <row r="29" spans="1:1">
      <c r="A29" s="1956"/>
    </row>
    <row r="30" spans="1:1">
      <c r="A30" s="1956"/>
    </row>
    <row r="31" spans="1:1">
      <c r="A31" s="1956"/>
    </row>
    <row r="32" spans="1:1">
      <c r="A32" s="1956"/>
    </row>
    <row r="33" spans="1:1">
      <c r="A33" s="1956"/>
    </row>
    <row r="34" spans="1:1">
      <c r="A34" s="1956"/>
    </row>
    <row r="35" spans="1:1">
      <c r="A35" s="1956"/>
    </row>
    <row r="36" spans="1:1">
      <c r="A36" s="1956"/>
    </row>
    <row r="37" spans="1:1">
      <c r="A37" s="1956"/>
    </row>
    <row r="38" spans="1:1">
      <c r="A38" s="1956"/>
    </row>
    <row r="39" spans="1:1">
      <c r="A39" s="1956"/>
    </row>
    <row r="40" spans="1:1">
      <c r="A40" s="1956"/>
    </row>
    <row r="41" spans="1:1">
      <c r="A41" s="1956"/>
    </row>
    <row r="42" spans="1:1">
      <c r="A42" s="1956"/>
    </row>
    <row r="43" spans="1:1">
      <c r="A43" s="1956"/>
    </row>
    <row r="44" spans="1:1">
      <c r="A44" s="1956"/>
    </row>
    <row r="45" spans="1:1">
      <c r="A45" s="1956"/>
    </row>
    <row r="46" spans="1:1">
      <c r="A46" s="1956"/>
    </row>
    <row r="47" spans="1:1">
      <c r="A47" s="1956"/>
    </row>
    <row r="48" spans="1:1">
      <c r="A48" s="1956"/>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59" customWidth="1"/>
    <col min="2" max="2" width="37.21875" style="1959" customWidth="1"/>
    <col min="3" max="3" width="11.33203125" style="1959" customWidth="1"/>
    <col min="4" max="4" width="31.77734375" style="1959" customWidth="1"/>
    <col min="5" max="5" width="0.44140625" style="1959" customWidth="1"/>
    <col min="6" max="7" width="13" style="1959" customWidth="1"/>
    <col min="8" max="16384" width="9" style="1959"/>
  </cols>
  <sheetData>
    <row r="1" spans="1:5" ht="17.399999999999999">
      <c r="A1" s="1957" t="s">
        <v>1616</v>
      </c>
      <c r="B1" s="1958"/>
      <c r="C1" s="1958"/>
      <c r="D1" s="1958"/>
      <c r="E1" s="1958"/>
    </row>
    <row r="2" spans="1:5" ht="78" customHeight="1">
      <c r="A2" s="297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1"/>
      <c r="C2" s="2971"/>
      <c r="D2" s="2971"/>
      <c r="E2" s="2971"/>
    </row>
    <row r="3" spans="1:5" ht="17.399999999999999">
      <c r="A3" s="2972" t="str">
        <f>IF(项目基本情况!B9="房地产市场价值","估价结果一览表（市场价值不需“结果表-1”）","估价结果一览表")</f>
        <v>估价结果一览表</v>
      </c>
      <c r="B3" s="2972"/>
      <c r="C3" s="2972"/>
      <c r="D3" s="2972"/>
      <c r="E3" s="2972"/>
    </row>
    <row r="4" spans="1:5" ht="18" thickBot="1">
      <c r="A4" s="1960"/>
      <c r="B4" s="2970" t="s">
        <v>1625</v>
      </c>
      <c r="C4" s="2970"/>
      <c r="D4" s="2970"/>
      <c r="E4" s="1960"/>
    </row>
    <row r="5" spans="1:5" ht="16.2" thickTop="1">
      <c r="A5" s="1958"/>
      <c r="B5" s="2968" t="s">
        <v>1617</v>
      </c>
      <c r="C5" s="1961" t="s">
        <v>1618</v>
      </c>
      <c r="D5" s="1040">
        <f ca="1">结果表!H101</f>
        <v>86456</v>
      </c>
      <c r="E5" s="1958"/>
    </row>
    <row r="6" spans="1:5" ht="15.6">
      <c r="A6" s="1958"/>
      <c r="B6" s="2968"/>
      <c r="C6" s="1961" t="s">
        <v>1619</v>
      </c>
      <c r="D6" s="1040" t="str">
        <f ca="1">NUMBERSTRING(INT(D5*10000),2)&amp;"元整"</f>
        <v>捌亿陆仟肆佰伍拾陆万元整</v>
      </c>
      <c r="E6" s="1958"/>
    </row>
    <row r="7" spans="1:5" ht="15.6">
      <c r="A7" s="1958"/>
      <c r="B7" s="2973"/>
      <c r="C7" s="1962" t="s">
        <v>1620</v>
      </c>
      <c r="D7" s="1041">
        <f ca="1">结果表!H102</f>
        <v>11298</v>
      </c>
      <c r="E7" s="1958"/>
    </row>
    <row r="8" spans="1:5" ht="15.6">
      <c r="A8" s="1958"/>
      <c r="B8" s="2974" t="str">
        <f>结果表!E103</f>
        <v>2.估价师知悉的法定优先受偿款</v>
      </c>
      <c r="C8" s="1963" t="s">
        <v>1621</v>
      </c>
      <c r="D8" s="1041">
        <f>结果表!H103</f>
        <v>0</v>
      </c>
      <c r="E8" s="1958"/>
    </row>
    <row r="9" spans="1:5" ht="15.6">
      <c r="A9" s="1958"/>
      <c r="B9" s="2976"/>
      <c r="C9" s="1961" t="s">
        <v>1619</v>
      </c>
      <c r="D9" s="1040" t="str">
        <f>NUMBERSTRING(INT(D8*10000),2)&amp;"元整"</f>
        <v>零元整</v>
      </c>
      <c r="E9" s="1958"/>
    </row>
    <row r="10" spans="1:5" ht="15.6">
      <c r="A10" s="1958"/>
      <c r="B10" s="1964" t="s">
        <v>1624</v>
      </c>
      <c r="C10" s="1965" t="s">
        <v>1622</v>
      </c>
      <c r="D10" s="1042">
        <f>结果表!H104</f>
        <v>0</v>
      </c>
      <c r="E10" s="1958"/>
    </row>
    <row r="11" spans="1:5" ht="15.6">
      <c r="A11" s="1958"/>
      <c r="B11" s="1964" t="s">
        <v>1626</v>
      </c>
      <c r="C11" s="1965" t="s">
        <v>1627</v>
      </c>
      <c r="D11" s="1042">
        <f>结果表!H105</f>
        <v>0</v>
      </c>
      <c r="E11" s="1958"/>
    </row>
    <row r="12" spans="1:5" ht="15.6">
      <c r="A12" s="1958"/>
      <c r="B12" s="1964" t="s">
        <v>1628</v>
      </c>
      <c r="C12" s="1965" t="s">
        <v>1627</v>
      </c>
      <c r="D12" s="1042">
        <f>结果表!H106</f>
        <v>0</v>
      </c>
      <c r="E12" s="1958"/>
    </row>
    <row r="13" spans="1:5" ht="15.6">
      <c r="A13" s="1958"/>
      <c r="B13" s="2967" t="str">
        <f>结果表!E107</f>
        <v>3.房地产抵押价值</v>
      </c>
      <c r="C13" s="1966" t="s">
        <v>1618</v>
      </c>
      <c r="D13" s="1043">
        <f ca="1">结果表!H107</f>
        <v>86456</v>
      </c>
      <c r="E13" s="1958"/>
    </row>
    <row r="14" spans="1:5" ht="15.6">
      <c r="A14" s="1958"/>
      <c r="B14" s="2968"/>
      <c r="C14" s="1961" t="s">
        <v>1619</v>
      </c>
      <c r="D14" s="1040" t="str">
        <f ca="1">NUMBERSTRING(INT(D13*10000),2)&amp;"元整"</f>
        <v>捌亿陆仟肆佰伍拾陆万元整</v>
      </c>
      <c r="E14" s="1958"/>
    </row>
    <row r="15" spans="1:5" ht="15.6">
      <c r="A15" s="1958"/>
      <c r="B15" s="2973"/>
      <c r="C15" s="1962" t="s">
        <v>1629</v>
      </c>
      <c r="D15" s="1052">
        <f ca="1">结果表!H108</f>
        <v>11298</v>
      </c>
      <c r="E15" s="1958"/>
    </row>
    <row r="16" spans="1:5" ht="15.6">
      <c r="A16" s="1958"/>
      <c r="B16" s="2974" t="str">
        <f>结果表!E109</f>
        <v>——</v>
      </c>
      <c r="C16" s="1966" t="s">
        <v>1630</v>
      </c>
      <c r="D16" s="1967" t="str">
        <f>结果表!H109</f>
        <v>——</v>
      </c>
      <c r="E16" s="1958"/>
    </row>
    <row r="17" spans="1:5" ht="15.6">
      <c r="A17" s="1958"/>
      <c r="B17" s="2975"/>
      <c r="C17" s="1961" t="s">
        <v>1631</v>
      </c>
      <c r="D17" s="1040" t="e">
        <f>NUMBERSTRING(INT(D16*10000),2)&amp;"元整"</f>
        <v>#VALUE!</v>
      </c>
      <c r="E17" s="1958"/>
    </row>
    <row r="18" spans="1:5" ht="15.6">
      <c r="A18" s="1958"/>
      <c r="B18" s="2976"/>
      <c r="C18" s="1962" t="s">
        <v>1620</v>
      </c>
      <c r="D18" s="1052" t="str">
        <f>结果表!H110</f>
        <v>——</v>
      </c>
      <c r="E18" s="1958"/>
    </row>
    <row r="19" spans="1:5" ht="15.6">
      <c r="A19" s="1958"/>
      <c r="B19" s="2967" t="str">
        <f>结果表!E111</f>
        <v>——</v>
      </c>
      <c r="C19" s="1966" t="s">
        <v>1618</v>
      </c>
      <c r="D19" s="1041" t="str">
        <f>结果表!H111</f>
        <v>——</v>
      </c>
      <c r="E19" s="1958"/>
    </row>
    <row r="20" spans="1:5" ht="15.6">
      <c r="A20" s="1958"/>
      <c r="B20" s="2968"/>
      <c r="C20" s="1961" t="s">
        <v>1631</v>
      </c>
      <c r="D20" s="1040" t="e">
        <f>NUMBERSTRING(INT(D19*10000),2)&amp;"元整"</f>
        <v>#VALUE!</v>
      </c>
      <c r="E20" s="1958"/>
    </row>
    <row r="21" spans="1:5" ht="16.2" thickBot="1">
      <c r="A21" s="1958"/>
      <c r="B21" s="2969"/>
      <c r="C21" s="1968" t="s">
        <v>1629</v>
      </c>
      <c r="D21" s="1053" t="str">
        <f>结果表!H112</f>
        <v>——</v>
      </c>
      <c r="E21" s="1958"/>
    </row>
    <row r="22" spans="1:5" ht="14.4" thickTop="1">
      <c r="A22" s="1958"/>
      <c r="B22" s="1969" t="s">
        <v>1632</v>
      </c>
      <c r="C22" s="1958"/>
      <c r="D22" s="1958"/>
      <c r="E22" s="1958"/>
    </row>
    <row r="23" spans="1:5">
      <c r="A23" s="1958"/>
      <c r="B23" s="1958"/>
      <c r="C23" s="1958"/>
      <c r="D23" s="1958"/>
      <c r="E23" s="1958"/>
    </row>
    <row r="24" spans="1:5" ht="17.399999999999999">
      <c r="A24" s="1970"/>
      <c r="B24" s="1971" t="s">
        <v>1623</v>
      </c>
      <c r="C24" s="1970"/>
      <c r="D24" s="1970"/>
      <c r="E24" s="1970"/>
    </row>
    <row r="25" spans="1:5">
      <c r="A25" s="1970"/>
      <c r="B25" s="1970"/>
      <c r="C25" s="1970"/>
      <c r="D25" s="1970"/>
      <c r="E25" s="1970"/>
    </row>
    <row r="26" spans="1:5">
      <c r="A26" s="1970"/>
      <c r="B26" s="1970"/>
      <c r="C26" s="1970"/>
      <c r="D26" s="1970"/>
      <c r="E26" s="1970"/>
    </row>
    <row r="27" spans="1:5">
      <c r="A27" s="1970"/>
      <c r="B27" s="1970"/>
      <c r="C27" s="1970"/>
      <c r="D27" s="1970"/>
      <c r="E27" s="1970"/>
    </row>
    <row r="28" spans="1:5">
      <c r="A28" s="1970"/>
      <c r="B28" s="1970"/>
      <c r="C28" s="1970"/>
      <c r="D28" s="1970"/>
      <c r="E28" s="1970"/>
    </row>
    <row r="29" spans="1:5">
      <c r="A29" s="1970"/>
      <c r="B29" s="1970"/>
      <c r="C29" s="1970"/>
      <c r="D29" s="1970"/>
      <c r="E29" s="1970"/>
    </row>
    <row r="30" spans="1:5">
      <c r="A30" s="1970"/>
      <c r="B30" s="1970"/>
      <c r="C30" s="1970"/>
      <c r="D30" s="1970"/>
      <c r="E30" s="1970"/>
    </row>
    <row r="31" spans="1:5">
      <c r="A31" s="1970"/>
      <c r="B31" s="1970"/>
      <c r="C31" s="1970"/>
      <c r="D31" s="1970"/>
      <c r="E31" s="1970"/>
    </row>
    <row r="32" spans="1:5">
      <c r="A32" s="1970"/>
      <c r="B32" s="1970"/>
      <c r="C32" s="1970"/>
      <c r="D32" s="1970"/>
      <c r="E32" s="1970"/>
    </row>
    <row r="33" spans="1:5">
      <c r="A33" s="1970"/>
      <c r="B33" s="1970"/>
      <c r="C33" s="1970"/>
      <c r="D33" s="1970"/>
      <c r="E33" s="1970"/>
    </row>
    <row r="34" spans="1:5">
      <c r="A34" s="1970"/>
      <c r="B34" s="1970"/>
      <c r="C34" s="1970"/>
      <c r="D34" s="1970"/>
      <c r="E34" s="1970"/>
    </row>
    <row r="35" spans="1:5">
      <c r="A35" s="1970"/>
      <c r="B35" s="1970"/>
      <c r="C35" s="1970"/>
      <c r="D35" s="1970"/>
      <c r="E35" s="1970"/>
    </row>
    <row r="36" spans="1:5">
      <c r="A36" s="1970"/>
      <c r="B36" s="1970"/>
      <c r="C36" s="1970"/>
      <c r="D36" s="1970"/>
      <c r="E36" s="1970"/>
    </row>
    <row r="37" spans="1:5">
      <c r="A37" s="1970"/>
      <c r="B37" s="1970"/>
      <c r="C37" s="1970"/>
      <c r="D37" s="1970"/>
      <c r="E37" s="1970"/>
    </row>
    <row r="38" spans="1:5">
      <c r="A38" s="1970"/>
      <c r="B38" s="1970"/>
      <c r="C38" s="1970"/>
      <c r="D38" s="1970"/>
      <c r="E38" s="1970"/>
    </row>
    <row r="39" spans="1:5">
      <c r="A39" s="1970"/>
      <c r="B39" s="1970"/>
      <c r="C39" s="1970"/>
      <c r="D39" s="1970"/>
      <c r="E39" s="1970"/>
    </row>
    <row r="40" spans="1:5">
      <c r="A40" s="1970"/>
      <c r="B40" s="1970"/>
      <c r="C40" s="1970"/>
      <c r="D40" s="1970"/>
      <c r="E40" s="1970"/>
    </row>
    <row r="41" spans="1:5">
      <c r="A41" s="1970"/>
      <c r="B41" s="1970"/>
      <c r="C41" s="1970"/>
      <c r="D41" s="1970"/>
      <c r="E41" s="1970"/>
    </row>
    <row r="42" spans="1:5">
      <c r="A42" s="1970"/>
      <c r="B42" s="1970"/>
      <c r="C42" s="1970"/>
      <c r="D42" s="1970"/>
      <c r="E42" s="197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4" customWidth="1"/>
    <col min="2" max="9" width="12.109375" style="1944" customWidth="1"/>
    <col min="10" max="16384" width="9" style="1944"/>
  </cols>
  <sheetData>
    <row r="1" spans="1:9" ht="18" thickBot="1">
      <c r="A1" s="2977" t="str">
        <f>IF(项目基本情况!B9="房地产市场价值","估价结果一览表","结果表-2")</f>
        <v>结果表-2</v>
      </c>
      <c r="B1" s="2977"/>
      <c r="C1" s="2977"/>
      <c r="D1" s="2977"/>
      <c r="E1" s="2977"/>
      <c r="F1" s="2977"/>
      <c r="G1" s="2977"/>
      <c r="H1" s="2977"/>
      <c r="I1" s="2977"/>
    </row>
    <row r="2" spans="1:9" ht="30" customHeight="1" thickTop="1">
      <c r="A2" s="2978" t="s">
        <v>1636</v>
      </c>
      <c r="B2" s="2978" t="s">
        <v>1637</v>
      </c>
      <c r="C2" s="2978" t="s">
        <v>1638</v>
      </c>
      <c r="D2" s="2978" t="str">
        <f>结果表!D116</f>
        <v>出让国有建设用地使用权价值</v>
      </c>
      <c r="E2" s="2978"/>
      <c r="F2" s="2978" t="str">
        <f>结果表!F116</f>
        <v>在建建筑物价值</v>
      </c>
      <c r="G2" s="2978"/>
      <c r="H2" s="2978" t="str">
        <f>IF(项目基本情况!B9="房地产市场价值","房地产市场价值","房地产价值")</f>
        <v>房地产价值</v>
      </c>
      <c r="I2" s="2978"/>
    </row>
    <row r="3" spans="1:9" ht="15.6">
      <c r="A3" s="2979"/>
      <c r="B3" s="2979"/>
      <c r="C3" s="2979"/>
      <c r="D3" s="1044" t="s">
        <v>1633</v>
      </c>
      <c r="E3" s="1044" t="s">
        <v>1639</v>
      </c>
      <c r="F3" s="1044" t="s">
        <v>1633</v>
      </c>
      <c r="G3" s="1044" t="s">
        <v>1634</v>
      </c>
      <c r="H3" s="1044" t="s">
        <v>1633</v>
      </c>
      <c r="I3" s="1044" t="s">
        <v>1634</v>
      </c>
    </row>
    <row r="4" spans="1:9" ht="45">
      <c r="A4" s="1972" t="str">
        <f>项目基本情况!S2</f>
        <v>山东省青岛市黄岛区开发区汉江路3号万达广场全幢、地下房地产</v>
      </c>
      <c r="B4" s="1044">
        <f>项目基本情况!C17</f>
        <v>76522.880000000005</v>
      </c>
      <c r="C4" s="1044">
        <f>项目基本情况!C18</f>
        <v>0</v>
      </c>
      <c r="D4" s="1044">
        <f ca="1">结果表!D118</f>
        <v>32940</v>
      </c>
      <c r="E4" s="1044">
        <f ca="1">结果表!E118</f>
        <v>4305</v>
      </c>
      <c r="F4" s="1044">
        <f ca="1">结果表!F118</f>
        <v>53516</v>
      </c>
      <c r="G4" s="1044">
        <f ca="1">结果表!G118</f>
        <v>6993</v>
      </c>
      <c r="H4" s="1044">
        <f ca="1">结果表!H118</f>
        <v>86456</v>
      </c>
      <c r="I4" s="1044">
        <f ca="1">结果表!I118</f>
        <v>11298</v>
      </c>
    </row>
    <row r="5" spans="1:9" ht="30" customHeight="1">
      <c r="A5" s="2979" t="s">
        <v>1635</v>
      </c>
      <c r="B5" s="2979"/>
      <c r="C5" s="2979"/>
      <c r="D5" s="2980" t="str">
        <f ca="1">结果表!D119</f>
        <v>叁亿贰仟玖佰肆拾万元整</v>
      </c>
      <c r="E5" s="2980"/>
      <c r="F5" s="2980" t="str">
        <f ca="1">结果表!F119</f>
        <v>伍亿叁仟伍佰壹拾陆万元整</v>
      </c>
      <c r="G5" s="2980"/>
      <c r="H5" s="2980" t="str">
        <f ca="1">结果表!H119</f>
        <v>捌亿陆仟肆佰伍拾陆万元整</v>
      </c>
      <c r="I5" s="2980"/>
    </row>
    <row r="6" spans="1:9" ht="15.6">
      <c r="A6" s="2981" t="str">
        <f>结果表!A120</f>
        <v>估价师知悉的法定优先受偿款</v>
      </c>
      <c r="B6" s="2981"/>
      <c r="C6" s="2981"/>
      <c r="D6" s="2981">
        <f>结果表!D120</f>
        <v>0</v>
      </c>
      <c r="E6" s="2981"/>
      <c r="F6" s="2981"/>
      <c r="G6" s="2981"/>
      <c r="H6" s="2981"/>
      <c r="I6" s="2981"/>
    </row>
    <row r="7" spans="1:9" ht="15">
      <c r="A7" s="2979" t="s">
        <v>1635</v>
      </c>
      <c r="B7" s="2979"/>
      <c r="C7" s="2979"/>
      <c r="D7" s="2982" t="str">
        <f>结果表!D121</f>
        <v>零元整</v>
      </c>
      <c r="E7" s="2983"/>
      <c r="F7" s="2983"/>
      <c r="G7" s="2983"/>
      <c r="H7" s="2983"/>
      <c r="I7" s="2984"/>
    </row>
    <row r="8" spans="1:9" ht="15.6">
      <c r="A8" s="2981" t="str">
        <f>结果表!A122</f>
        <v>房地产抵押价值</v>
      </c>
      <c r="B8" s="2981"/>
      <c r="C8" s="2981"/>
      <c r="D8" s="2981">
        <f ca="1">结果表!D122</f>
        <v>86456</v>
      </c>
      <c r="E8" s="2981"/>
      <c r="F8" s="2981"/>
      <c r="G8" s="2981"/>
      <c r="H8" s="2981"/>
      <c r="I8" s="2981"/>
    </row>
    <row r="9" spans="1:9" ht="15">
      <c r="A9" s="2979" t="s">
        <v>1635</v>
      </c>
      <c r="B9" s="2979"/>
      <c r="C9" s="2979"/>
      <c r="D9" s="2980" t="str">
        <f ca="1">结果表!D123</f>
        <v>捌亿陆仟肆佰伍拾陆万元整</v>
      </c>
      <c r="E9" s="2980"/>
      <c r="F9" s="2980"/>
      <c r="G9" s="2980"/>
      <c r="H9" s="2980"/>
      <c r="I9" s="2980"/>
    </row>
    <row r="10" spans="1:9" ht="15.6">
      <c r="A10" s="2981" t="str">
        <f>结果表!A124</f>
        <v/>
      </c>
      <c r="B10" s="2981"/>
      <c r="C10" s="2981"/>
      <c r="D10" s="2981" t="str">
        <f>结果表!D124</f>
        <v>——</v>
      </c>
      <c r="E10" s="2981"/>
      <c r="F10" s="2981"/>
      <c r="G10" s="2981"/>
      <c r="H10" s="2981"/>
      <c r="I10" s="2981"/>
    </row>
    <row r="11" spans="1:9" ht="15">
      <c r="A11" s="2979" t="s">
        <v>1635</v>
      </c>
      <c r="B11" s="2979"/>
      <c r="C11" s="2979"/>
      <c r="D11" s="2980" t="e">
        <f>结果表!D125</f>
        <v>#VALUE!</v>
      </c>
      <c r="E11" s="2980"/>
      <c r="F11" s="2980"/>
      <c r="G11" s="2980"/>
      <c r="H11" s="2980"/>
      <c r="I11" s="2980"/>
    </row>
    <row r="12" spans="1:9" ht="15.6">
      <c r="A12" s="2981" t="str">
        <f>结果表!A126</f>
        <v/>
      </c>
      <c r="B12" s="2981"/>
      <c r="C12" s="2981"/>
      <c r="D12" s="2981" t="str">
        <f>结果表!D126</f>
        <v>——</v>
      </c>
      <c r="E12" s="2981"/>
      <c r="F12" s="2981"/>
      <c r="G12" s="2981"/>
      <c r="H12" s="2981"/>
      <c r="I12" s="2981"/>
    </row>
    <row r="13" spans="1:9" ht="15.6" thickBot="1">
      <c r="A13" s="2985" t="s">
        <v>1635</v>
      </c>
      <c r="B13" s="2985"/>
      <c r="C13" s="2985"/>
      <c r="D13" s="2986" t="e">
        <f>结果表!D127</f>
        <v>#VALUE!</v>
      </c>
      <c r="E13" s="2986"/>
      <c r="F13" s="2986"/>
      <c r="G13" s="2986"/>
      <c r="H13" s="2986"/>
      <c r="I13" s="2986"/>
    </row>
    <row r="14" spans="1:9" ht="14.4" thickTop="1">
      <c r="A14" s="2987" t="s">
        <v>1640</v>
      </c>
      <c r="B14" s="2987"/>
      <c r="C14" s="2987"/>
      <c r="D14" s="2987"/>
      <c r="E14" s="2987"/>
      <c r="F14" s="2987"/>
      <c r="G14" s="2987"/>
      <c r="H14" s="2987"/>
      <c r="I14" s="2987"/>
    </row>
    <row r="16" spans="1:9" ht="17.399999999999999">
      <c r="A16" s="1973" t="s">
        <v>1623</v>
      </c>
      <c r="B16" s="1956"/>
      <c r="C16" s="1956"/>
      <c r="D16" s="1956"/>
      <c r="E16" s="1956"/>
      <c r="F16" s="1956"/>
      <c r="G16" s="1956"/>
      <c r="H16" s="1956"/>
      <c r="I16" s="1956"/>
    </row>
    <row r="17" spans="1:9">
      <c r="A17" s="1956"/>
      <c r="B17" s="1956"/>
      <c r="C17" s="1956"/>
      <c r="D17" s="1956"/>
      <c r="E17" s="1956"/>
      <c r="F17" s="1956"/>
      <c r="G17" s="1956"/>
      <c r="H17" s="1956"/>
      <c r="I17" s="1956"/>
    </row>
    <row r="18" spans="1:9">
      <c r="A18" s="1956"/>
      <c r="B18" s="1956"/>
      <c r="C18" s="1956"/>
      <c r="D18" s="1956"/>
      <c r="E18" s="1956"/>
      <c r="F18" s="1956"/>
      <c r="G18" s="1956"/>
      <c r="H18" s="1956"/>
      <c r="I18" s="1956"/>
    </row>
    <row r="19" spans="1:9">
      <c r="A19" s="1956"/>
      <c r="B19" s="1956"/>
      <c r="C19" s="1956"/>
      <c r="D19" s="1956"/>
      <c r="E19" s="1956"/>
      <c r="F19" s="1956"/>
      <c r="G19" s="1956"/>
      <c r="H19" s="1956"/>
      <c r="I19" s="1956"/>
    </row>
    <row r="20" spans="1:9">
      <c r="A20" s="1956"/>
      <c r="B20" s="1956"/>
      <c r="C20" s="1956"/>
      <c r="D20" s="1956"/>
      <c r="E20" s="1956"/>
      <c r="F20" s="1956"/>
      <c r="G20" s="1956"/>
      <c r="H20" s="1956"/>
      <c r="I20" s="1956"/>
    </row>
    <row r="21" spans="1:9">
      <c r="A21" s="1956"/>
      <c r="B21" s="1956"/>
      <c r="C21" s="1956"/>
      <c r="D21" s="1956"/>
      <c r="E21" s="1956"/>
      <c r="F21" s="1956"/>
      <c r="G21" s="1956"/>
      <c r="H21" s="1956"/>
      <c r="I21" s="1956"/>
    </row>
    <row r="22" spans="1:9">
      <c r="A22" s="1956"/>
      <c r="B22" s="1956"/>
      <c r="C22" s="1956"/>
      <c r="D22" s="1956"/>
      <c r="E22" s="1956"/>
      <c r="F22" s="1956"/>
      <c r="G22" s="1956"/>
      <c r="H22" s="1956"/>
      <c r="I22" s="195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4" customWidth="1"/>
    <col min="2" max="3" width="22.33203125" style="1944" customWidth="1"/>
    <col min="4" max="4" width="23" style="1944" customWidth="1"/>
    <col min="5" max="16384" width="9" style="1944"/>
  </cols>
  <sheetData>
    <row r="1" spans="1:4" ht="17.399999999999999">
      <c r="A1" s="2988" t="s">
        <v>1657</v>
      </c>
      <c r="B1" s="2988"/>
      <c r="C1" s="2988"/>
      <c r="D1" s="2988"/>
    </row>
    <row r="2" spans="1:4" ht="17.399999999999999">
      <c r="A2" s="2989" t="s">
        <v>1641</v>
      </c>
      <c r="B2" s="2989"/>
      <c r="C2" s="2989"/>
      <c r="D2" s="2989"/>
    </row>
    <row r="3" spans="1:4" ht="17.399999999999999">
      <c r="A3" s="1976" t="s">
        <v>1642</v>
      </c>
      <c r="B3" s="1976" t="s">
        <v>1643</v>
      </c>
      <c r="C3" s="1976" t="s">
        <v>1644</v>
      </c>
      <c r="D3" s="1976" t="s">
        <v>1645</v>
      </c>
    </row>
    <row r="4" spans="1:4" ht="56.25" customHeight="1">
      <c r="A4" s="1977" t="str">
        <f>项目基本情况!B4</f>
        <v>吴薇</v>
      </c>
      <c r="B4" s="1978">
        <f ca="1">项目基本情况!C4</f>
        <v>1419970001</v>
      </c>
      <c r="C4" s="1979"/>
      <c r="D4" s="1980" t="s">
        <v>1646</v>
      </c>
    </row>
    <row r="5" spans="1:4" ht="56.25" customHeight="1">
      <c r="A5" s="1977" t="str">
        <f>项目基本情况!D4</f>
        <v>王鹏</v>
      </c>
      <c r="B5" s="1978">
        <f ca="1">项目基本情况!E4</f>
        <v>1120050019</v>
      </c>
      <c r="C5" s="1981"/>
      <c r="D5" s="1980" t="s">
        <v>1646</v>
      </c>
    </row>
    <row r="6" spans="1:4" ht="17.399999999999999">
      <c r="A6" s="2989" t="s">
        <v>1647</v>
      </c>
      <c r="B6" s="2989"/>
      <c r="C6" s="2989"/>
      <c r="D6" s="2989"/>
    </row>
    <row r="7" spans="1:4" ht="17.399999999999999">
      <c r="A7" s="1976" t="s">
        <v>1642</v>
      </c>
      <c r="B7" s="1978" t="s">
        <v>1648</v>
      </c>
      <c r="C7" s="1976" t="s">
        <v>1644</v>
      </c>
      <c r="D7" s="1976" t="s">
        <v>1645</v>
      </c>
    </row>
    <row r="8" spans="1:4" ht="56.25" customHeight="1">
      <c r="A8" s="1982" t="s">
        <v>866</v>
      </c>
      <c r="B8" s="1982" t="s">
        <v>1</v>
      </c>
      <c r="C8" s="1979"/>
      <c r="D8" s="1980" t="s">
        <v>1646</v>
      </c>
    </row>
    <row r="9" spans="1:4">
      <c r="A9" s="728"/>
      <c r="B9" s="728"/>
      <c r="C9" s="728"/>
      <c r="D9" s="728"/>
    </row>
    <row r="10" spans="1:4" ht="17.399999999999999">
      <c r="A10" s="1983" t="s">
        <v>1649</v>
      </c>
      <c r="B10" s="728"/>
      <c r="C10" s="728"/>
      <c r="D10" s="728"/>
    </row>
    <row r="11" spans="1:4" ht="30" customHeight="1">
      <c r="A11" s="2990" t="s">
        <v>1650</v>
      </c>
      <c r="B11" s="2991"/>
      <c r="C11" s="2991"/>
      <c r="D11" s="2991"/>
    </row>
    <row r="12" spans="1:4" ht="15.6">
      <c r="A12" s="299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2"/>
      <c r="C12" s="2992"/>
      <c r="D12" s="2992"/>
    </row>
    <row r="13" spans="1:4" ht="30" customHeight="1">
      <c r="A13" s="299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2"/>
      <c r="C13" s="2992"/>
      <c r="D13" s="2992"/>
    </row>
    <row r="14" spans="1:4" ht="15.75" customHeight="1">
      <c r="A14" s="2991" t="str">
        <f>IF(项目基本情况!B8="抵押","4.本次评估估价师所知悉的法定优先受偿款情况说明如下：","——")</f>
        <v>4.本次评估估价师所知悉的法定优先受偿款情况说明如下：</v>
      </c>
      <c r="B14" s="2992"/>
      <c r="C14" s="2992"/>
      <c r="D14" s="2992"/>
    </row>
    <row r="15" spans="1:4" ht="42" customHeight="1">
      <c r="A15" s="299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1"/>
      <c r="C15" s="2991"/>
      <c r="D15" s="2991"/>
    </row>
    <row r="16" spans="1:4" ht="30" customHeight="1">
      <c r="A16" s="2994" t="s">
        <v>1651</v>
      </c>
      <c r="B16" s="2994"/>
      <c r="C16" s="2994"/>
      <c r="D16" s="2994"/>
    </row>
    <row r="17" spans="1:4" ht="144" customHeight="1">
      <c r="A17" s="2994" t="s">
        <v>1652</v>
      </c>
      <c r="B17" s="2994"/>
      <c r="C17" s="2994"/>
      <c r="D17" s="2994"/>
    </row>
    <row r="18" spans="1:4" ht="15.75" customHeight="1">
      <c r="A18" s="2991" t="str">
        <f>IF(项目基本情况!B8="抵押",结果表!K120,"——")</f>
        <v>故，本次评估不存在估价师知悉的法定优先受偿款</v>
      </c>
      <c r="B18" s="2991"/>
      <c r="C18" s="2991"/>
      <c r="D18" s="2991"/>
    </row>
    <row r="19" spans="1:4" ht="46.5" customHeight="1">
      <c r="A19" s="299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1"/>
      <c r="C19" s="2991"/>
      <c r="D19" s="2991"/>
    </row>
    <row r="20" spans="1:4" ht="57.75" customHeight="1">
      <c r="A20" s="299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1"/>
      <c r="C20" s="2991"/>
      <c r="D20" s="2991"/>
    </row>
    <row r="21" spans="1:4" ht="57.75" customHeight="1">
      <c r="A21" s="299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5"/>
      <c r="C21" s="2995"/>
      <c r="D21" s="2995"/>
    </row>
    <row r="22" spans="1:4" ht="18.75" customHeight="1">
      <c r="A22" s="2996" t="s">
        <v>1653</v>
      </c>
      <c r="B22" s="2996"/>
      <c r="C22" s="2996"/>
      <c r="D22" s="2996"/>
    </row>
    <row r="23" spans="1:4">
      <c r="A23" s="1984"/>
      <c r="B23" s="1956"/>
      <c r="C23" s="1956"/>
      <c r="D23" s="1956"/>
    </row>
    <row r="24" spans="1:4">
      <c r="A24" s="1984"/>
      <c r="B24" s="1956"/>
      <c r="C24" s="1956"/>
      <c r="D24" s="1956"/>
    </row>
    <row r="25" spans="1:4" ht="17.399999999999999">
      <c r="A25" s="1985" t="s">
        <v>1654</v>
      </c>
    </row>
    <row r="26" spans="1:4" ht="17.399999999999999">
      <c r="A26" s="1954"/>
    </row>
    <row r="27" spans="1:4" ht="17.399999999999999">
      <c r="A27" s="1954" t="s">
        <v>1655</v>
      </c>
    </row>
    <row r="30" spans="1:4" ht="17.399999999999999">
      <c r="D30" s="1985" t="s">
        <v>1656</v>
      </c>
    </row>
    <row r="31" spans="1:4" ht="13.5" customHeight="1">
      <c r="C31" s="2993">
        <v>42551</v>
      </c>
      <c r="D31" s="2993"/>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2" customWidth="1"/>
    <col min="3" max="10" width="12.44140625" style="1942" customWidth="1"/>
    <col min="11" max="16384" width="9" style="1942"/>
  </cols>
  <sheetData>
    <row r="1" spans="1:10" ht="17.399999999999999">
      <c r="A1" s="1975" t="s">
        <v>867</v>
      </c>
      <c r="B1" s="1986"/>
      <c r="C1" s="1986"/>
      <c r="D1" s="1986"/>
      <c r="E1" s="1986"/>
      <c r="F1" s="1986"/>
      <c r="G1" s="1986"/>
      <c r="H1" s="1986"/>
      <c r="I1" s="1986"/>
      <c r="J1" s="1986"/>
    </row>
    <row r="2" spans="1:10" ht="17.399999999999999">
      <c r="A2" s="1987"/>
      <c r="B2" s="1986"/>
      <c r="C2" s="1986"/>
      <c r="D2" s="1986"/>
      <c r="E2" s="1986"/>
      <c r="F2" s="1986"/>
      <c r="G2" s="1986"/>
      <c r="H2" s="1986"/>
      <c r="I2" s="1986"/>
      <c r="J2" s="1986"/>
    </row>
    <row r="3" spans="1:10">
      <c r="A3" s="1986"/>
      <c r="B3" s="1986"/>
      <c r="C3" s="1986"/>
      <c r="D3" s="1986"/>
      <c r="E3" s="1986"/>
      <c r="F3" s="1986"/>
      <c r="G3" s="1986"/>
      <c r="H3" s="1986"/>
      <c r="I3" s="1986"/>
      <c r="J3" s="1986"/>
    </row>
    <row r="4" spans="1:10">
      <c r="A4" s="1986"/>
      <c r="B4" s="1986"/>
      <c r="C4" s="1986"/>
      <c r="D4" s="1986"/>
      <c r="E4" s="1986"/>
      <c r="F4" s="1986"/>
      <c r="G4" s="1986"/>
      <c r="H4" s="1986"/>
      <c r="I4" s="1986"/>
      <c r="J4" s="1986"/>
    </row>
    <row r="5" spans="1:10">
      <c r="A5" s="1986"/>
      <c r="B5" s="1986"/>
      <c r="C5" s="1986"/>
      <c r="D5" s="1986"/>
      <c r="E5" s="1986"/>
      <c r="F5" s="1986"/>
      <c r="G5" s="1986"/>
      <c r="H5" s="1986"/>
      <c r="I5" s="1986"/>
      <c r="J5" s="1986"/>
    </row>
    <row r="6" spans="1:10">
      <c r="A6" s="1986"/>
      <c r="B6" s="1986"/>
      <c r="C6" s="1986"/>
      <c r="D6" s="1986"/>
      <c r="E6" s="1986"/>
      <c r="F6" s="1986"/>
      <c r="G6" s="1986"/>
      <c r="H6" s="1986"/>
      <c r="I6" s="1986"/>
      <c r="J6" s="1986"/>
    </row>
    <row r="7" spans="1:10">
      <c r="A7" s="1986"/>
      <c r="B7" s="1986"/>
      <c r="C7" s="1986"/>
      <c r="D7" s="1986"/>
      <c r="E7" s="1986"/>
      <c r="F7" s="1986"/>
      <c r="G7" s="1986"/>
      <c r="H7" s="1986"/>
      <c r="I7" s="1986"/>
      <c r="J7" s="1986"/>
    </row>
    <row r="8" spans="1:10">
      <c r="A8" s="1986"/>
      <c r="B8" s="1986"/>
      <c r="C8" s="1986"/>
      <c r="D8" s="1986"/>
      <c r="E8" s="1986"/>
      <c r="F8" s="1986"/>
      <c r="G8" s="1986"/>
      <c r="H8" s="1986"/>
      <c r="I8" s="1986"/>
      <c r="J8" s="1986"/>
    </row>
    <row r="9" spans="1:10">
      <c r="A9" s="1986"/>
      <c r="B9" s="1986"/>
      <c r="C9" s="1986"/>
      <c r="D9" s="1986"/>
      <c r="E9" s="1986"/>
      <c r="F9" s="1986"/>
      <c r="G9" s="1986"/>
      <c r="H9" s="1986"/>
      <c r="I9" s="1986"/>
      <c r="J9" s="1986"/>
    </row>
    <row r="10" spans="1:10">
      <c r="A10" s="1986"/>
      <c r="B10" s="1986"/>
      <c r="C10" s="1986"/>
      <c r="D10" s="1986"/>
      <c r="E10" s="1986"/>
      <c r="F10" s="1986"/>
      <c r="G10" s="1986"/>
      <c r="H10" s="1986"/>
      <c r="I10" s="1986"/>
      <c r="J10" s="1986"/>
    </row>
    <row r="11" spans="1:10">
      <c r="A11" s="1986"/>
      <c r="B11" s="1986"/>
      <c r="C11" s="1986"/>
      <c r="D11" s="1986"/>
      <c r="E11" s="1986"/>
      <c r="F11" s="1986"/>
      <c r="G11" s="1986"/>
      <c r="H11" s="1986"/>
      <c r="I11" s="1986"/>
      <c r="J11" s="1986"/>
    </row>
    <row r="12" spans="1:10">
      <c r="A12" s="1986"/>
      <c r="B12" s="1986"/>
      <c r="C12" s="1986"/>
      <c r="D12" s="1986"/>
      <c r="E12" s="1986"/>
      <c r="F12" s="1986"/>
      <c r="G12" s="1986"/>
      <c r="H12" s="1986"/>
      <c r="I12" s="1986"/>
      <c r="J12" s="1986"/>
    </row>
    <row r="13" spans="1:10">
      <c r="A13" s="1986"/>
      <c r="B13" s="1986"/>
      <c r="C13" s="1986"/>
      <c r="D13" s="1986"/>
      <c r="E13" s="1986"/>
      <c r="F13" s="1986"/>
      <c r="G13" s="1986"/>
      <c r="H13" s="1986"/>
      <c r="I13" s="1986"/>
      <c r="J13" s="1986"/>
    </row>
    <row r="14" spans="1:10">
      <c r="A14" s="1986"/>
      <c r="B14" s="1986"/>
      <c r="C14" s="1986"/>
      <c r="D14" s="1986"/>
      <c r="E14" s="1986"/>
      <c r="F14" s="1986"/>
      <c r="G14" s="1986"/>
      <c r="H14" s="1986"/>
      <c r="I14" s="1986"/>
      <c r="J14" s="1986"/>
    </row>
    <row r="15" spans="1:10">
      <c r="A15" s="1986"/>
      <c r="B15" s="1986"/>
      <c r="C15" s="1986"/>
      <c r="D15" s="1986"/>
      <c r="E15" s="1986"/>
      <c r="F15" s="1986"/>
      <c r="G15" s="1986"/>
      <c r="H15" s="1986"/>
      <c r="I15" s="1986"/>
      <c r="J15" s="1986"/>
    </row>
    <row r="16" spans="1:10">
      <c r="A16" s="1986"/>
      <c r="B16" s="1986"/>
      <c r="C16" s="1986"/>
      <c r="D16" s="1986"/>
      <c r="E16" s="1986"/>
      <c r="F16" s="1986"/>
      <c r="G16" s="1986"/>
      <c r="H16" s="1986"/>
      <c r="I16" s="1986"/>
      <c r="J16" s="1986"/>
    </row>
    <row r="17" spans="1:10">
      <c r="A17" s="1986"/>
      <c r="B17" s="1986"/>
      <c r="C17" s="1986"/>
      <c r="D17" s="1986"/>
      <c r="E17" s="1986"/>
      <c r="F17" s="1986"/>
      <c r="G17" s="1986"/>
      <c r="H17" s="1986"/>
      <c r="I17" s="1986"/>
      <c r="J17" s="1986"/>
    </row>
    <row r="18" spans="1:10">
      <c r="A18" s="1986"/>
      <c r="B18" s="1986"/>
      <c r="C18" s="1986"/>
      <c r="D18" s="1986"/>
      <c r="E18" s="1986"/>
      <c r="F18" s="1986"/>
      <c r="G18" s="1986"/>
      <c r="H18" s="1986"/>
      <c r="I18" s="1986"/>
      <c r="J18" s="1986"/>
    </row>
    <row r="19" spans="1:10">
      <c r="A19" s="1986"/>
      <c r="B19" s="1986"/>
      <c r="C19" s="1986"/>
      <c r="D19" s="1986"/>
      <c r="E19" s="1986"/>
      <c r="F19" s="1986"/>
      <c r="G19" s="1986"/>
      <c r="H19" s="1986"/>
      <c r="I19" s="1986"/>
      <c r="J19" s="1986"/>
    </row>
    <row r="20" spans="1:10">
      <c r="A20" s="1986"/>
      <c r="B20" s="1986"/>
      <c r="C20" s="1986"/>
      <c r="D20" s="1986"/>
      <c r="E20" s="1986"/>
      <c r="F20" s="1986"/>
      <c r="G20" s="1986"/>
      <c r="H20" s="1986"/>
      <c r="I20" s="1986"/>
      <c r="J20" s="1986"/>
    </row>
    <row r="21" spans="1:10">
      <c r="A21" s="1986"/>
      <c r="B21" s="1986"/>
      <c r="C21" s="1986"/>
      <c r="D21" s="1986"/>
      <c r="E21" s="1986"/>
      <c r="F21" s="1986"/>
      <c r="G21" s="1986"/>
      <c r="H21" s="1986"/>
      <c r="I21" s="1986"/>
      <c r="J21" s="1986"/>
    </row>
    <row r="22" spans="1:10">
      <c r="A22" s="1986"/>
      <c r="B22" s="1986"/>
      <c r="C22" s="1986"/>
      <c r="D22" s="1986"/>
      <c r="E22" s="1986"/>
      <c r="F22" s="1986"/>
      <c r="G22" s="1986"/>
      <c r="H22" s="1986"/>
      <c r="I22" s="1986"/>
      <c r="J22" s="1986"/>
    </row>
    <row r="23" spans="1:10">
      <c r="A23" s="1986"/>
      <c r="B23" s="1986"/>
      <c r="C23" s="1986"/>
      <c r="D23" s="1986"/>
      <c r="E23" s="1986"/>
      <c r="F23" s="1986"/>
      <c r="G23" s="1986"/>
      <c r="H23" s="1986"/>
      <c r="I23" s="1986"/>
      <c r="J23" s="1986"/>
    </row>
    <row r="24" spans="1:10">
      <c r="A24" s="1986"/>
      <c r="B24" s="1986"/>
      <c r="C24" s="1986"/>
      <c r="D24" s="1986"/>
      <c r="E24" s="1986"/>
      <c r="F24" s="1986"/>
      <c r="G24" s="1986"/>
      <c r="H24" s="1986"/>
      <c r="I24" s="1986"/>
      <c r="J24" s="1986"/>
    </row>
    <row r="25" spans="1:10">
      <c r="A25" s="1986"/>
      <c r="B25" s="1986"/>
      <c r="C25" s="1986"/>
      <c r="D25" s="1986"/>
      <c r="E25" s="1986"/>
      <c r="F25" s="1986"/>
      <c r="G25" s="1986"/>
      <c r="H25" s="1986"/>
      <c r="I25" s="1986"/>
      <c r="J25" s="1986"/>
    </row>
    <row r="26" spans="1:10">
      <c r="A26" s="1986"/>
      <c r="B26" s="1986"/>
      <c r="C26" s="1986"/>
      <c r="D26" s="1986"/>
      <c r="E26" s="1986"/>
      <c r="F26" s="1986"/>
      <c r="G26" s="1986"/>
      <c r="H26" s="1986"/>
      <c r="I26" s="1986"/>
      <c r="J26" s="1986"/>
    </row>
    <row r="27" spans="1:10">
      <c r="A27" s="1986"/>
      <c r="B27" s="1986"/>
      <c r="C27" s="1986"/>
      <c r="D27" s="1986"/>
      <c r="E27" s="1986"/>
      <c r="F27" s="1986"/>
      <c r="G27" s="1986"/>
      <c r="H27" s="1986"/>
      <c r="I27" s="1986"/>
      <c r="J27" s="1986"/>
    </row>
    <row r="28" spans="1:10">
      <c r="A28" s="1986"/>
      <c r="B28" s="1986"/>
      <c r="C28" s="1986"/>
      <c r="D28" s="1986"/>
      <c r="E28" s="1986"/>
      <c r="F28" s="1986"/>
      <c r="G28" s="1986"/>
      <c r="H28" s="1986"/>
      <c r="I28" s="1986"/>
      <c r="J28" s="1986"/>
    </row>
    <row r="29" spans="1:10">
      <c r="A29" s="1986"/>
      <c r="B29" s="1986"/>
      <c r="C29" s="1986"/>
      <c r="D29" s="1986"/>
      <c r="E29" s="1986"/>
      <c r="F29" s="1986"/>
      <c r="G29" s="1986"/>
      <c r="H29" s="1986"/>
      <c r="I29" s="1986"/>
      <c r="J29" s="1986"/>
    </row>
    <row r="30" spans="1:10">
      <c r="A30" s="1986"/>
      <c r="B30" s="1986"/>
      <c r="C30" s="1986"/>
      <c r="D30" s="1986"/>
      <c r="E30" s="1986"/>
      <c r="F30" s="1986"/>
      <c r="G30" s="1986"/>
      <c r="H30" s="1986"/>
      <c r="I30" s="1986"/>
      <c r="J30" s="1986"/>
    </row>
    <row r="31" spans="1:10">
      <c r="A31" s="1986"/>
      <c r="B31" s="1986"/>
      <c r="C31" s="1986"/>
      <c r="D31" s="1986"/>
      <c r="E31" s="1986"/>
      <c r="F31" s="1986"/>
      <c r="G31" s="1986"/>
      <c r="H31" s="1986"/>
      <c r="I31" s="1986"/>
      <c r="J31" s="1986"/>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44140625" defaultRowHeight="15.6"/>
  <cols>
    <col min="1" max="1" width="14.44140625" style="1992" customWidth="1"/>
    <col min="2" max="16384" width="14.44140625" style="1974"/>
  </cols>
  <sheetData>
    <row r="1" spans="1:7" s="1989" customFormat="1" ht="17.399999999999999">
      <c r="A1" s="1988" t="s">
        <v>1658</v>
      </c>
    </row>
    <row r="3" spans="1:7">
      <c r="A3" s="1990" t="s">
        <v>82</v>
      </c>
      <c r="B3" s="1974" t="s">
        <v>1659</v>
      </c>
      <c r="G3" s="1991"/>
    </row>
    <row r="4" spans="1:7">
      <c r="G4" s="1991"/>
    </row>
    <row r="5" spans="1:7">
      <c r="A5" s="1993" t="s">
        <v>73</v>
      </c>
      <c r="B5" s="1974" t="s">
        <v>1660</v>
      </c>
      <c r="G5" s="1991"/>
    </row>
    <row r="6" spans="1:7">
      <c r="G6" s="1991"/>
    </row>
    <row r="7" spans="1:7">
      <c r="A7" s="1994" t="s">
        <v>135</v>
      </c>
      <c r="B7" s="1974" t="s">
        <v>1661</v>
      </c>
      <c r="G7" s="1991"/>
    </row>
    <row r="8" spans="1:7">
      <c r="G8" s="1991"/>
    </row>
    <row r="9" spans="1:7">
      <c r="A9" s="1995" t="s">
        <v>74</v>
      </c>
      <c r="B9" s="1974" t="s">
        <v>1662</v>
      </c>
    </row>
    <row r="11" spans="1:7">
      <c r="A11" s="1996" t="s">
        <v>75</v>
      </c>
      <c r="B11" s="1997" t="s">
        <v>72</v>
      </c>
    </row>
    <row r="13" spans="1:7">
      <c r="A13" s="1998" t="s">
        <v>1663</v>
      </c>
    </row>
    <row r="15" spans="1:7" ht="14.4">
      <c r="A15" s="3002" t="s">
        <v>1664</v>
      </c>
      <c r="B15" s="2997" t="s">
        <v>136</v>
      </c>
      <c r="C15" s="2998"/>
    </row>
    <row r="16" spans="1:7" ht="14.4">
      <c r="A16" s="3003"/>
      <c r="B16" s="2997" t="s">
        <v>69</v>
      </c>
      <c r="C16" s="2998"/>
    </row>
    <row r="17" spans="1:3" ht="14.4">
      <c r="A17" s="3003"/>
      <c r="B17" s="3000" t="s">
        <v>1665</v>
      </c>
      <c r="C17" s="1999" t="s">
        <v>1664</v>
      </c>
    </row>
    <row r="18" spans="1:3" ht="14.4">
      <c r="A18" s="3003"/>
      <c r="B18" s="3000"/>
      <c r="C18" s="1999" t="s">
        <v>1666</v>
      </c>
    </row>
    <row r="19" spans="1:3" ht="14.4">
      <c r="A19" s="3003"/>
      <c r="B19" s="3000"/>
      <c r="C19" s="1999" t="s">
        <v>1667</v>
      </c>
    </row>
    <row r="20" spans="1:3" ht="14.4">
      <c r="A20" s="3004"/>
      <c r="B20" s="2999" t="s">
        <v>1668</v>
      </c>
      <c r="C20" s="2998"/>
    </row>
    <row r="21" spans="1:3" ht="14.4">
      <c r="A21" s="2000" t="s">
        <v>1669</v>
      </c>
      <c r="B21" s="2001"/>
      <c r="C21" s="2002"/>
    </row>
    <row r="22" spans="1:3" ht="14.4">
      <c r="A22" s="3001" t="s">
        <v>1670</v>
      </c>
      <c r="B22" s="2999" t="s">
        <v>1671</v>
      </c>
      <c r="C22" s="2998"/>
    </row>
    <row r="23" spans="1:3" ht="14.4">
      <c r="A23" s="3001"/>
      <c r="B23" s="2999" t="s">
        <v>1672</v>
      </c>
      <c r="C23" s="2998"/>
    </row>
    <row r="24" spans="1:3" ht="14.4">
      <c r="A24" s="3001"/>
      <c r="B24" s="2999" t="s">
        <v>1673</v>
      </c>
      <c r="C24" s="2998"/>
    </row>
    <row r="25" spans="1:3" ht="14.4">
      <c r="A25" s="3001"/>
      <c r="B25" s="3000" t="s">
        <v>1674</v>
      </c>
      <c r="C25" s="1999" t="s">
        <v>1675</v>
      </c>
    </row>
    <row r="26" spans="1:3" ht="14.4">
      <c r="A26" s="3001"/>
      <c r="B26" s="3000"/>
      <c r="C26" s="1999" t="s">
        <v>1676</v>
      </c>
    </row>
    <row r="27" spans="1:3" ht="14.4">
      <c r="A27" s="3001"/>
      <c r="B27" s="3000"/>
      <c r="C27" s="1999" t="s">
        <v>1677</v>
      </c>
    </row>
    <row r="28" spans="1:3" ht="14.4">
      <c r="A28" s="3001"/>
      <c r="B28" s="3000"/>
      <c r="C28" s="1999" t="s">
        <v>1678</v>
      </c>
    </row>
    <row r="29" spans="1:3" ht="14.4">
      <c r="A29" s="3001"/>
      <c r="B29" s="3000"/>
      <c r="C29" s="1999" t="s">
        <v>1679</v>
      </c>
    </row>
    <row r="30" spans="1:3" ht="14.4">
      <c r="A30" s="3001"/>
      <c r="B30" s="3000"/>
      <c r="C30" s="1999" t="s">
        <v>1680</v>
      </c>
    </row>
    <row r="31" spans="1:3" ht="14.4">
      <c r="A31" s="3001"/>
      <c r="B31" s="3000"/>
      <c r="C31" s="1999" t="s">
        <v>1681</v>
      </c>
    </row>
    <row r="32" spans="1:3" ht="14.4">
      <c r="A32" s="3001"/>
      <c r="B32" s="3000"/>
      <c r="C32" s="1999" t="s">
        <v>1682</v>
      </c>
    </row>
    <row r="33" spans="1:3" ht="14.4">
      <c r="A33" s="3001"/>
      <c r="B33" s="3000"/>
      <c r="C33" s="1999" t="s">
        <v>1683</v>
      </c>
    </row>
    <row r="34" spans="1:3">
      <c r="A34" s="2003" t="s">
        <v>76</v>
      </c>
    </row>
    <row r="37" spans="1:3">
      <c r="A37" s="2003" t="s">
        <v>1684</v>
      </c>
    </row>
    <row r="38" spans="1:3" ht="14.4">
      <c r="A38" s="2004" t="s">
        <v>77</v>
      </c>
    </row>
    <row r="39" spans="1:3" ht="14.4">
      <c r="A39" s="2004" t="s">
        <v>78</v>
      </c>
    </row>
    <row r="40" spans="1:3" ht="14.4">
      <c r="A40" s="2004" t="s">
        <v>79</v>
      </c>
    </row>
    <row r="41" spans="1:3" ht="14.4">
      <c r="A41" s="2005" t="s">
        <v>80</v>
      </c>
    </row>
    <row r="42" spans="1:3" ht="14.4">
      <c r="A42" s="200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7" zoomScale="70" zoomScaleNormal="100" zoomScaleSheetLayoutView="70" workbookViewId="0">
      <selection activeCell="E29" sqref="E29:F29"/>
    </sheetView>
  </sheetViews>
  <sheetFormatPr defaultColWidth="22.6640625" defaultRowHeight="24" customHeight="1"/>
  <cols>
    <col min="1" max="2" width="22.6640625" style="1015"/>
    <col min="3" max="3" width="32.21875" style="1015" customWidth="1"/>
    <col min="4" max="5" width="22.6640625" style="1015"/>
    <col min="6" max="6" width="25.6640625" style="1015" customWidth="1"/>
    <col min="7" max="16384" width="22.6640625" style="1015"/>
  </cols>
  <sheetData>
    <row r="2" spans="1:6" ht="24" customHeight="1">
      <c r="A2" s="1017" t="s">
        <v>825</v>
      </c>
      <c r="B2" s="1018">
        <f ca="1">TODAY()</f>
        <v>43696</v>
      </c>
      <c r="C2" s="1019" t="s">
        <v>826</v>
      </c>
      <c r="D2" s="1019"/>
    </row>
    <row r="3" spans="1:6" ht="24" customHeight="1">
      <c r="A3" s="1020" t="s">
        <v>827</v>
      </c>
      <c r="B3" s="1021" t="s">
        <v>828</v>
      </c>
      <c r="C3" s="2345" t="s">
        <v>829</v>
      </c>
      <c r="D3" s="2348" t="s">
        <v>830</v>
      </c>
      <c r="E3" s="1022" t="s">
        <v>831</v>
      </c>
      <c r="F3" s="1021" t="s">
        <v>829</v>
      </c>
    </row>
    <row r="4" spans="1:6" ht="24" customHeight="1">
      <c r="A4" s="1702" t="s">
        <v>832</v>
      </c>
      <c r="B4" s="1022">
        <f ca="1">IF(C4&lt;B2,"已过期",1119970066)</f>
        <v>1119970066</v>
      </c>
      <c r="C4" s="2346">
        <v>43849</v>
      </c>
      <c r="D4" s="2349" t="s">
        <v>832</v>
      </c>
      <c r="E4" s="1022">
        <f ca="1">IF(F4&lt;B2,"已过期",96010014)</f>
        <v>96010014</v>
      </c>
      <c r="F4" s="1030">
        <v>47118</v>
      </c>
    </row>
    <row r="5" spans="1:6" ht="24" customHeight="1">
      <c r="A5" s="1702" t="s">
        <v>833</v>
      </c>
      <c r="B5" s="1022">
        <f ca="1">IF(C5&lt;B2,"已过期",1119970074)</f>
        <v>1119970074</v>
      </c>
      <c r="C5" s="2346">
        <v>43849</v>
      </c>
      <c r="D5" s="2349" t="s">
        <v>833</v>
      </c>
      <c r="E5" s="1022">
        <f ca="1">IF(F5&lt;B2,"已过期",2002110027)</f>
        <v>2002110027</v>
      </c>
      <c r="F5" s="1030">
        <v>46752</v>
      </c>
    </row>
    <row r="6" spans="1:6" ht="24" customHeight="1">
      <c r="A6" s="1702" t="s">
        <v>834</v>
      </c>
      <c r="B6" s="1022">
        <f ca="1">IF(C6&lt;B2,"已过期",1119970111)</f>
        <v>1119970111</v>
      </c>
      <c r="C6" s="2346">
        <v>43849</v>
      </c>
      <c r="D6" s="2349" t="s">
        <v>834</v>
      </c>
      <c r="E6" s="1022">
        <f ca="1">IF(F6&lt;B2,"已过期",94010078)</f>
        <v>94010078</v>
      </c>
      <c r="F6" s="1030">
        <v>46387</v>
      </c>
    </row>
    <row r="7" spans="1:6" ht="24" customHeight="1">
      <c r="A7" s="1702" t="s">
        <v>835</v>
      </c>
      <c r="B7" s="1022">
        <f ca="1">IF(C7&lt;B2,"已过期",1120050019)</f>
        <v>1120050019</v>
      </c>
      <c r="C7" s="2346">
        <v>44395</v>
      </c>
      <c r="D7" s="2349" t="s">
        <v>835</v>
      </c>
      <c r="E7" s="1022">
        <f ca="1">IF(F7&lt;B2,"已过期",2002110030)</f>
        <v>2002110030</v>
      </c>
      <c r="F7" s="1030">
        <v>46387</v>
      </c>
    </row>
    <row r="8" spans="1:6" ht="24" customHeight="1">
      <c r="A8" s="1702" t="s">
        <v>836</v>
      </c>
      <c r="B8" s="1022">
        <f ca="1">IF(C8&lt;B2,"已过期",1120000080)</f>
        <v>1120000080</v>
      </c>
      <c r="C8" s="2346">
        <v>43849</v>
      </c>
      <c r="D8" s="2349" t="s">
        <v>836</v>
      </c>
      <c r="E8" s="1022">
        <f ca="1">IF(F8&lt;B2,"已过期",2000110082)</f>
        <v>2000110082</v>
      </c>
      <c r="F8" s="1030">
        <v>46387</v>
      </c>
    </row>
    <row r="9" spans="1:6" ht="24" customHeight="1">
      <c r="A9" s="1702" t="s">
        <v>837</v>
      </c>
      <c r="B9" s="1022">
        <f ca="1">IF(C9&lt;B2,"已过期",1419970001)</f>
        <v>1419970001</v>
      </c>
      <c r="C9" s="2346">
        <v>43867</v>
      </c>
      <c r="D9" s="2349" t="s">
        <v>837</v>
      </c>
      <c r="E9" s="1022">
        <f ca="1">IF(F9&lt;B2,"已过期",2002110125)</f>
        <v>2002110125</v>
      </c>
      <c r="F9" s="1030">
        <v>47118</v>
      </c>
    </row>
    <row r="10" spans="1:6" ht="24" customHeight="1">
      <c r="A10" s="1702" t="s">
        <v>838</v>
      </c>
      <c r="B10" s="1022">
        <f ca="1">IF(C10&lt;B2,"已过期",1120060040)</f>
        <v>1120060040</v>
      </c>
      <c r="C10" s="2346">
        <v>44554</v>
      </c>
      <c r="D10" s="2349" t="s">
        <v>838</v>
      </c>
      <c r="E10" s="1022">
        <f ca="1">IF(F10&lt;B2,"已过期",2004110096)</f>
        <v>2004110096</v>
      </c>
      <c r="F10" s="1030">
        <v>47118</v>
      </c>
    </row>
    <row r="11" spans="1:6" ht="24" customHeight="1">
      <c r="A11" s="1702" t="s">
        <v>839</v>
      </c>
      <c r="B11" s="1022">
        <f ca="1">IF(C11&lt;B2,"已过期",1120100036)</f>
        <v>1120100036</v>
      </c>
      <c r="C11" s="2346">
        <v>44675</v>
      </c>
      <c r="D11" s="2349" t="s">
        <v>839</v>
      </c>
      <c r="E11" s="1022">
        <f ca="1">IF(F11&lt;B2,"已过期",2010110070)</f>
        <v>2010110070</v>
      </c>
      <c r="F11" s="1030">
        <v>47907</v>
      </c>
    </row>
    <row r="12" spans="1:6" ht="24" customHeight="1">
      <c r="A12" s="1702"/>
      <c r="B12" s="1022"/>
      <c r="C12" s="2927"/>
      <c r="D12" s="1702"/>
      <c r="E12" s="1022"/>
      <c r="F12" s="1030"/>
    </row>
    <row r="13" spans="1:6" ht="24" customHeight="1">
      <c r="A13" s="1702" t="s">
        <v>840</v>
      </c>
      <c r="B13" s="1022">
        <f ca="1">IF(C13&lt;B2,"已过期",1120070131)</f>
        <v>1120070131</v>
      </c>
      <c r="C13" s="2346">
        <v>43814</v>
      </c>
      <c r="D13" s="2349" t="s">
        <v>840</v>
      </c>
      <c r="E13" s="1022">
        <f ca="1">IF(F13&lt;B2,"已过期",2014110011)</f>
        <v>2014110011</v>
      </c>
      <c r="F13" s="1030">
        <v>49302</v>
      </c>
    </row>
    <row r="14" spans="1:6" ht="24" customHeight="1">
      <c r="A14" s="1702" t="s">
        <v>3042</v>
      </c>
      <c r="B14" s="1022">
        <f ca="1">IF(C14&lt;B2,"已过期",1120040230)</f>
        <v>1120040230</v>
      </c>
      <c r="C14" s="2346">
        <v>43835</v>
      </c>
      <c r="D14" s="2349" t="s">
        <v>3042</v>
      </c>
      <c r="E14" s="1022">
        <f ca="1">IF(F14&lt;B2,"已过期",98030020)</f>
        <v>98030020</v>
      </c>
      <c r="F14" s="1030">
        <v>47118</v>
      </c>
    </row>
    <row r="15" spans="1:6" ht="24" customHeight="1">
      <c r="A15" s="1703" t="s">
        <v>3043</v>
      </c>
      <c r="B15" s="1022">
        <f ca="1">IF(C15&lt;B2,"已过期",1120070085)</f>
        <v>1120070085</v>
      </c>
      <c r="C15" s="2346">
        <v>43814</v>
      </c>
      <c r="D15" s="2350" t="s">
        <v>3043</v>
      </c>
      <c r="E15" s="1022">
        <f ca="1">IF(F15&lt;B2,"已过期",2004110128)</f>
        <v>2004110128</v>
      </c>
      <c r="F15" s="1023">
        <v>47118</v>
      </c>
    </row>
    <row r="16" spans="1:6" ht="24" customHeight="1">
      <c r="A16" s="1702" t="s">
        <v>3044</v>
      </c>
      <c r="B16" s="1022">
        <f ca="1">IF(C16&lt;B2,"已过期",1120140022)</f>
        <v>1120140022</v>
      </c>
      <c r="C16" s="2927">
        <v>44029</v>
      </c>
      <c r="D16" s="2349" t="s">
        <v>3044</v>
      </c>
      <c r="E16" s="1022">
        <f ca="1">IF(F16&lt;B2,"已过期",2008110059)</f>
        <v>2008110059</v>
      </c>
      <c r="F16" s="1030">
        <v>47177</v>
      </c>
    </row>
    <row r="17" spans="1:7" ht="24" customHeight="1">
      <c r="A17" s="1702"/>
      <c r="B17" s="1022"/>
      <c r="C17" s="2346"/>
      <c r="D17" s="2349" t="s">
        <v>3045</v>
      </c>
      <c r="E17" s="1022">
        <f ca="1">IF(F17&lt;B2,"已过期",2014110076)</f>
        <v>2014110076</v>
      </c>
      <c r="F17" s="1030">
        <v>49302</v>
      </c>
    </row>
    <row r="18" spans="1:7" ht="24" customHeight="1">
      <c r="A18" s="1702"/>
      <c r="B18" s="1022"/>
      <c r="C18" s="2346"/>
      <c r="D18" s="2349"/>
      <c r="E18" s="1022"/>
      <c r="F18" s="1030"/>
    </row>
    <row r="19" spans="1:7" ht="24" customHeight="1">
      <c r="A19" s="1702"/>
      <c r="B19" s="1022"/>
      <c r="C19" s="2346"/>
      <c r="D19" s="2349"/>
      <c r="E19" s="1022"/>
      <c r="F19" s="1022"/>
    </row>
    <row r="20" spans="1:7" ht="24" customHeight="1">
      <c r="A20" s="1702"/>
      <c r="B20" s="1022"/>
      <c r="C20" s="2346"/>
      <c r="D20" s="2349"/>
      <c r="E20" s="1022"/>
      <c r="F20" s="1022"/>
    </row>
    <row r="21" spans="1:7" ht="24" customHeight="1">
      <c r="A21" s="1702"/>
      <c r="B21" s="1022"/>
      <c r="C21" s="2346"/>
      <c r="D21" s="2349" t="s">
        <v>841</v>
      </c>
      <c r="E21" s="1022">
        <f ca="1">IF(F21&lt;B2,"已过期",2011110090)</f>
        <v>2011110090</v>
      </c>
      <c r="F21" s="1030">
        <v>48302</v>
      </c>
    </row>
    <row r="22" spans="1:7" ht="24" customHeight="1">
      <c r="A22" s="1702" t="s">
        <v>842</v>
      </c>
      <c r="B22" s="1022">
        <f ca="1">IF(C22&lt;B2,"已过期",1120020033)</f>
        <v>1120020033</v>
      </c>
      <c r="C22" s="2927">
        <v>44339</v>
      </c>
      <c r="D22" s="2349" t="s">
        <v>842</v>
      </c>
      <c r="E22" s="1022">
        <f ca="1">IF(F22&lt;B2,"已过期",2000110137)</f>
        <v>2000110137</v>
      </c>
      <c r="F22" s="1030">
        <v>46387</v>
      </c>
    </row>
    <row r="23" spans="1:7" ht="24" customHeight="1">
      <c r="A23" s="1702"/>
      <c r="B23" s="1022"/>
      <c r="C23" s="2346"/>
      <c r="D23" s="2349"/>
      <c r="E23" s="1022"/>
      <c r="F23" s="1022"/>
    </row>
    <row r="24" spans="1:7" s="1024" customFormat="1" ht="24" customHeight="1">
      <c r="A24" s="1703" t="s">
        <v>1329</v>
      </c>
      <c r="B24" s="1703" t="s">
        <v>1329</v>
      </c>
      <c r="C24" s="2347" t="s">
        <v>1329</v>
      </c>
      <c r="D24" s="2350" t="s">
        <v>1329</v>
      </c>
      <c r="E24" s="1703" t="s">
        <v>1329</v>
      </c>
      <c r="F24" s="1703" t="s">
        <v>1329</v>
      </c>
    </row>
    <row r="25" spans="1:7" ht="24" customHeight="1">
      <c r="A25" s="3005" t="s">
        <v>843</v>
      </c>
      <c r="B25" s="3005"/>
      <c r="C25" s="3005"/>
      <c r="D25" s="3005"/>
      <c r="E25" s="3005"/>
      <c r="F25" s="3005"/>
      <c r="G25" s="3005"/>
    </row>
    <row r="26" spans="1:7" s="1025" customFormat="1" ht="24" customHeight="1">
      <c r="A26" s="3006" t="s">
        <v>844</v>
      </c>
      <c r="B26" s="3006"/>
      <c r="C26" s="3007"/>
      <c r="D26" s="3008" t="s">
        <v>845</v>
      </c>
      <c r="E26" s="3006"/>
      <c r="F26" s="3006"/>
    </row>
    <row r="27" spans="1:7" s="1027" customFormat="1" ht="24" customHeight="1">
      <c r="A27" s="1026" t="s">
        <v>846</v>
      </c>
      <c r="B27" s="1021" t="s">
        <v>847</v>
      </c>
      <c r="C27" s="2345" t="s">
        <v>848</v>
      </c>
      <c r="D27" s="2353" t="s">
        <v>846</v>
      </c>
      <c r="E27" s="1021" t="s">
        <v>847</v>
      </c>
      <c r="F27" s="1021" t="s">
        <v>848</v>
      </c>
    </row>
    <row r="28" spans="1:7" s="1027" customFormat="1" ht="24" customHeight="1">
      <c r="A28" s="1028" t="s">
        <v>849</v>
      </c>
      <c r="B28" s="1029" t="s">
        <v>850</v>
      </c>
      <c r="C28" s="2351">
        <v>43725</v>
      </c>
      <c r="D28" s="2354" t="s">
        <v>851</v>
      </c>
      <c r="E28" s="1028" t="s">
        <v>852</v>
      </c>
      <c r="F28" s="1058">
        <v>44377</v>
      </c>
    </row>
    <row r="29" spans="1:7" s="1027" customFormat="1" ht="24" customHeight="1">
      <c r="A29" s="1028"/>
      <c r="B29" s="1028"/>
      <c r="C29" s="2352"/>
      <c r="D29" s="2354" t="s">
        <v>853</v>
      </c>
      <c r="E29" s="1202" t="s">
        <v>3049</v>
      </c>
      <c r="F29" s="1203">
        <v>43646</v>
      </c>
    </row>
    <row r="30" spans="1:7" ht="24" customHeight="1">
      <c r="C30" s="1031"/>
      <c r="D30" s="1031"/>
    </row>
  </sheetData>
  <sheetProtection sheet="1" objects="1" scenarios="1"/>
  <mergeCells count="3">
    <mergeCell ref="A25:G25"/>
    <mergeCell ref="A26:C26"/>
    <mergeCell ref="D26:F26"/>
  </mergeCells>
  <phoneticPr fontId="86" type="noConversion"/>
  <conditionalFormatting sqref="C28">
    <cfRule type="expression" dxfId="207" priority="88">
      <formula>AND($C28-TODAY()&lt;30,TODAY()&lt;$C28)</formula>
    </cfRule>
  </conditionalFormatting>
  <conditionalFormatting sqref="C28 F4">
    <cfRule type="cellIs" dxfId="206" priority="90" stopIfTrue="1" operator="lessThan">
      <formula>$B$2</formula>
    </cfRule>
  </conditionalFormatting>
  <conditionalFormatting sqref="C5">
    <cfRule type="expression" dxfId="205" priority="85">
      <formula>AND($C5-TODAY()&lt;30,TODAY()&lt;$C5)</formula>
    </cfRule>
  </conditionalFormatting>
  <conditionalFormatting sqref="C5 F5">
    <cfRule type="cellIs" dxfId="204" priority="86" stopIfTrue="1" operator="lessThan">
      <formula>$B$2</formula>
    </cfRule>
  </conditionalFormatting>
  <conditionalFormatting sqref="F6 F8 F10">
    <cfRule type="cellIs" dxfId="203" priority="84" stopIfTrue="1" operator="lessThan">
      <formula>$B$2</formula>
    </cfRule>
  </conditionalFormatting>
  <conditionalFormatting sqref="C4:C11 C13 C23 C17:C21">
    <cfRule type="expression" dxfId="202" priority="82">
      <formula>AND($C4-TODAY()&lt;30,TODAY()&lt;$C4)</formula>
    </cfRule>
  </conditionalFormatting>
  <conditionalFormatting sqref="F7 F9 F11 C4:C11 C13 C23 C17:C21">
    <cfRule type="cellIs" dxfId="201" priority="83" stopIfTrue="1" operator="lessThan">
      <formula>$B$2</formula>
    </cfRule>
  </conditionalFormatting>
  <conditionalFormatting sqref="C18">
    <cfRule type="expression" dxfId="200" priority="72">
      <formula>AND($C18-TODAY()&lt;30,TODAY()&lt;$C18)</formula>
    </cfRule>
  </conditionalFormatting>
  <conditionalFormatting sqref="C18">
    <cfRule type="cellIs" dxfId="199" priority="73" stopIfTrue="1" operator="lessThan">
      <formula>$B$2</formula>
    </cfRule>
  </conditionalFormatting>
  <conditionalFormatting sqref="C20">
    <cfRule type="expression" dxfId="198" priority="70">
      <formula>AND($C20-TODAY()&lt;30,TODAY()&lt;$C20)</formula>
    </cfRule>
  </conditionalFormatting>
  <conditionalFormatting sqref="C20">
    <cfRule type="cellIs" dxfId="197" priority="71" stopIfTrue="1" operator="lessThan">
      <formula>$B$2</formula>
    </cfRule>
  </conditionalFormatting>
  <conditionalFormatting sqref="C17">
    <cfRule type="expression" dxfId="196" priority="64">
      <formula>AND($C17-TODAY()&lt;30,TODAY()&lt;$C17)</formula>
    </cfRule>
  </conditionalFormatting>
  <conditionalFormatting sqref="C17">
    <cfRule type="cellIs" dxfId="195" priority="65" stopIfTrue="1" operator="lessThan">
      <formula>$B$2</formula>
    </cfRule>
  </conditionalFormatting>
  <conditionalFormatting sqref="C19">
    <cfRule type="expression" dxfId="194" priority="62">
      <formula>AND($C19-TODAY()&lt;30,TODAY()&lt;$C19)</formula>
    </cfRule>
  </conditionalFormatting>
  <conditionalFormatting sqref="C19">
    <cfRule type="cellIs" dxfId="193" priority="63" stopIfTrue="1" operator="lessThan">
      <formula>$B$2</formula>
    </cfRule>
  </conditionalFormatting>
  <conditionalFormatting sqref="C21">
    <cfRule type="expression" dxfId="192" priority="60">
      <formula>AND($C21-TODAY()&lt;30,TODAY()&lt;$C21)</formula>
    </cfRule>
  </conditionalFormatting>
  <conditionalFormatting sqref="C21">
    <cfRule type="cellIs" dxfId="191" priority="61" stopIfTrue="1" operator="lessThan">
      <formula>$B$2</formula>
    </cfRule>
  </conditionalFormatting>
  <conditionalFormatting sqref="C23">
    <cfRule type="expression" dxfId="190" priority="58">
      <formula>AND($C23-TODAY()&lt;30,TODAY()&lt;$C23)</formula>
    </cfRule>
  </conditionalFormatting>
  <conditionalFormatting sqref="C23">
    <cfRule type="cellIs" dxfId="189" priority="59" stopIfTrue="1" operator="lessThan">
      <formula>$B$2</formula>
    </cfRule>
  </conditionalFormatting>
  <conditionalFormatting sqref="F18">
    <cfRule type="cellIs" dxfId="188" priority="55" stopIfTrue="1" operator="lessThan">
      <formula>$B$2</formula>
    </cfRule>
  </conditionalFormatting>
  <conditionalFormatting sqref="F22">
    <cfRule type="cellIs" dxfId="187" priority="54" stopIfTrue="1" operator="lessThan">
      <formula>$B$2</formula>
    </cfRule>
  </conditionalFormatting>
  <conditionalFormatting sqref="F21">
    <cfRule type="cellIs" dxfId="186" priority="53" stopIfTrue="1" operator="lessThan">
      <formula>$B$2</formula>
    </cfRule>
  </conditionalFormatting>
  <conditionalFormatting sqref="B4:B11 E4:E11 B17:B23 E18:E23 B13 E13">
    <cfRule type="cellIs" dxfId="185" priority="51" stopIfTrue="1" operator="equal">
      <formula>"已过期"</formula>
    </cfRule>
  </conditionalFormatting>
  <conditionalFormatting sqref="A24:F24">
    <cfRule type="cellIs" dxfId="184" priority="47" stopIfTrue="1" operator="equal">
      <formula>"已过期"</formula>
    </cfRule>
  </conditionalFormatting>
  <conditionalFormatting sqref="F28">
    <cfRule type="expression" dxfId="183" priority="45">
      <formula>AND($E28-TODAY()&lt;30,TODAY()&lt;$E28)</formula>
    </cfRule>
  </conditionalFormatting>
  <conditionalFormatting sqref="F28">
    <cfRule type="cellIs" dxfId="182" priority="46" stopIfTrue="1" operator="lessThan">
      <formula>$B$2</formula>
    </cfRule>
  </conditionalFormatting>
  <conditionalFormatting sqref="F29">
    <cfRule type="expression" dxfId="181" priority="41" stopIfTrue="1">
      <formula>AND($E29-TODAY()&lt;30,TODAY()&lt;$E29)</formula>
    </cfRule>
  </conditionalFormatting>
  <conditionalFormatting sqref="F29">
    <cfRule type="cellIs" dxfId="180" priority="42" stopIfTrue="1" operator="lessThan">
      <formula>$B$2</formula>
    </cfRule>
  </conditionalFormatting>
  <conditionalFormatting sqref="F13">
    <cfRule type="cellIs" dxfId="179" priority="34" stopIfTrue="1" operator="lessThan">
      <formula>$B$2</formula>
    </cfRule>
  </conditionalFormatting>
  <conditionalFormatting sqref="C12">
    <cfRule type="expression" dxfId="178" priority="32">
      <formula>AND($C12-TODAY()&lt;30,TODAY()&lt;$C12)</formula>
    </cfRule>
  </conditionalFormatting>
  <conditionalFormatting sqref="C12">
    <cfRule type="cellIs" dxfId="177" priority="33" stopIfTrue="1" operator="lessThan">
      <formula>$B$2</formula>
    </cfRule>
  </conditionalFormatting>
  <conditionalFormatting sqref="C12">
    <cfRule type="expression" dxfId="176" priority="30">
      <formula>AND($C12-TODAY()&lt;30,TODAY()&lt;$C12)</formula>
    </cfRule>
  </conditionalFormatting>
  <conditionalFormatting sqref="C12">
    <cfRule type="cellIs" dxfId="175" priority="31" stopIfTrue="1" operator="lessThan">
      <formula>$B$2</formula>
    </cfRule>
  </conditionalFormatting>
  <conditionalFormatting sqref="B12">
    <cfRule type="cellIs" dxfId="174" priority="29" stopIfTrue="1" operator="equal">
      <formula>"已过期"</formula>
    </cfRule>
  </conditionalFormatting>
  <conditionalFormatting sqref="E12">
    <cfRule type="cellIs" dxfId="173" priority="28" stopIfTrue="1" operator="equal">
      <formula>"已过期"</formula>
    </cfRule>
  </conditionalFormatting>
  <conditionalFormatting sqref="F12">
    <cfRule type="cellIs" dxfId="172" priority="27" stopIfTrue="1" operator="lessThan">
      <formula>$B$2</formula>
    </cfRule>
  </conditionalFormatting>
  <conditionalFormatting sqref="C22">
    <cfRule type="expression" dxfId="171" priority="25">
      <formula>AND($C22-TODAY()&lt;30,TODAY()&lt;$C22)</formula>
    </cfRule>
  </conditionalFormatting>
  <conditionalFormatting sqref="C22">
    <cfRule type="cellIs" dxfId="170" priority="26" stopIfTrue="1" operator="lessThan">
      <formula>$B$2</formula>
    </cfRule>
  </conditionalFormatting>
  <conditionalFormatting sqref="C22">
    <cfRule type="expression" dxfId="169" priority="23">
      <formula>AND($C22-TODAY()&lt;30,TODAY()&lt;$C22)</formula>
    </cfRule>
  </conditionalFormatting>
  <conditionalFormatting sqref="C22">
    <cfRule type="cellIs" dxfId="168" priority="24" stopIfTrue="1" operator="lessThan">
      <formula>$B$2</formula>
    </cfRule>
  </conditionalFormatting>
  <conditionalFormatting sqref="C16">
    <cfRule type="expression" dxfId="167" priority="21">
      <formula>AND($C16-TODAY()&lt;30,TODAY()&lt;$C16)</formula>
    </cfRule>
  </conditionalFormatting>
  <conditionalFormatting sqref="C16">
    <cfRule type="cellIs" dxfId="166" priority="22" stopIfTrue="1" operator="lessThan">
      <formula>$B$2</formula>
    </cfRule>
  </conditionalFormatting>
  <conditionalFormatting sqref="C16">
    <cfRule type="expression" dxfId="165" priority="19">
      <formula>AND($C16-TODAY()&lt;30,TODAY()&lt;$C16)</formula>
    </cfRule>
  </conditionalFormatting>
  <conditionalFormatting sqref="C16">
    <cfRule type="cellIs" dxfId="164" priority="20" stopIfTrue="1" operator="lessThan">
      <formula>$B$2</formula>
    </cfRule>
  </conditionalFormatting>
  <conditionalFormatting sqref="B16">
    <cfRule type="cellIs" dxfId="163" priority="18" stopIfTrue="1" operator="equal">
      <formula>"已过期"</formula>
    </cfRule>
  </conditionalFormatting>
  <conditionalFormatting sqref="C14:C15">
    <cfRule type="expression" dxfId="162" priority="16">
      <formula>AND($C14-TODAY()&lt;30,TODAY()&lt;$C14)</formula>
    </cfRule>
  </conditionalFormatting>
  <conditionalFormatting sqref="C14:C15">
    <cfRule type="cellIs" dxfId="161" priority="17" stopIfTrue="1" operator="lessThan">
      <formula>$B$2</formula>
    </cfRule>
  </conditionalFormatting>
  <conditionalFormatting sqref="C14">
    <cfRule type="expression" dxfId="160" priority="14">
      <formula>AND($C14-TODAY()&lt;30,TODAY()&lt;$C14)</formula>
    </cfRule>
  </conditionalFormatting>
  <conditionalFormatting sqref="C14">
    <cfRule type="cellIs" dxfId="159" priority="15" stopIfTrue="1" operator="lessThan">
      <formula>$B$2</formula>
    </cfRule>
  </conditionalFormatting>
  <conditionalFormatting sqref="C15">
    <cfRule type="expression" dxfId="158" priority="12">
      <formula>AND($C15-TODAY()&lt;30,TODAY()&lt;$C15)</formula>
    </cfRule>
  </conditionalFormatting>
  <conditionalFormatting sqref="C15">
    <cfRule type="cellIs" dxfId="157" priority="13" stopIfTrue="1" operator="lessThan">
      <formula>$B$2</formula>
    </cfRule>
  </conditionalFormatting>
  <conditionalFormatting sqref="B14">
    <cfRule type="cellIs" dxfId="156" priority="11" stopIfTrue="1" operator="equal">
      <formula>"已过期"</formula>
    </cfRule>
  </conditionalFormatting>
  <conditionalFormatting sqref="B15">
    <cfRule type="cellIs" dxfId="155" priority="10" stopIfTrue="1" operator="equal">
      <formula>"已过期"</formula>
    </cfRule>
  </conditionalFormatting>
  <conditionalFormatting sqref="A15">
    <cfRule type="cellIs" dxfId="154" priority="9" stopIfTrue="1" operator="equal">
      <formula>"已过期"</formula>
    </cfRule>
  </conditionalFormatting>
  <conditionalFormatting sqref="C15">
    <cfRule type="expression" dxfId="153" priority="8">
      <formula>AND($C15-TODAY()&lt;30,TODAY()&lt;$C15)</formula>
    </cfRule>
  </conditionalFormatting>
  <conditionalFormatting sqref="F16">
    <cfRule type="cellIs" dxfId="152" priority="7" stopIfTrue="1" operator="lessThan">
      <formula>$B$2</formula>
    </cfRule>
  </conditionalFormatting>
  <conditionalFormatting sqref="E16 E14">
    <cfRule type="cellIs" dxfId="151" priority="6" stopIfTrue="1" operator="equal">
      <formula>"已过期"</formula>
    </cfRule>
  </conditionalFormatting>
  <conditionalFormatting sqref="E15">
    <cfRule type="cellIs" dxfId="150" priority="5" stopIfTrue="1" operator="equal">
      <formula>"已过期"</formula>
    </cfRule>
  </conditionalFormatting>
  <conditionalFormatting sqref="D15">
    <cfRule type="cellIs" dxfId="149" priority="4" stopIfTrue="1" operator="equal">
      <formula>"已过期"</formula>
    </cfRule>
  </conditionalFormatting>
  <conditionalFormatting sqref="F17">
    <cfRule type="cellIs" dxfId="148" priority="3" stopIfTrue="1" operator="lessThan">
      <formula>$B$2</formula>
    </cfRule>
  </conditionalFormatting>
  <conditionalFormatting sqref="E17">
    <cfRule type="cellIs" dxfId="147" priority="2" stopIfTrue="1" operator="equal">
      <formula>"已过期"</formula>
    </cfRule>
  </conditionalFormatting>
  <conditionalFormatting sqref="F14">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4.4"/>
  <cols>
    <col min="1" max="1" width="13.44140625" style="2023" customWidth="1"/>
    <col min="2" max="2" width="23.21875" style="1974" customWidth="1"/>
    <col min="3" max="3" width="13" style="2018" customWidth="1"/>
    <col min="4" max="4" width="5.77734375" style="2015" customWidth="1"/>
    <col min="5" max="5" width="7.109375" style="2015" customWidth="1"/>
    <col min="6" max="6" width="10.6640625" style="2015" customWidth="1"/>
    <col min="7" max="7" width="7.44140625" style="2015" customWidth="1"/>
    <col min="8" max="8" width="9" style="2018" customWidth="1"/>
    <col min="9" max="9" width="11.6640625" style="2018" customWidth="1"/>
    <col min="10" max="10" width="9" style="2018" customWidth="1"/>
    <col min="11" max="19" width="9" style="2015" customWidth="1"/>
    <col min="20" max="23" width="9" style="2018" customWidth="1"/>
    <col min="24" max="24" width="21.109375" style="1974" customWidth="1"/>
    <col min="25" max="16384" width="9" style="1974"/>
  </cols>
  <sheetData>
    <row r="1" spans="1:23" s="2012" customFormat="1" ht="28.8">
      <c r="A1" s="2006" t="s">
        <v>71</v>
      </c>
      <c r="B1" s="2007" t="s">
        <v>1685</v>
      </c>
      <c r="C1" s="2008" t="s">
        <v>759</v>
      </c>
      <c r="D1" s="2009" t="s">
        <v>1686</v>
      </c>
      <c r="E1" s="2009" t="s">
        <v>1687</v>
      </c>
      <c r="F1" s="2009" t="s">
        <v>1688</v>
      </c>
      <c r="G1" s="2009" t="s">
        <v>1689</v>
      </c>
      <c r="H1" s="2009" t="s">
        <v>1690</v>
      </c>
      <c r="I1" s="2009" t="s">
        <v>1691</v>
      </c>
      <c r="J1" s="2009" t="s">
        <v>1692</v>
      </c>
      <c r="K1" s="2009" t="s">
        <v>1693</v>
      </c>
      <c r="L1" s="2009" t="s">
        <v>1694</v>
      </c>
      <c r="M1" s="2009" t="s">
        <v>1695</v>
      </c>
      <c r="N1" s="2009" t="s">
        <v>1696</v>
      </c>
      <c r="O1" s="2009" t="s">
        <v>1697</v>
      </c>
      <c r="P1" s="2010" t="s">
        <v>753</v>
      </c>
      <c r="Q1" s="2010" t="s">
        <v>1141</v>
      </c>
      <c r="R1" s="2009" t="s">
        <v>1135</v>
      </c>
      <c r="S1" s="2009" t="s">
        <v>1698</v>
      </c>
      <c r="T1" s="2011" t="s">
        <v>1699</v>
      </c>
      <c r="U1" s="2009" t="s">
        <v>1700</v>
      </c>
      <c r="V1" s="2009" t="s">
        <v>1701</v>
      </c>
      <c r="W1" s="2009" t="s">
        <v>755</v>
      </c>
    </row>
    <row r="2" spans="1:23">
      <c r="A2" s="2013" t="s">
        <v>22</v>
      </c>
      <c r="B2" s="2013" t="s">
        <v>1702</v>
      </c>
      <c r="C2" s="2014" t="s">
        <v>760</v>
      </c>
      <c r="D2" s="2015" t="s">
        <v>1703</v>
      </c>
      <c r="E2" s="2015" t="s">
        <v>1704</v>
      </c>
      <c r="F2" s="2015" t="s">
        <v>1705</v>
      </c>
      <c r="G2" s="2015">
        <v>40</v>
      </c>
      <c r="H2" s="2015" t="s">
        <v>1705</v>
      </c>
      <c r="I2" s="2015" t="s">
        <v>1706</v>
      </c>
      <c r="J2" s="2015" t="s">
        <v>1707</v>
      </c>
      <c r="K2" s="2015" t="s">
        <v>1708</v>
      </c>
      <c r="L2" s="2015" t="s">
        <v>1708</v>
      </c>
      <c r="M2" s="2015" t="s">
        <v>1708</v>
      </c>
      <c r="N2" s="2015" t="s">
        <v>1708</v>
      </c>
      <c r="O2" s="2015" t="s">
        <v>1708</v>
      </c>
      <c r="P2" s="2015" t="s">
        <v>1708</v>
      </c>
      <c r="Q2" s="2015" t="s">
        <v>1708</v>
      </c>
      <c r="R2" s="2015" t="s">
        <v>1137</v>
      </c>
      <c r="S2" s="2015" t="s">
        <v>1708</v>
      </c>
      <c r="T2" s="2015" t="s">
        <v>1709</v>
      </c>
      <c r="U2" s="2015" t="s">
        <v>1708</v>
      </c>
      <c r="V2" s="2015" t="s">
        <v>1710</v>
      </c>
      <c r="W2" s="2015" t="s">
        <v>1708</v>
      </c>
    </row>
    <row r="3" spans="1:23">
      <c r="A3" s="2013" t="s">
        <v>1711</v>
      </c>
      <c r="B3" s="2016" t="s">
        <v>1142</v>
      </c>
      <c r="C3" s="2017" t="s">
        <v>761</v>
      </c>
      <c r="D3" s="2015" t="s">
        <v>1712</v>
      </c>
      <c r="E3" s="2015" t="s">
        <v>16</v>
      </c>
      <c r="F3" s="2015" t="s">
        <v>1713</v>
      </c>
      <c r="G3" s="2015">
        <v>50</v>
      </c>
      <c r="H3" s="2015" t="s">
        <v>1713</v>
      </c>
      <c r="I3" s="2015" t="s">
        <v>1714</v>
      </c>
      <c r="J3" s="2015" t="s">
        <v>1715</v>
      </c>
      <c r="K3" s="2015" t="s">
        <v>1716</v>
      </c>
      <c r="L3" s="2015" t="s">
        <v>1716</v>
      </c>
      <c r="M3" s="2015" t="s">
        <v>1716</v>
      </c>
      <c r="N3" s="2015" t="s">
        <v>1716</v>
      </c>
      <c r="O3" s="2015" t="s">
        <v>1716</v>
      </c>
      <c r="P3" s="2015" t="s">
        <v>1716</v>
      </c>
      <c r="Q3" s="2015" t="s">
        <v>1716</v>
      </c>
      <c r="R3" s="2015" t="s">
        <v>1136</v>
      </c>
      <c r="S3" s="2015" t="s">
        <v>1716</v>
      </c>
      <c r="T3" s="2015" t="s">
        <v>1717</v>
      </c>
      <c r="U3" s="2015" t="s">
        <v>1716</v>
      </c>
      <c r="V3" s="2015" t="s">
        <v>1718</v>
      </c>
      <c r="W3" s="2015" t="s">
        <v>1716</v>
      </c>
    </row>
    <row r="4" spans="1:23">
      <c r="A4" s="2013" t="s">
        <v>1719</v>
      </c>
      <c r="B4" s="2013" t="s">
        <v>1720</v>
      </c>
      <c r="C4" s="2014" t="s">
        <v>762</v>
      </c>
      <c r="D4" s="2015" t="s">
        <v>865</v>
      </c>
      <c r="E4" s="2015" t="s">
        <v>1721</v>
      </c>
      <c r="F4" s="2015" t="s">
        <v>1722</v>
      </c>
      <c r="G4" s="2015">
        <v>70</v>
      </c>
      <c r="H4" s="2015" t="s">
        <v>1722</v>
      </c>
      <c r="I4" s="2015" t="s">
        <v>1723</v>
      </c>
      <c r="K4" s="2015" t="s">
        <v>1724</v>
      </c>
      <c r="L4" s="2015" t="s">
        <v>1724</v>
      </c>
      <c r="M4" s="2015" t="s">
        <v>1724</v>
      </c>
      <c r="N4" s="2015" t="s">
        <v>1724</v>
      </c>
      <c r="O4" s="2015" t="s">
        <v>1724</v>
      </c>
      <c r="P4" s="2015" t="s">
        <v>1724</v>
      </c>
      <c r="Q4" s="2015" t="s">
        <v>1724</v>
      </c>
      <c r="R4" s="2015" t="s">
        <v>1138</v>
      </c>
      <c r="S4" s="2015" t="s">
        <v>1724</v>
      </c>
      <c r="T4" s="2015" t="s">
        <v>1725</v>
      </c>
      <c r="U4" s="2015" t="s">
        <v>1724</v>
      </c>
      <c r="W4" s="2015" t="s">
        <v>1724</v>
      </c>
    </row>
    <row r="5" spans="1:23">
      <c r="A5" s="2013" t="s">
        <v>1726</v>
      </c>
      <c r="B5" s="2013" t="s">
        <v>1727</v>
      </c>
      <c r="C5" s="2014" t="s">
        <v>763</v>
      </c>
      <c r="F5" s="2015" t="s">
        <v>1728</v>
      </c>
      <c r="H5" s="2015" t="s">
        <v>1729</v>
      </c>
      <c r="I5" s="2015" t="s">
        <v>1730</v>
      </c>
      <c r="K5" s="2015" t="s">
        <v>1731</v>
      </c>
      <c r="L5" s="2015" t="s">
        <v>1731</v>
      </c>
      <c r="M5" s="2015" t="s">
        <v>1731</v>
      </c>
      <c r="N5" s="2015" t="s">
        <v>1731</v>
      </c>
      <c r="O5" s="2015" t="s">
        <v>1731</v>
      </c>
      <c r="P5" s="2015" t="s">
        <v>1731</v>
      </c>
      <c r="Q5" s="2015" t="s">
        <v>1731</v>
      </c>
      <c r="R5" s="2015" t="s">
        <v>1139</v>
      </c>
      <c r="S5" s="2015" t="s">
        <v>1731</v>
      </c>
      <c r="T5" s="2015" t="s">
        <v>1732</v>
      </c>
      <c r="U5" s="2015" t="s">
        <v>1731</v>
      </c>
      <c r="W5" s="2015" t="s">
        <v>1731</v>
      </c>
    </row>
    <row r="6" spans="1:23">
      <c r="A6" s="2013" t="s">
        <v>1733</v>
      </c>
      <c r="B6" s="2016" t="s">
        <v>1143</v>
      </c>
      <c r="C6" s="2019" t="s">
        <v>30</v>
      </c>
      <c r="F6" s="2015" t="s">
        <v>1729</v>
      </c>
      <c r="H6" s="2015" t="s">
        <v>1734</v>
      </c>
      <c r="I6" s="2015" t="s">
        <v>1735</v>
      </c>
      <c r="K6" s="2015" t="s">
        <v>1736</v>
      </c>
      <c r="L6" s="2015" t="s">
        <v>1736</v>
      </c>
      <c r="M6" s="2015" t="s">
        <v>1736</v>
      </c>
      <c r="N6" s="2015" t="s">
        <v>1736</v>
      </c>
      <c r="O6" s="2015" t="s">
        <v>1736</v>
      </c>
      <c r="P6" s="2015" t="s">
        <v>1736</v>
      </c>
      <c r="Q6" s="2015" t="s">
        <v>1736</v>
      </c>
      <c r="R6" s="2015" t="s">
        <v>1140</v>
      </c>
      <c r="S6" s="2015" t="s">
        <v>1736</v>
      </c>
      <c r="T6" s="2015"/>
      <c r="U6" s="2015" t="s">
        <v>1736</v>
      </c>
      <c r="W6" s="2015" t="s">
        <v>1736</v>
      </c>
    </row>
    <row r="7" spans="1:23">
      <c r="A7" s="2013" t="s">
        <v>1737</v>
      </c>
      <c r="B7" s="2016" t="s">
        <v>1144</v>
      </c>
      <c r="C7" s="2014" t="s">
        <v>31</v>
      </c>
      <c r="F7" s="2015" t="s">
        <v>1738</v>
      </c>
      <c r="H7" s="2015" t="s">
        <v>1739</v>
      </c>
      <c r="I7" s="2015" t="s">
        <v>1740</v>
      </c>
    </row>
    <row r="8" spans="1:23">
      <c r="A8" s="2013" t="s">
        <v>1741</v>
      </c>
      <c r="B8" s="2013" t="s">
        <v>1742</v>
      </c>
      <c r="C8" s="2014" t="s">
        <v>764</v>
      </c>
      <c r="F8" s="2015" t="s">
        <v>1743</v>
      </c>
      <c r="H8" s="2015"/>
      <c r="I8" s="2015" t="s">
        <v>1744</v>
      </c>
    </row>
    <row r="9" spans="1:23">
      <c r="A9" s="2013" t="s">
        <v>1745</v>
      </c>
      <c r="B9" s="2013" t="s">
        <v>1746</v>
      </c>
      <c r="C9" s="2014" t="s">
        <v>765</v>
      </c>
      <c r="F9" s="2015" t="s">
        <v>1747</v>
      </c>
      <c r="H9" s="2015"/>
    </row>
    <row r="10" spans="1:23">
      <c r="A10" s="2013" t="s">
        <v>1748</v>
      </c>
      <c r="B10" s="2013" t="s">
        <v>1749</v>
      </c>
      <c r="C10" s="2014" t="s">
        <v>766</v>
      </c>
      <c r="F10" s="2015" t="s">
        <v>16</v>
      </c>
    </row>
    <row r="11" spans="1:23">
      <c r="A11" s="2013" t="s">
        <v>1750</v>
      </c>
      <c r="B11" s="2013" t="s">
        <v>1751</v>
      </c>
      <c r="C11" s="2014" t="s">
        <v>767</v>
      </c>
    </row>
    <row r="12" spans="1:23">
      <c r="A12" s="2013" t="s">
        <v>1752</v>
      </c>
      <c r="B12" s="2013" t="s">
        <v>1753</v>
      </c>
      <c r="C12" s="2014" t="s">
        <v>768</v>
      </c>
    </row>
    <row r="13" spans="1:23">
      <c r="A13" s="2013" t="s">
        <v>1754</v>
      </c>
      <c r="B13" s="2013" t="s">
        <v>1755</v>
      </c>
      <c r="C13" s="2014" t="s">
        <v>769</v>
      </c>
    </row>
    <row r="14" spans="1:23">
      <c r="A14" s="2013" t="s">
        <v>1756</v>
      </c>
      <c r="B14" s="2013" t="s">
        <v>1757</v>
      </c>
      <c r="C14" s="2015" t="s">
        <v>16</v>
      </c>
    </row>
    <row r="15" spans="1:23">
      <c r="A15" s="2013" t="s">
        <v>1758</v>
      </c>
      <c r="B15" s="2013" t="s">
        <v>1759</v>
      </c>
      <c r="C15" s="2014"/>
    </row>
    <row r="16" spans="1:23">
      <c r="A16" s="2013" t="s">
        <v>1760</v>
      </c>
      <c r="B16" s="2013" t="s">
        <v>756</v>
      </c>
      <c r="C16" s="2014"/>
    </row>
    <row r="17" spans="1:3">
      <c r="A17" s="2013" t="s">
        <v>1761</v>
      </c>
      <c r="B17" s="2013" t="s">
        <v>757</v>
      </c>
      <c r="C17" s="2014"/>
    </row>
    <row r="18" spans="1:3">
      <c r="A18" s="2013" t="s">
        <v>1762</v>
      </c>
      <c r="B18" s="2013" t="s">
        <v>757</v>
      </c>
      <c r="C18" s="2014"/>
    </row>
    <row r="19" spans="1:3">
      <c r="A19" s="2013" t="s">
        <v>1763</v>
      </c>
      <c r="B19" s="2013" t="s">
        <v>757</v>
      </c>
      <c r="C19" s="2014"/>
    </row>
    <row r="20" spans="1:3">
      <c r="A20" s="2013" t="s">
        <v>1764</v>
      </c>
      <c r="B20" s="2013" t="s">
        <v>757</v>
      </c>
      <c r="C20" s="2014"/>
    </row>
    <row r="21" spans="1:3">
      <c r="A21" s="2013" t="s">
        <v>1765</v>
      </c>
      <c r="B21" s="2013" t="s">
        <v>757</v>
      </c>
      <c r="C21" s="2014"/>
    </row>
    <row r="22" spans="1:3">
      <c r="A22" s="2013" t="s">
        <v>1766</v>
      </c>
      <c r="B22" s="2013" t="s">
        <v>757</v>
      </c>
      <c r="C22" s="2014"/>
    </row>
    <row r="23" spans="1:3">
      <c r="A23" s="2013" t="s">
        <v>1767</v>
      </c>
      <c r="B23" s="2013" t="s">
        <v>757</v>
      </c>
      <c r="C23" s="2014"/>
    </row>
    <row r="24" spans="1:3">
      <c r="A24" s="2013" t="s">
        <v>1768</v>
      </c>
      <c r="B24" s="2013" t="s">
        <v>757</v>
      </c>
      <c r="C24" s="2014"/>
    </row>
    <row r="25" spans="1:3">
      <c r="A25" s="2013" t="s">
        <v>1769</v>
      </c>
      <c r="B25" s="2013" t="s">
        <v>757</v>
      </c>
      <c r="C25" s="2014"/>
    </row>
    <row r="26" spans="1:3">
      <c r="A26" s="2013" t="s">
        <v>1770</v>
      </c>
      <c r="B26" s="2013" t="s">
        <v>757</v>
      </c>
      <c r="C26" s="2014"/>
    </row>
    <row r="27" spans="1:3">
      <c r="A27" s="2013" t="s">
        <v>757</v>
      </c>
      <c r="B27" s="2013" t="s">
        <v>757</v>
      </c>
      <c r="C27" s="2014"/>
    </row>
    <row r="28" spans="1:3">
      <c r="A28" s="2013" t="s">
        <v>757</v>
      </c>
      <c r="B28" s="2013" t="s">
        <v>757</v>
      </c>
      <c r="C28" s="2014"/>
    </row>
    <row r="29" spans="1:3">
      <c r="A29" s="2013" t="s">
        <v>757</v>
      </c>
      <c r="B29" s="2013" t="s">
        <v>757</v>
      </c>
      <c r="C29" s="2014"/>
    </row>
    <row r="30" spans="1:3">
      <c r="A30" s="2013" t="s">
        <v>757</v>
      </c>
      <c r="B30" s="2013" t="s">
        <v>757</v>
      </c>
      <c r="C30" s="2014"/>
    </row>
    <row r="31" spans="1:3">
      <c r="A31" s="2013" t="s">
        <v>757</v>
      </c>
      <c r="B31" s="2013" t="s">
        <v>757</v>
      </c>
      <c r="C31" s="2014"/>
    </row>
    <row r="32" spans="1:3">
      <c r="A32" s="2013" t="s">
        <v>757</v>
      </c>
      <c r="B32" s="2013" t="s">
        <v>757</v>
      </c>
      <c r="C32" s="2014"/>
    </row>
    <row r="33" spans="1:3">
      <c r="A33" s="2013" t="s">
        <v>757</v>
      </c>
      <c r="B33" s="2013" t="s">
        <v>757</v>
      </c>
      <c r="C33" s="2014"/>
    </row>
    <row r="34" spans="1:3">
      <c r="A34" s="2013" t="s">
        <v>757</v>
      </c>
      <c r="B34" s="2013" t="s">
        <v>757</v>
      </c>
      <c r="C34" s="2014"/>
    </row>
    <row r="35" spans="1:3">
      <c r="A35" s="2013" t="s">
        <v>757</v>
      </c>
      <c r="B35" s="2013" t="s">
        <v>757</v>
      </c>
      <c r="C35" s="2014"/>
    </row>
    <row r="36" spans="1:3">
      <c r="A36" s="2013" t="s">
        <v>757</v>
      </c>
      <c r="B36" s="2013" t="s">
        <v>757</v>
      </c>
      <c r="C36" s="2014"/>
    </row>
    <row r="37" spans="1:3">
      <c r="A37" s="2013" t="s">
        <v>757</v>
      </c>
      <c r="B37" s="2013" t="s">
        <v>757</v>
      </c>
      <c r="C37" s="2014"/>
    </row>
    <row r="38" spans="1:3">
      <c r="A38" s="2013" t="s">
        <v>757</v>
      </c>
      <c r="B38" s="2013" t="s">
        <v>757</v>
      </c>
      <c r="C38" s="2014"/>
    </row>
    <row r="39" spans="1:3">
      <c r="A39" s="2013" t="s">
        <v>757</v>
      </c>
      <c r="B39" s="2013" t="s">
        <v>757</v>
      </c>
      <c r="C39" s="2014"/>
    </row>
    <row r="40" spans="1:3">
      <c r="A40" s="2013" t="s">
        <v>757</v>
      </c>
      <c r="B40" s="2013" t="s">
        <v>757</v>
      </c>
      <c r="C40" s="2014"/>
    </row>
    <row r="41" spans="1:3">
      <c r="A41" s="2013" t="s">
        <v>757</v>
      </c>
      <c r="B41" s="2013" t="s">
        <v>757</v>
      </c>
      <c r="C41" s="2014"/>
    </row>
    <row r="42" spans="1:3">
      <c r="A42" s="2013" t="s">
        <v>757</v>
      </c>
      <c r="B42" s="2013" t="s">
        <v>757</v>
      </c>
      <c r="C42" s="2014"/>
    </row>
    <row r="43" spans="1:3">
      <c r="A43" s="2013" t="s">
        <v>757</v>
      </c>
      <c r="B43" s="2013" t="s">
        <v>757</v>
      </c>
      <c r="C43" s="2014"/>
    </row>
    <row r="44" spans="1:3">
      <c r="A44" s="2013" t="s">
        <v>757</v>
      </c>
      <c r="B44" s="2013" t="s">
        <v>757</v>
      </c>
      <c r="C44" s="2014"/>
    </row>
    <row r="45" spans="1:3">
      <c r="A45" s="2013" t="s">
        <v>757</v>
      </c>
      <c r="B45" s="2013" t="s">
        <v>757</v>
      </c>
      <c r="C45" s="2014"/>
    </row>
    <row r="46" spans="1:3">
      <c r="A46" s="2013" t="s">
        <v>757</v>
      </c>
      <c r="B46" s="2013" t="s">
        <v>757</v>
      </c>
      <c r="C46" s="2014"/>
    </row>
    <row r="47" spans="1:3">
      <c r="A47" s="2013" t="s">
        <v>757</v>
      </c>
      <c r="B47" s="2013" t="s">
        <v>757</v>
      </c>
      <c r="C47" s="2014"/>
    </row>
    <row r="48" spans="1:3">
      <c r="A48" s="2013" t="s">
        <v>757</v>
      </c>
      <c r="B48" s="2013" t="s">
        <v>757</v>
      </c>
      <c r="C48" s="2014"/>
    </row>
    <row r="49" spans="1:4">
      <c r="A49" s="2013" t="s">
        <v>757</v>
      </c>
      <c r="B49" s="2013" t="s">
        <v>757</v>
      </c>
      <c r="C49" s="2014"/>
    </row>
    <row r="50" spans="1:4">
      <c r="A50" s="2013" t="s">
        <v>757</v>
      </c>
      <c r="B50" s="2013" t="s">
        <v>757</v>
      </c>
      <c r="C50" s="2014"/>
    </row>
    <row r="51" spans="1:4">
      <c r="A51" s="2020" t="s">
        <v>854</v>
      </c>
      <c r="B51" s="202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山东省青岛市黄岛区开发区汉江路3号万达广场全幢、地下房地产作为抵押担保物，向办理贷款手续。特委托北京康正宏基房地产评估有限公司对上述抵押物进行评估。本次评估为确定房地产抵押贷款额度提供参考依据而评估房地产抵押价值。</v>
      </c>
      <c r="D51" s="2021" t="s">
        <v>1280</v>
      </c>
    </row>
    <row r="52" spans="1:4">
      <c r="A52" s="2020" t="s">
        <v>855</v>
      </c>
      <c r="B52" s="2020" t="s">
        <v>856</v>
      </c>
      <c r="C52" s="2018" t="s">
        <v>857</v>
      </c>
      <c r="D52" s="2018" t="s">
        <v>858</v>
      </c>
    </row>
    <row r="53" spans="1:4">
      <c r="A53" s="3009" t="s">
        <v>859</v>
      </c>
      <c r="B53" s="2021" t="s">
        <v>860</v>
      </c>
      <c r="C53" s="201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9"/>
      <c r="B54" s="2021" t="s">
        <v>861</v>
      </c>
      <c r="C54" s="2018" t="s">
        <v>1277</v>
      </c>
    </row>
    <row r="55" spans="1:4">
      <c r="A55" s="3009"/>
      <c r="B55" s="2021" t="s">
        <v>862</v>
      </c>
      <c r="C55" s="2018" t="s">
        <v>1278</v>
      </c>
    </row>
    <row r="56" spans="1:4">
      <c r="A56" s="3009"/>
      <c r="B56" s="2021" t="s">
        <v>863</v>
      </c>
      <c r="C56" s="2018" t="s">
        <v>1282</v>
      </c>
    </row>
    <row r="57" spans="1:4">
      <c r="A57" s="3009"/>
      <c r="B57" s="2021" t="s">
        <v>864</v>
      </c>
      <c r="C57" s="2018" t="s">
        <v>1279</v>
      </c>
    </row>
    <row r="58" spans="1:4">
      <c r="A58" s="2022"/>
      <c r="B58" s="2018"/>
    </row>
    <row r="59" spans="1:4">
      <c r="A59" s="2022"/>
      <c r="B59" s="2018"/>
    </row>
    <row r="60" spans="1:4">
      <c r="A60" s="2022"/>
      <c r="B60" s="2018"/>
    </row>
    <row r="61" spans="1:4">
      <c r="A61" s="2022"/>
      <c r="B61" s="2018"/>
    </row>
    <row r="62" spans="1:4">
      <c r="A62" s="2022"/>
      <c r="B62" s="2018"/>
    </row>
    <row r="63" spans="1:4">
      <c r="A63" s="2022"/>
      <c r="B63" s="2018"/>
    </row>
    <row r="64" spans="1:4">
      <c r="A64" s="2022"/>
      <c r="B64" s="2018"/>
    </row>
    <row r="65" spans="1:2">
      <c r="A65" s="2022"/>
      <c r="B65" s="2018"/>
    </row>
    <row r="66" spans="1:2">
      <c r="A66" s="2022"/>
      <c r="B66" s="2018"/>
    </row>
    <row r="67" spans="1:2">
      <c r="A67" s="2022"/>
      <c r="B67" s="2018"/>
    </row>
    <row r="68" spans="1:2">
      <c r="A68" s="2022"/>
      <c r="B68" s="2018"/>
    </row>
    <row r="69" spans="1:2">
      <c r="A69" s="2022"/>
      <c r="B69" s="2018"/>
    </row>
    <row r="70" spans="1:2">
      <c r="A70" s="2022"/>
      <c r="B70" s="2018"/>
    </row>
    <row r="71" spans="1:2">
      <c r="A71" s="2022"/>
      <c r="B71" s="2018"/>
    </row>
    <row r="72" spans="1:2">
      <c r="A72" s="2022"/>
      <c r="B72" s="2018"/>
    </row>
    <row r="73" spans="1:2">
      <c r="A73" s="2022"/>
      <c r="B73" s="2018"/>
    </row>
    <row r="74" spans="1:2">
      <c r="A74" s="2022"/>
      <c r="B74" s="2018"/>
    </row>
    <row r="75" spans="1:2">
      <c r="A75" s="2022"/>
      <c r="B75" s="2018"/>
    </row>
    <row r="76" spans="1:2">
      <c r="A76" s="2022"/>
      <c r="B76" s="2018"/>
    </row>
    <row r="77" spans="1:2">
      <c r="A77" s="2022"/>
      <c r="B77" s="2018"/>
    </row>
    <row r="78" spans="1:2">
      <c r="A78" s="2022"/>
      <c r="B78" s="2018"/>
    </row>
    <row r="79" spans="1:2">
      <c r="A79" s="2022"/>
      <c r="B79" s="2018"/>
    </row>
    <row r="80" spans="1:2">
      <c r="A80" s="2022"/>
      <c r="B80" s="2018"/>
    </row>
    <row r="81" spans="1:2">
      <c r="A81" s="2022"/>
      <c r="B81" s="2018"/>
    </row>
    <row r="82" spans="1:2">
      <c r="A82" s="2022"/>
      <c r="B82" s="2018"/>
    </row>
    <row r="83" spans="1:2">
      <c r="A83" s="2022"/>
      <c r="B83" s="2018"/>
    </row>
    <row r="84" spans="1:2">
      <c r="A84" s="2022"/>
      <c r="B84" s="2018"/>
    </row>
    <row r="85" spans="1:2">
      <c r="A85" s="2022"/>
      <c r="B85" s="2018"/>
    </row>
    <row r="86" spans="1:2">
      <c r="A86" s="2022"/>
      <c r="B86" s="2018"/>
    </row>
    <row r="87" spans="1:2">
      <c r="A87" s="2022"/>
      <c r="B87" s="2018"/>
    </row>
    <row r="88" spans="1:2">
      <c r="A88" s="2022"/>
      <c r="B88" s="2018"/>
    </row>
    <row r="89" spans="1:2">
      <c r="A89" s="2022"/>
      <c r="B89" s="2018"/>
    </row>
    <row r="90" spans="1:2">
      <c r="A90" s="2022"/>
      <c r="B90" s="2018"/>
    </row>
    <row r="91" spans="1:2">
      <c r="A91" s="2022"/>
      <c r="B91" s="2018"/>
    </row>
    <row r="92" spans="1:2">
      <c r="A92" s="2022"/>
      <c r="B92" s="2018"/>
    </row>
    <row r="93" spans="1:2">
      <c r="A93" s="2022"/>
      <c r="B93" s="2018"/>
    </row>
    <row r="94" spans="1:2">
      <c r="A94" s="2022"/>
      <c r="B94" s="2018"/>
    </row>
    <row r="95" spans="1:2">
      <c r="A95" s="2022"/>
      <c r="B95" s="2018"/>
    </row>
    <row r="96" spans="1:2">
      <c r="A96" s="2022"/>
      <c r="B96" s="2018"/>
    </row>
    <row r="97" spans="1:2">
      <c r="A97" s="2022"/>
      <c r="B97" s="2018"/>
    </row>
    <row r="98" spans="1:2">
      <c r="A98" s="2022"/>
      <c r="B98" s="2018"/>
    </row>
    <row r="99" spans="1:2">
      <c r="A99" s="2022"/>
      <c r="B99" s="2018"/>
    </row>
    <row r="100" spans="1:2">
      <c r="A100" s="2022"/>
      <c r="B100" s="2018"/>
    </row>
    <row r="101" spans="1:2">
      <c r="A101" s="2022"/>
      <c r="B101" s="2018"/>
    </row>
    <row r="102" spans="1:2">
      <c r="A102" s="2022"/>
      <c r="B102" s="2018"/>
    </row>
    <row r="103" spans="1:2">
      <c r="A103" s="2022"/>
      <c r="B103" s="2018"/>
    </row>
    <row r="104" spans="1:2">
      <c r="A104" s="2022"/>
      <c r="B104" s="2018"/>
    </row>
    <row r="105" spans="1:2">
      <c r="A105" s="2022"/>
      <c r="B105" s="2018"/>
    </row>
    <row r="106" spans="1:2">
      <c r="A106" s="2022"/>
      <c r="B106" s="2018"/>
    </row>
    <row r="107" spans="1:2">
      <c r="A107" s="2022"/>
      <c r="B107" s="2018"/>
    </row>
    <row r="108" spans="1:2">
      <c r="A108" s="2022"/>
      <c r="B108" s="2018"/>
    </row>
    <row r="109" spans="1:2">
      <c r="A109" s="2022"/>
      <c r="B109" s="2018"/>
    </row>
    <row r="110" spans="1:2">
      <c r="A110" s="2022"/>
      <c r="B110" s="2018"/>
    </row>
    <row r="111" spans="1:2">
      <c r="A111" s="2022"/>
      <c r="B111" s="2018"/>
    </row>
    <row r="112" spans="1:2">
      <c r="A112" s="2022"/>
      <c r="B112" s="2018"/>
    </row>
    <row r="113" spans="1:2">
      <c r="A113" s="2022"/>
      <c r="B113" s="2018"/>
    </row>
    <row r="114" spans="1:2">
      <c r="A114" s="2022"/>
      <c r="B114" s="2018"/>
    </row>
    <row r="115" spans="1:2">
      <c r="A115" s="2022"/>
      <c r="B115" s="2018"/>
    </row>
    <row r="116" spans="1:2">
      <c r="A116" s="2022"/>
      <c r="B116" s="2018"/>
    </row>
    <row r="117" spans="1:2">
      <c r="A117" s="2022"/>
      <c r="B117" s="2018"/>
    </row>
    <row r="118" spans="1:2">
      <c r="A118" s="2022"/>
      <c r="B118" s="2018"/>
    </row>
    <row r="119" spans="1:2">
      <c r="A119" s="2022"/>
      <c r="B119" s="2018"/>
    </row>
    <row r="120" spans="1:2">
      <c r="A120" s="2022"/>
      <c r="B120" s="2018"/>
    </row>
    <row r="121" spans="1:2">
      <c r="A121" s="2022"/>
      <c r="B121" s="2018"/>
    </row>
    <row r="122" spans="1:2">
      <c r="A122" s="2022"/>
      <c r="B122" s="2018"/>
    </row>
    <row r="123" spans="1:2">
      <c r="A123" s="2022"/>
      <c r="B123" s="2018"/>
    </row>
    <row r="124" spans="1:2">
      <c r="A124" s="2022"/>
      <c r="B124" s="2018"/>
    </row>
    <row r="125" spans="1:2">
      <c r="A125" s="2022"/>
      <c r="B125" s="2018"/>
    </row>
    <row r="126" spans="1:2">
      <c r="A126" s="2022"/>
      <c r="B126" s="2018"/>
    </row>
    <row r="127" spans="1:2">
      <c r="A127" s="2022"/>
      <c r="B127" s="2018"/>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tabSelected="1" view="pageBreakPreview" zoomScale="85" zoomScaleNormal="100" zoomScaleSheetLayoutView="85" workbookViewId="0">
      <selection activeCell="K14" sqref="K14"/>
    </sheetView>
  </sheetViews>
  <sheetFormatPr defaultColWidth="10" defaultRowHeight="18" customHeight="1"/>
  <cols>
    <col min="1" max="1" width="14.88671875" style="2031" customWidth="1"/>
    <col min="2" max="2" width="12" style="2031" customWidth="1"/>
    <col min="3" max="3" width="11.44140625" style="2031" customWidth="1"/>
    <col min="4" max="4" width="12.21875" style="2031" customWidth="1"/>
    <col min="5" max="6" width="10" style="2031" customWidth="1"/>
    <col min="7" max="7" width="10.77734375" style="2031" customWidth="1"/>
    <col min="8" max="8" width="10" style="2031" customWidth="1"/>
    <col min="9" max="9" width="11.109375" style="2157" customWidth="1"/>
    <col min="10" max="10" width="10" style="2031" customWidth="1"/>
    <col min="11" max="11" width="10" style="2158" customWidth="1"/>
    <col min="12" max="13" width="10" style="2159" customWidth="1"/>
    <col min="14" max="14" width="10" style="2031" customWidth="1"/>
    <col min="15" max="15" width="10" style="2157" customWidth="1"/>
    <col min="16" max="17" width="10" style="2031"/>
    <col min="18" max="18" width="10" style="2031" customWidth="1"/>
    <col min="19" max="16384" width="10" style="2031"/>
  </cols>
  <sheetData>
    <row r="1" spans="1:19" ht="38.25" customHeight="1" thickBot="1">
      <c r="A1" s="2024" t="s">
        <v>1771</v>
      </c>
      <c r="B1" s="3010" t="str">
        <f>IF(B10="北京市","北京市",C10)&amp;F10&amp;IF(结果表!G1="在建","出让国有建设用地使用权及在建建筑物",IF(结果表!G1="土地","出让国有建设用地使用权",))&amp;B9&amp;"预评估"</f>
        <v>山东省青岛市黄岛区开发区汉江路3号万达广场全幢、地下房地产抵押价值预评估</v>
      </c>
      <c r="C1" s="3011"/>
      <c r="D1" s="3011"/>
      <c r="E1" s="3011"/>
      <c r="F1" s="3011"/>
      <c r="G1" s="3011"/>
      <c r="H1" s="3011"/>
      <c r="I1" s="3012"/>
      <c r="J1" s="2025"/>
      <c r="K1" s="2026"/>
      <c r="L1" s="2027"/>
      <c r="M1" s="2027"/>
      <c r="N1" s="2028"/>
      <c r="O1" s="2029"/>
      <c r="P1" s="2028"/>
      <c r="Q1" s="2028"/>
      <c r="R1" s="2028"/>
      <c r="S1" s="2030" t="str">
        <f>IF(B10="北京市","北京市",C10)&amp;F10&amp;IF(结果表!G1="在建","出让国有建设用地使用权及在建建筑物房地产抵押价值",IF(结果表!G1="土地","出让国有建设用地使用权抵押价值",B9))</f>
        <v>山东省青岛市黄岛区开发区汉江路3号万达广场全幢、地下房地产抵押价值</v>
      </c>
    </row>
    <row r="2" spans="1:19" ht="18" customHeight="1">
      <c r="A2" s="2025" t="s">
        <v>1772</v>
      </c>
      <c r="B2" s="1039"/>
      <c r="C2" s="2032"/>
      <c r="D2" s="2025"/>
      <c r="E2" s="2033"/>
      <c r="F2" s="2033"/>
      <c r="G2" s="2025"/>
      <c r="H2" s="2025"/>
      <c r="I2" s="2025"/>
      <c r="J2" s="2025"/>
      <c r="K2" s="2026"/>
      <c r="L2" s="2027"/>
      <c r="M2" s="2027"/>
      <c r="N2" s="2028"/>
      <c r="O2" s="2029"/>
      <c r="P2" s="2028"/>
      <c r="Q2" s="2028"/>
      <c r="R2" s="2028"/>
      <c r="S2" s="2030" t="str">
        <f>IF(B10="北京市","北京市",C10)&amp;F10&amp;IF(结果表!G1="在建","出让国有建设用地使用权及在建建筑物房地产",IF(结果表!G1="土地","出让国有建设用地使用权","房地产"))</f>
        <v>山东省青岛市黄岛区开发区汉江路3号万达广场全幢、地下房地产</v>
      </c>
    </row>
    <row r="3" spans="1:19" ht="18" customHeight="1">
      <c r="A3" s="2034" t="s">
        <v>1773</v>
      </c>
      <c r="B3" s="2035">
        <v>43692</v>
      </c>
      <c r="C3" s="2036" t="s">
        <v>1774</v>
      </c>
      <c r="D3" s="2035">
        <f>B3</f>
        <v>43692</v>
      </c>
      <c r="E3" s="2025"/>
      <c r="F3" s="2025"/>
      <c r="G3" s="2025"/>
      <c r="H3" s="2025"/>
      <c r="I3" s="2025"/>
      <c r="J3" s="2025"/>
      <c r="K3" s="2026"/>
      <c r="L3" s="2027"/>
      <c r="M3" s="2027"/>
      <c r="N3" s="2028"/>
      <c r="O3" s="2029"/>
      <c r="P3" s="2028"/>
      <c r="Q3" s="2028"/>
      <c r="R3" s="2028"/>
      <c r="S3" s="2030"/>
    </row>
    <row r="4" spans="1:19" ht="18" customHeight="1" thickBot="1">
      <c r="A4" s="2037" t="s">
        <v>1775</v>
      </c>
      <c r="B4" s="2038" t="s">
        <v>3053</v>
      </c>
      <c r="C4" s="1037">
        <f ca="1">SUMIF(注册房地产估价师,B4,估价师及机构信息!B3:B24)</f>
        <v>1419970001</v>
      </c>
      <c r="D4" s="2038" t="s">
        <v>3054</v>
      </c>
      <c r="E4" s="1038">
        <f ca="1">SUMIF(注册房地产估价师,D4,估价师及机构信息!B3:B24)</f>
        <v>1120050019</v>
      </c>
      <c r="F4" s="2038" t="s">
        <v>70</v>
      </c>
      <c r="G4" s="2039">
        <f>SUMIF(注册房地产估价师,F4,估价师及机构信息!B3:B24)</f>
        <v>0</v>
      </c>
      <c r="H4" s="2038" t="s">
        <v>70</v>
      </c>
      <c r="I4" s="2040">
        <f>SUMIF(注册房地产估价师,H4,估价师及机构信息!B3:B24)</f>
        <v>0</v>
      </c>
      <c r="J4" s="2041"/>
      <c r="K4" s="2042" t="str">
        <f ca="1">CONCATENATE(B4,"（注册号：",C4,")、",D4,"（注册号：",E4,")")</f>
        <v>吴薇（注册号：1419970001)、王鹏（注册号：1120050019)</v>
      </c>
      <c r="L4" s="2027"/>
      <c r="M4" s="2027"/>
      <c r="N4" s="2028"/>
      <c r="O4" s="2029"/>
      <c r="P4" s="2028"/>
      <c r="Q4" s="2028"/>
      <c r="R4" s="2028"/>
      <c r="S4" s="2030"/>
    </row>
    <row r="5" spans="1:19" ht="18" customHeight="1" thickTop="1">
      <c r="A5" s="2043" t="s">
        <v>1776</v>
      </c>
      <c r="B5" s="2044"/>
      <c r="C5" s="2045"/>
      <c r="D5" s="2046"/>
      <c r="E5" s="2041"/>
      <c r="F5" s="2041"/>
      <c r="G5" s="2041"/>
      <c r="H5" s="2041"/>
      <c r="I5" s="2041"/>
      <c r="J5" s="2041"/>
      <c r="K5" s="2042" t="str">
        <f>IF(F4="——","",IF(H4="——",F4&amp;"（注册号："&amp;G4&amp;")",CONCATENATE(F4,"（注册号：",G4,")、",H4,"（注册号：",I4,")")))</f>
        <v/>
      </c>
      <c r="L5" s="2027"/>
      <c r="M5" s="2027"/>
      <c r="N5" s="2028"/>
      <c r="O5" s="2029"/>
      <c r="P5" s="2028"/>
      <c r="Q5" s="2028"/>
      <c r="R5" s="2028"/>
    </row>
    <row r="6" spans="1:19" ht="18" customHeight="1">
      <c r="A6" s="2047" t="s">
        <v>1777</v>
      </c>
      <c r="B6" s="2048"/>
      <c r="C6" s="2049"/>
      <c r="D6" s="2050"/>
      <c r="E6" s="2033"/>
      <c r="F6" s="2041"/>
      <c r="G6" s="2041"/>
      <c r="H6" s="2041"/>
      <c r="I6" s="2041"/>
      <c r="J6" s="2041"/>
      <c r="K6" s="2051" t="str">
        <f>IF(COUNTIF(B6,"*上海银行*"),"上海银行","")</f>
        <v/>
      </c>
      <c r="L6" s="2027"/>
      <c r="M6" s="2027"/>
      <c r="N6" s="2028"/>
      <c r="O6" s="2029"/>
      <c r="P6" s="2028"/>
      <c r="Q6" s="2028"/>
      <c r="R6" s="2028"/>
    </row>
    <row r="7" spans="1:19" ht="18" customHeight="1">
      <c r="A7" s="2047" t="s">
        <v>1778</v>
      </c>
      <c r="B7" s="2052"/>
      <c r="C7" s="2049"/>
      <c r="D7" s="2050"/>
      <c r="E7" s="2033"/>
      <c r="F7" s="2041"/>
      <c r="G7" s="2041"/>
      <c r="H7" s="2041"/>
      <c r="I7" s="2041"/>
      <c r="J7" s="2041"/>
      <c r="K7" s="2053"/>
      <c r="L7" s="2027"/>
      <c r="M7" s="2027"/>
      <c r="N7" s="2028"/>
      <c r="O7" s="2029"/>
      <c r="P7" s="2028"/>
      <c r="Q7" s="2028"/>
      <c r="R7" s="2028"/>
    </row>
    <row r="8" spans="1:19" ht="18" customHeight="1">
      <c r="A8" s="2047" t="s">
        <v>1779</v>
      </c>
      <c r="B8" s="2054" t="s">
        <v>3421</v>
      </c>
      <c r="C8" s="2055"/>
      <c r="D8" s="3013" t="s">
        <v>1780</v>
      </c>
      <c r="E8" s="2056" t="s">
        <v>3056</v>
      </c>
      <c r="F8" s="2057"/>
      <c r="G8" s="2025"/>
      <c r="H8" s="2025"/>
      <c r="I8" s="2025"/>
      <c r="J8" s="2041"/>
      <c r="K8" s="2042"/>
      <c r="L8" s="2027"/>
      <c r="M8" s="2027"/>
      <c r="N8" s="2028"/>
      <c r="O8" s="2029"/>
      <c r="P8" s="2028"/>
      <c r="Q8" s="2028"/>
      <c r="R8" s="2028"/>
    </row>
    <row r="9" spans="1:19" ht="18" customHeight="1" thickBot="1">
      <c r="A9" s="2039" t="s">
        <v>1781</v>
      </c>
      <c r="B9" s="2058" t="s">
        <v>3056</v>
      </c>
      <c r="C9" s="2059"/>
      <c r="D9" s="3014"/>
      <c r="E9" s="2058"/>
      <c r="F9" s="2060"/>
      <c r="G9" s="2061"/>
      <c r="H9" s="2061"/>
      <c r="I9" s="2061"/>
      <c r="J9" s="2041"/>
      <c r="K9" s="2053"/>
      <c r="L9" s="2027"/>
      <c r="M9" s="2027"/>
      <c r="N9" s="2028"/>
      <c r="O9" s="2029"/>
      <c r="P9" s="2028"/>
      <c r="Q9" s="2028"/>
      <c r="R9" s="2028"/>
    </row>
    <row r="10" spans="1:19" ht="18" customHeight="1" thickTop="1">
      <c r="A10" s="2062" t="s">
        <v>1782</v>
      </c>
      <c r="B10" s="2063" t="s">
        <v>3057</v>
      </c>
      <c r="C10" s="2952" t="s">
        <v>3058</v>
      </c>
      <c r="D10" s="2046"/>
      <c r="E10" s="2064" t="s">
        <v>1783</v>
      </c>
      <c r="F10" s="2065" t="s">
        <v>3059</v>
      </c>
      <c r="G10" s="2066"/>
      <c r="H10" s="2067"/>
      <c r="I10" s="2046"/>
      <c r="J10" s="2041"/>
      <c r="K10" s="2053"/>
      <c r="L10" s="2027"/>
      <c r="M10" s="2027"/>
      <c r="N10" s="2028"/>
      <c r="O10" s="2029"/>
      <c r="P10" s="2028"/>
      <c r="Q10" s="2028"/>
      <c r="R10" s="2028"/>
    </row>
    <row r="11" spans="1:19" ht="18" customHeight="1">
      <c r="A11" s="2068" t="s">
        <v>1784</v>
      </c>
      <c r="B11" s="2069" t="s">
        <v>3060</v>
      </c>
      <c r="C11" s="2953" t="s">
        <v>3061</v>
      </c>
      <c r="D11" s="2070"/>
      <c r="E11" s="2041"/>
      <c r="F11" s="2041"/>
      <c r="G11" s="2041"/>
      <c r="H11" s="2041"/>
      <c r="I11" s="2041"/>
      <c r="J11" s="2041"/>
      <c r="K11" s="2053"/>
      <c r="L11" s="2027"/>
      <c r="M11" s="2027"/>
      <c r="N11" s="2028"/>
      <c r="O11" s="2029"/>
      <c r="P11" s="2028"/>
      <c r="Q11" s="2028"/>
      <c r="R11" s="2028"/>
    </row>
    <row r="12" spans="1:19" ht="18" customHeight="1">
      <c r="A12" s="2071" t="s">
        <v>1785</v>
      </c>
      <c r="B12" s="2069" t="s">
        <v>3055</v>
      </c>
      <c r="C12" s="2072" t="s">
        <v>1786</v>
      </c>
      <c r="D12" s="2073" t="s">
        <v>1787</v>
      </c>
      <c r="E12" s="2073" t="s">
        <v>1788</v>
      </c>
      <c r="F12" s="2073" t="s">
        <v>1789</v>
      </c>
      <c r="G12" s="2073" t="s">
        <v>1790</v>
      </c>
      <c r="H12" s="2073" t="s">
        <v>1791</v>
      </c>
      <c r="I12" s="2073" t="s">
        <v>1792</v>
      </c>
      <c r="J12" s="2041"/>
      <c r="K12" s="2053"/>
      <c r="L12" s="2027"/>
      <c r="M12" s="2027"/>
      <c r="N12" s="2028"/>
      <c r="O12" s="2029"/>
      <c r="P12" s="2028"/>
      <c r="Q12" s="2028"/>
      <c r="R12" s="2028"/>
    </row>
    <row r="13" spans="1:19" ht="18" customHeight="1">
      <c r="A13" s="2074"/>
      <c r="B13" s="2075"/>
      <c r="C13" s="2076" t="s">
        <v>1793</v>
      </c>
      <c r="D13" s="2077"/>
      <c r="E13" s="2077">
        <v>56138</v>
      </c>
      <c r="F13" s="2077"/>
      <c r="G13" s="2077"/>
      <c r="H13" s="2077"/>
      <c r="I13" s="1047"/>
      <c r="J13" s="2041"/>
      <c r="K13" s="2053"/>
      <c r="L13" s="2027"/>
      <c r="M13" s="2027"/>
      <c r="N13" s="2028"/>
      <c r="O13" s="2029"/>
      <c r="P13" s="2028"/>
      <c r="Q13" s="2028"/>
      <c r="R13" s="2028"/>
    </row>
    <row r="14" spans="1:19" ht="18" customHeight="1">
      <c r="A14" s="2074"/>
      <c r="B14" s="2075"/>
      <c r="C14" s="2076" t="s">
        <v>1794</v>
      </c>
      <c r="D14" s="1050"/>
      <c r="E14" s="1050">
        <v>40</v>
      </c>
      <c r="F14" s="1050"/>
      <c r="G14" s="1050"/>
      <c r="H14" s="1050"/>
      <c r="I14" s="1050"/>
      <c r="J14" s="2041"/>
      <c r="K14" s="2078"/>
      <c r="L14" s="2027"/>
      <c r="M14" s="2027"/>
      <c r="N14" s="2028"/>
      <c r="O14" s="2029"/>
      <c r="P14" s="2028"/>
      <c r="Q14" s="2028"/>
      <c r="R14" s="2028"/>
    </row>
    <row r="15" spans="1:19" ht="18" customHeight="1">
      <c r="A15" s="2062"/>
      <c r="B15" s="2079"/>
      <c r="C15" s="2076" t="s">
        <v>1795</v>
      </c>
      <c r="D15" s="1049" t="str">
        <f>IF(B12="出让",IF(D13="","",ROUNDDOWN(MIN((D13-$D$3)/365,D14),2)),D14)</f>
        <v/>
      </c>
      <c r="E15" s="1049">
        <f>IF(B12="出让",IF(E13="","",ROUNDDOWN(MIN((E13-$D$3)/365,E14),2)),E14)</f>
        <v>34.090000000000003</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1"/>
      <c r="K15" s="2080"/>
      <c r="L15" s="2081"/>
      <c r="M15" s="2081"/>
      <c r="N15" s="2082"/>
      <c r="O15" s="2081"/>
      <c r="P15" s="2082"/>
      <c r="Q15" s="2028"/>
      <c r="R15" s="2028"/>
    </row>
    <row r="16" spans="1:19" ht="30.75" customHeight="1">
      <c r="A16" s="2064" t="s">
        <v>1796</v>
      </c>
      <c r="B16" s="3020"/>
      <c r="C16" s="3021"/>
      <c r="D16" s="3022"/>
      <c r="E16" s="2083" t="s">
        <v>1797</v>
      </c>
      <c r="F16" s="3023"/>
      <c r="G16" s="3024"/>
      <c r="H16" s="3024"/>
      <c r="I16" s="3025"/>
      <c r="J16" s="2028"/>
      <c r="K16" s="2080"/>
      <c r="L16" s="2081"/>
      <c r="M16" s="2081"/>
      <c r="N16" s="2082"/>
      <c r="O16" s="2081"/>
      <c r="P16" s="2082"/>
      <c r="Q16" s="2028"/>
      <c r="R16" s="2028"/>
    </row>
    <row r="17" spans="1:22" ht="18" customHeight="1">
      <c r="A17" s="2084" t="s">
        <v>1798</v>
      </c>
      <c r="B17" s="2034" t="s">
        <v>1799</v>
      </c>
      <c r="C17" s="1054">
        <f>'数据-汇总表'!E3</f>
        <v>76522.880000000005</v>
      </c>
      <c r="D17" s="2085" t="s">
        <v>1800</v>
      </c>
      <c r="E17" s="3026" t="s">
        <v>1801</v>
      </c>
      <c r="F17" s="3027"/>
      <c r="G17" s="3027"/>
      <c r="H17" s="3027"/>
      <c r="I17" s="3028"/>
      <c r="J17" s="2028"/>
      <c r="K17" s="2086"/>
      <c r="L17" s="2081"/>
      <c r="M17" s="2081"/>
      <c r="N17" s="2082"/>
      <c r="O17" s="2081"/>
      <c r="P17" s="2082"/>
      <c r="Q17" s="2028"/>
      <c r="R17" s="2028"/>
      <c r="S17" s="2028"/>
      <c r="T17" s="2028"/>
      <c r="U17" s="2028"/>
      <c r="V17" s="2028"/>
    </row>
    <row r="18" spans="1:22" ht="36" customHeight="1" thickBot="1">
      <c r="A18" s="2087" t="s">
        <v>1802</v>
      </c>
      <c r="B18" s="2037" t="s">
        <v>1803</v>
      </c>
      <c r="C18" s="1444">
        <f>'数据-汇总表'!D3</f>
        <v>0</v>
      </c>
      <c r="D18" s="2088" t="s">
        <v>1800</v>
      </c>
      <c r="E18" s="3029" t="s">
        <v>1804</v>
      </c>
      <c r="F18" s="3030"/>
      <c r="G18" s="3030"/>
      <c r="H18" s="3030"/>
      <c r="I18" s="3031"/>
      <c r="J18" s="2028"/>
      <c r="K18" s="2086"/>
      <c r="L18" s="2081"/>
      <c r="M18" s="2081"/>
      <c r="N18" s="2082"/>
      <c r="O18" s="2081"/>
      <c r="P18" s="2082"/>
      <c r="Q18" s="2028"/>
      <c r="R18" s="2028"/>
      <c r="S18" s="2028"/>
      <c r="T18" s="2028"/>
      <c r="U18" s="2028"/>
      <c r="V18" s="2028"/>
    </row>
    <row r="19" spans="1:22" ht="37.5" customHeight="1" thickTop="1" thickBot="1">
      <c r="A19" s="373" t="s">
        <v>1805</v>
      </c>
      <c r="B19" s="352" t="s">
        <v>1806</v>
      </c>
      <c r="C19" s="2089"/>
      <c r="D19" s="2090" t="s">
        <v>1807</v>
      </c>
      <c r="E19" s="2091"/>
      <c r="F19" s="2092" t="str">
        <f>IF(AND(C19="是",E19="否"),"是否提供他项权证或相关说明","")</f>
        <v/>
      </c>
      <c r="G19" s="2093"/>
      <c r="H19" s="2041"/>
      <c r="I19" s="2041"/>
      <c r="J19" s="2041"/>
      <c r="K19" s="2053"/>
      <c r="L19" s="2027"/>
      <c r="M19" s="2027"/>
      <c r="N19" s="2082"/>
      <c r="O19" s="2081"/>
      <c r="P19" s="2082"/>
      <c r="Q19" s="2028"/>
      <c r="R19" s="2028"/>
      <c r="S19" s="2028"/>
      <c r="T19" s="2028"/>
      <c r="U19" s="2028"/>
      <c r="V19" s="2028"/>
    </row>
    <row r="20" spans="1:22" ht="18" customHeight="1">
      <c r="A20" s="2094" t="s">
        <v>1808</v>
      </c>
      <c r="B20" s="3016" t="s">
        <v>1809</v>
      </c>
      <c r="C20" s="3017"/>
      <c r="D20" s="3018" t="s">
        <v>1810</v>
      </c>
      <c r="E20" s="3019"/>
      <c r="F20" s="2095" t="s">
        <v>1811</v>
      </c>
      <c r="G20" s="2041"/>
      <c r="H20" s="2041"/>
      <c r="I20" s="2041"/>
      <c r="J20" s="2041"/>
      <c r="K20" s="3015" t="s">
        <v>1812</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7"/>
      <c r="N20" s="2082"/>
      <c r="O20" s="2081"/>
      <c r="P20" s="2082"/>
      <c r="Q20" s="2028"/>
      <c r="R20" s="2028"/>
      <c r="S20" s="2028"/>
      <c r="T20" s="2028"/>
      <c r="U20" s="2028"/>
      <c r="V20" s="2028"/>
    </row>
    <row r="21" spans="1:22" ht="24.75" customHeight="1">
      <c r="A21" s="2094"/>
      <c r="B21" s="2096" t="s">
        <v>1813</v>
      </c>
      <c r="C21" s="2097" t="s">
        <v>1814</v>
      </c>
      <c r="D21" s="2098" t="s">
        <v>1815</v>
      </c>
      <c r="E21" s="2099" t="s">
        <v>1814</v>
      </c>
      <c r="F21" s="2100"/>
      <c r="G21" s="2041"/>
      <c r="H21" s="2041"/>
      <c r="I21" s="2041"/>
      <c r="J21" s="2041"/>
      <c r="K21" s="301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7"/>
      <c r="N21" s="2082"/>
      <c r="O21" s="2081"/>
      <c r="P21" s="2082"/>
      <c r="Q21" s="2028"/>
      <c r="R21" s="2028"/>
      <c r="S21" s="2028"/>
      <c r="T21" s="2028"/>
      <c r="U21" s="2028"/>
      <c r="V21" s="2028"/>
    </row>
    <row r="22" spans="1:22" ht="24.75" customHeight="1" thickBot="1">
      <c r="A22" s="2094"/>
      <c r="B22" s="2101" t="s">
        <v>1816</v>
      </c>
      <c r="C22" s="2097" t="s">
        <v>1817</v>
      </c>
      <c r="D22" s="2025"/>
      <c r="E22" s="2025"/>
      <c r="F22" s="2102"/>
      <c r="G22" s="2041"/>
      <c r="H22" s="2041"/>
      <c r="I22" s="2041"/>
      <c r="J22" s="2041"/>
      <c r="K22" s="301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7"/>
      <c r="N22" s="2082"/>
      <c r="O22" s="2081"/>
      <c r="P22" s="2082"/>
      <c r="Q22" s="2028"/>
      <c r="R22" s="2028"/>
      <c r="S22" s="2028"/>
      <c r="T22" s="2028"/>
      <c r="U22" s="2028"/>
      <c r="V22" s="2028"/>
    </row>
    <row r="23" spans="1:22" ht="18" customHeight="1">
      <c r="A23" s="2103" t="s">
        <v>1818</v>
      </c>
      <c r="B23" s="183" t="s">
        <v>1819</v>
      </c>
      <c r="C23" s="2104"/>
      <c r="D23" s="2105" t="s">
        <v>1819</v>
      </c>
      <c r="E23" s="2106"/>
      <c r="F23" s="2102"/>
      <c r="G23" s="2041"/>
      <c r="H23" s="2041"/>
      <c r="I23" s="2041"/>
      <c r="J23" s="2041"/>
      <c r="K23" s="2107"/>
      <c r="L23" s="748"/>
      <c r="M23" s="2027"/>
      <c r="N23" s="2082"/>
      <c r="O23" s="2081"/>
      <c r="P23" s="2082"/>
      <c r="Q23" s="2028"/>
      <c r="R23" s="2028"/>
      <c r="S23" s="2028"/>
      <c r="T23" s="2028"/>
      <c r="U23" s="2028"/>
      <c r="V23" s="2028"/>
    </row>
    <row r="24" spans="1:22" ht="18" customHeight="1">
      <c r="A24" s="2108"/>
      <c r="B24" s="183" t="s">
        <v>1820</v>
      </c>
      <c r="C24" s="2109"/>
      <c r="D24" s="2103" t="s">
        <v>1820</v>
      </c>
      <c r="E24" s="2110"/>
      <c r="F24" s="2102"/>
      <c r="G24" s="2041"/>
      <c r="H24" s="2041"/>
      <c r="I24" s="2041"/>
      <c r="J24" s="2041"/>
      <c r="K24" s="2107"/>
      <c r="L24" s="748"/>
      <c r="M24" s="2027"/>
      <c r="N24" s="2082"/>
      <c r="O24" s="2081"/>
      <c r="P24" s="2082"/>
      <c r="Q24" s="2028"/>
      <c r="R24" s="2028"/>
      <c r="S24" s="2028"/>
      <c r="T24" s="2028"/>
      <c r="U24" s="2028"/>
      <c r="V24" s="2028"/>
    </row>
    <row r="25" spans="1:22" ht="18" customHeight="1">
      <c r="A25" s="2108"/>
      <c r="B25" s="183" t="s">
        <v>1821</v>
      </c>
      <c r="C25" s="2109"/>
      <c r="D25" s="2103" t="s">
        <v>1821</v>
      </c>
      <c r="E25" s="2110"/>
      <c r="F25" s="2102"/>
      <c r="G25" s="2041"/>
      <c r="H25" s="2041"/>
      <c r="I25" s="2041"/>
      <c r="J25" s="2041"/>
      <c r="K25" s="2053"/>
      <c r="L25" s="2027"/>
      <c r="M25" s="2027"/>
      <c r="N25" s="2082"/>
      <c r="O25" s="2081"/>
      <c r="P25" s="2082"/>
      <c r="Q25" s="2028"/>
      <c r="R25" s="2028"/>
      <c r="S25" s="2028"/>
      <c r="T25" s="2028"/>
      <c r="U25" s="2028"/>
      <c r="V25" s="2028"/>
    </row>
    <row r="26" spans="1:22" ht="18" customHeight="1" thickBot="1">
      <c r="A26" s="2111"/>
      <c r="B26" s="2112" t="s">
        <v>1822</v>
      </c>
      <c r="C26" s="2113"/>
      <c r="D26" s="2114" t="s">
        <v>1823</v>
      </c>
      <c r="E26" s="2115"/>
      <c r="F26" s="2116"/>
      <c r="G26" s="2061"/>
      <c r="H26" s="2061"/>
      <c r="I26" s="2061"/>
      <c r="J26" s="2041"/>
      <c r="K26" s="2053"/>
      <c r="L26" s="2027"/>
      <c r="M26" s="2027"/>
      <c r="N26" s="2082"/>
      <c r="O26" s="2081"/>
      <c r="P26" s="2082"/>
      <c r="Q26" s="2028"/>
      <c r="R26" s="2028"/>
      <c r="S26" s="2028"/>
      <c r="T26" s="2028"/>
      <c r="U26" s="2028"/>
      <c r="V26" s="2028"/>
    </row>
    <row r="27" spans="1:22" ht="18" customHeight="1" thickTop="1">
      <c r="A27" s="3033" t="s">
        <v>1824</v>
      </c>
      <c r="B27" s="2062" t="s">
        <v>1825</v>
      </c>
      <c r="C27" s="2117" t="s">
        <v>3062</v>
      </c>
      <c r="D27" s="2118"/>
      <c r="E27" s="2041"/>
      <c r="F27" s="2041"/>
      <c r="G27" s="2041"/>
      <c r="H27" s="2041"/>
      <c r="I27" s="2041"/>
      <c r="J27" s="2028"/>
      <c r="K27" s="2080"/>
      <c r="L27" s="2081"/>
      <c r="M27" s="2081"/>
      <c r="N27" s="2082"/>
      <c r="O27" s="2081"/>
      <c r="P27" s="2082"/>
      <c r="Q27" s="2028"/>
      <c r="R27" s="2028"/>
      <c r="S27" s="2028"/>
      <c r="T27" s="2028"/>
      <c r="U27" s="2028"/>
      <c r="V27" s="2028"/>
    </row>
    <row r="28" spans="1:22" ht="18" customHeight="1">
      <c r="A28" s="3033"/>
      <c r="B28" s="2034" t="s">
        <v>1826</v>
      </c>
      <c r="C28" s="2119" t="s">
        <v>3063</v>
      </c>
      <c r="D28" s="2120"/>
      <c r="E28" s="2041"/>
      <c r="F28" s="2041"/>
      <c r="G28" s="2041"/>
      <c r="H28" s="2041"/>
      <c r="I28" s="2041"/>
      <c r="J28" s="2028"/>
      <c r="K28" s="2121"/>
      <c r="L28" s="2027"/>
      <c r="M28" s="2027"/>
      <c r="N28" s="2028"/>
      <c r="O28" s="2029"/>
      <c r="P28" s="2028"/>
      <c r="Q28" s="2028"/>
      <c r="R28" s="2028"/>
      <c r="S28" s="2028"/>
      <c r="T28" s="2028"/>
      <c r="U28" s="2028"/>
      <c r="V28" s="2028"/>
    </row>
    <row r="29" spans="1:22" ht="18" customHeight="1">
      <c r="A29" s="3033"/>
      <c r="B29" s="2034" t="s">
        <v>1827</v>
      </c>
      <c r="C29" s="2122"/>
      <c r="D29" s="2123"/>
      <c r="E29" s="2041"/>
      <c r="F29" s="2041"/>
      <c r="G29" s="2041"/>
      <c r="H29" s="2041"/>
      <c r="I29" s="2041"/>
      <c r="J29" s="2028"/>
      <c r="K29" s="2121"/>
      <c r="L29" s="2027"/>
      <c r="M29" s="2027"/>
      <c r="N29" s="2028"/>
      <c r="O29" s="2029"/>
      <c r="P29" s="2028"/>
      <c r="Q29" s="2028"/>
      <c r="R29" s="2028"/>
      <c r="S29" s="2028"/>
      <c r="T29" s="2028"/>
      <c r="U29" s="2028"/>
      <c r="V29" s="2028"/>
    </row>
    <row r="30" spans="1:22" ht="18" customHeight="1">
      <c r="A30" s="3034"/>
      <c r="B30" s="2034" t="s">
        <v>1828</v>
      </c>
      <c r="C30" s="3035"/>
      <c r="D30" s="3036"/>
      <c r="E30" s="2041"/>
      <c r="F30" s="2041"/>
      <c r="G30" s="2041"/>
      <c r="H30" s="2041"/>
      <c r="I30" s="2041"/>
      <c r="J30" s="2028"/>
      <c r="K30" s="2121"/>
      <c r="L30" s="2027"/>
      <c r="M30" s="2027"/>
      <c r="N30" s="2028"/>
      <c r="O30" s="2029"/>
      <c r="P30" s="2028"/>
      <c r="Q30" s="2028"/>
      <c r="R30" s="2028"/>
      <c r="S30" s="2028"/>
      <c r="T30" s="2028"/>
      <c r="U30" s="2028"/>
      <c r="V30" s="2028"/>
    </row>
    <row r="31" spans="1:22" ht="18" customHeight="1">
      <c r="A31" s="3037" t="s">
        <v>1829</v>
      </c>
      <c r="B31" s="2124" t="s">
        <v>3064</v>
      </c>
      <c r="C31" s="2125" t="str">
        <f>IF(B31="现房","成新及维护状况正常否",IF(B31="在建","工程状态是否正常",IF(B31="土地","是否闲置","-")))</f>
        <v>成新及维护状况正常否</v>
      </c>
      <c r="D31" s="2126"/>
      <c r="E31" s="2127"/>
      <c r="F31" s="2041"/>
      <c r="G31" s="2041"/>
      <c r="H31" s="2041"/>
      <c r="I31" s="2041"/>
      <c r="J31" s="2041"/>
      <c r="K31" s="2051"/>
      <c r="L31" s="2027"/>
      <c r="M31" s="2027"/>
      <c r="N31" s="2028"/>
      <c r="O31" s="2029"/>
      <c r="P31" s="2028"/>
      <c r="Q31" s="2028"/>
      <c r="R31" s="2028"/>
      <c r="S31" s="2028"/>
      <c r="T31" s="2028"/>
      <c r="U31" s="2028"/>
      <c r="V31" s="2028"/>
    </row>
    <row r="32" spans="1:22" ht="18" customHeight="1">
      <c r="A32" s="3038"/>
      <c r="B32" s="2124"/>
      <c r="C32" s="2125" t="str">
        <f>IF(B32="现房","成新及维护状况是否正常",IF(B32="在建","工程状态是否正常",IF(B32="土地","是否闲置","-")))</f>
        <v>-</v>
      </c>
      <c r="D32" s="2126"/>
      <c r="E32" s="2127"/>
      <c r="F32" s="2041"/>
      <c r="G32" s="2041"/>
      <c r="H32" s="2041"/>
      <c r="I32" s="2041"/>
      <c r="J32" s="2041"/>
      <c r="K32" s="2053"/>
      <c r="L32" s="2027"/>
      <c r="M32" s="2027"/>
      <c r="N32" s="2028"/>
      <c r="O32" s="2029"/>
      <c r="P32" s="2028"/>
      <c r="Q32" s="2028"/>
      <c r="R32" s="2028"/>
      <c r="S32" s="2028"/>
      <c r="T32" s="2028"/>
      <c r="U32" s="2028"/>
      <c r="V32" s="2028"/>
    </row>
    <row r="33" spans="1:22" ht="18" customHeight="1">
      <c r="A33" s="3038"/>
      <c r="B33" s="2128"/>
      <c r="C33" s="2068" t="str">
        <f>IF(B33="现房","成新及维护状况是否正常",IF(B33="在建","工程状态是否正常",IF(B33="土地","是否闲置","-")))</f>
        <v>-</v>
      </c>
      <c r="D33" s="2129"/>
      <c r="E33" s="2130"/>
      <c r="F33" s="2041"/>
      <c r="G33" s="2041"/>
      <c r="H33" s="2041"/>
      <c r="I33" s="2041"/>
      <c r="J33" s="2041"/>
      <c r="K33" s="2053"/>
      <c r="L33" s="2027"/>
      <c r="M33" s="2027"/>
      <c r="N33" s="2028"/>
      <c r="O33" s="2029"/>
      <c r="P33" s="2028"/>
      <c r="Q33" s="2028"/>
      <c r="R33" s="2028"/>
      <c r="S33" s="2028"/>
      <c r="T33" s="2028"/>
      <c r="U33" s="2028"/>
      <c r="V33" s="2028"/>
    </row>
    <row r="34" spans="1:22" ht="18" customHeight="1">
      <c r="A34" s="2034" t="s">
        <v>1830</v>
      </c>
      <c r="B34" s="2131" t="s">
        <v>3065</v>
      </c>
      <c r="C34" s="2131" t="s">
        <v>3066</v>
      </c>
      <c r="D34" s="2131" t="s">
        <v>3067</v>
      </c>
      <c r="E34" s="2131" t="s">
        <v>3068</v>
      </c>
      <c r="F34" s="2131" t="s">
        <v>3069</v>
      </c>
      <c r="G34" s="2131"/>
      <c r="H34" s="2131"/>
      <c r="I34" s="2041"/>
      <c r="J34" s="2041"/>
      <c r="K34" s="1795">
        <f>COUNTIF(B34:H34,"——")</f>
        <v>0</v>
      </c>
      <c r="L34" s="2072" t="s">
        <v>1831</v>
      </c>
      <c r="M34" s="2072" t="s">
        <v>1832</v>
      </c>
      <c r="N34" s="2072" t="s">
        <v>1833</v>
      </c>
      <c r="O34" s="2072" t="s">
        <v>1834</v>
      </c>
      <c r="P34" s="2072" t="s">
        <v>1835</v>
      </c>
      <c r="Q34" s="2072" t="s">
        <v>1836</v>
      </c>
      <c r="R34" s="2072" t="s">
        <v>1837</v>
      </c>
      <c r="S34" s="3032" t="s">
        <v>1838</v>
      </c>
      <c r="T34" s="2132" t="str">
        <f>NUMBERSTRING(7-K34,1)&amp;"通"</f>
        <v>七通</v>
      </c>
      <c r="U34" s="2028"/>
      <c r="V34" s="2028"/>
    </row>
    <row r="35" spans="1:22" ht="18" customHeight="1">
      <c r="A35" s="2133"/>
      <c r="B35" s="3039" t="s">
        <v>1839</v>
      </c>
      <c r="C35" s="3039"/>
      <c r="D35" s="3039"/>
      <c r="E35" s="3039"/>
      <c r="F35" s="2134" t="str">
        <f>C10</f>
        <v>山东省</v>
      </c>
      <c r="G35" s="2041"/>
      <c r="H35" s="2041"/>
      <c r="I35" s="2041"/>
      <c r="J35" s="2041"/>
      <c r="K35" s="2072"/>
      <c r="L35" s="2072"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32"/>
      <c r="T35" s="48" t="str">
        <f>IF(T34="一通",L35,IF(T34="二通",M35,IF(T34="三通",N35,IF(T34="四通",O35,IF(T34="五通",P35,IF(T34="六通",Q35,R35))))))</f>
        <v>通路、通电、通讯、通上水、通下水、、</v>
      </c>
      <c r="U35" s="2028"/>
      <c r="V35" s="2028"/>
    </row>
    <row r="36" spans="1:22" ht="18" customHeight="1">
      <c r="A36" s="2135"/>
      <c r="B36" s="2134" t="s">
        <v>1840</v>
      </c>
      <c r="C36" s="2134" t="s">
        <v>1841</v>
      </c>
      <c r="D36" s="2134" t="s">
        <v>1842</v>
      </c>
      <c r="E36" s="2134" t="s">
        <v>1843</v>
      </c>
      <c r="F36" s="2136"/>
      <c r="G36" s="2041"/>
      <c r="H36" s="2041"/>
      <c r="I36" s="2041"/>
      <c r="J36" s="2041"/>
      <c r="K36" s="2053"/>
      <c r="L36" s="2027"/>
      <c r="M36" s="2027"/>
      <c r="N36" s="2028"/>
      <c r="O36" s="2029"/>
      <c r="P36" s="2028"/>
      <c r="Q36" s="2028"/>
      <c r="R36" s="2028"/>
      <c r="S36" s="2028"/>
      <c r="T36" s="2028"/>
      <c r="U36" s="2028"/>
      <c r="V36" s="2028"/>
    </row>
    <row r="37" spans="1:22" ht="18" customHeight="1">
      <c r="A37" s="2137" t="s">
        <v>1844</v>
      </c>
      <c r="B37" s="2138"/>
      <c r="C37" s="2138"/>
      <c r="D37" s="2138"/>
      <c r="E37" s="2138"/>
      <c r="F37" s="2136"/>
      <c r="G37" s="2041"/>
      <c r="H37" s="2041"/>
      <c r="I37" s="2041"/>
      <c r="J37" s="2041"/>
      <c r="K37" s="2053"/>
      <c r="L37" s="2027"/>
      <c r="M37" s="2027"/>
      <c r="N37" s="2028"/>
      <c r="O37" s="2029"/>
      <c r="P37" s="2028"/>
      <c r="Q37" s="2028"/>
      <c r="R37" s="2028"/>
      <c r="S37" s="2028"/>
      <c r="T37" s="2028"/>
      <c r="U37" s="2028"/>
      <c r="V37" s="2028"/>
    </row>
    <row r="38" spans="1:22" ht="18" customHeight="1" thickBot="1">
      <c r="A38" s="2139" t="s">
        <v>1845</v>
      </c>
      <c r="B38" s="2140"/>
      <c r="C38" s="2140"/>
      <c r="D38" s="2140"/>
      <c r="E38" s="2140"/>
      <c r="F38" s="2141"/>
      <c r="G38" s="2061"/>
      <c r="H38" s="2061"/>
      <c r="I38" s="2061"/>
      <c r="J38" s="2041"/>
      <c r="K38" s="2053"/>
      <c r="L38" s="2027"/>
      <c r="M38" s="2027"/>
      <c r="N38" s="2028"/>
      <c r="O38" s="2029"/>
      <c r="P38" s="2028"/>
      <c r="Q38" s="2028"/>
      <c r="R38" s="2028"/>
      <c r="S38" s="2028"/>
      <c r="T38" s="2028"/>
      <c r="U38" s="2028"/>
      <c r="V38" s="2028"/>
    </row>
    <row r="39" spans="1:22" s="2146" customFormat="1" ht="18" customHeight="1" thickTop="1" thickBot="1">
      <c r="A39" s="2142" t="s">
        <v>1846</v>
      </c>
      <c r="B39" s="2143"/>
      <c r="C39" s="2143"/>
      <c r="D39" s="2143"/>
      <c r="E39" s="2143"/>
      <c r="F39" s="2143"/>
      <c r="G39" s="2143"/>
      <c r="H39" s="2143"/>
      <c r="I39" s="2143"/>
      <c r="J39" s="2143"/>
      <c r="K39" s="2144"/>
      <c r="L39" s="2143"/>
      <c r="M39" s="2143"/>
      <c r="N39" s="2143"/>
      <c r="O39" s="2145"/>
      <c r="P39" s="2143"/>
      <c r="Q39" s="2143"/>
      <c r="R39" s="2143"/>
      <c r="S39" s="2143"/>
      <c r="T39" s="2143"/>
      <c r="U39" s="2143"/>
      <c r="V39" s="2143"/>
    </row>
    <row r="40" spans="1:22" ht="18" customHeight="1">
      <c r="A40" s="2028"/>
      <c r="B40" s="2028"/>
      <c r="C40" s="2028"/>
      <c r="D40" s="2028"/>
      <c r="E40" s="2028"/>
      <c r="F40" s="2028"/>
      <c r="G40" s="2028"/>
      <c r="H40" s="2028"/>
      <c r="I40" s="2147"/>
      <c r="J40" s="2082"/>
      <c r="K40" s="666"/>
      <c r="L40" s="2081"/>
      <c r="M40" s="2081"/>
      <c r="N40" s="2082"/>
      <c r="O40" s="2081"/>
      <c r="P40" s="2028"/>
      <c r="Q40" s="2028"/>
      <c r="R40" s="2028"/>
      <c r="S40" s="2028"/>
      <c r="T40" s="2028"/>
      <c r="U40" s="2028"/>
      <c r="V40" s="2028"/>
    </row>
    <row r="41" spans="1:22" ht="18" customHeight="1">
      <c r="A41" s="8" t="s">
        <v>1847</v>
      </c>
      <c r="B41" s="2148"/>
      <c r="C41" s="2149"/>
      <c r="D41" s="2028"/>
      <c r="E41" s="2028"/>
      <c r="F41" s="2028"/>
      <c r="G41" s="2028"/>
      <c r="H41" s="2028"/>
      <c r="I41" s="2029"/>
      <c r="J41" s="2028"/>
      <c r="K41" s="2121"/>
      <c r="L41" s="2027"/>
      <c r="M41" s="2027"/>
      <c r="N41" s="2028"/>
      <c r="O41" s="2029"/>
      <c r="P41" s="2028"/>
      <c r="Q41" s="2028"/>
      <c r="R41" s="2028"/>
      <c r="S41" s="2028"/>
      <c r="T41" s="2028"/>
      <c r="U41" s="2028"/>
      <c r="V41" s="2028"/>
    </row>
    <row r="42" spans="1:22" ht="18" customHeight="1">
      <c r="A42" s="2072" t="s">
        <v>1848</v>
      </c>
      <c r="B42" s="1795" t="s">
        <v>1849</v>
      </c>
      <c r="C42" s="1795" t="s">
        <v>1850</v>
      </c>
      <c r="D42" s="1795" t="s">
        <v>1851</v>
      </c>
      <c r="E42" s="1795" t="s">
        <v>1852</v>
      </c>
      <c r="F42" s="1795" t="s">
        <v>1853</v>
      </c>
      <c r="G42" s="1795" t="s">
        <v>1854</v>
      </c>
      <c r="H42" s="1795" t="s">
        <v>1855</v>
      </c>
      <c r="I42" s="1795" t="s">
        <v>1856</v>
      </c>
      <c r="J42" s="2150" t="s">
        <v>1857</v>
      </c>
      <c r="K42" s="2073" t="s">
        <v>1858</v>
      </c>
      <c r="L42" s="2073" t="s">
        <v>1859</v>
      </c>
      <c r="M42" s="2073" t="s">
        <v>1860</v>
      </c>
      <c r="N42" s="1795" t="s">
        <v>1861</v>
      </c>
      <c r="O42" s="1795" t="s">
        <v>1862</v>
      </c>
      <c r="P42" s="1795" t="s">
        <v>1863</v>
      </c>
      <c r="Q42" s="2072" t="s">
        <v>1864</v>
      </c>
      <c r="R42" s="2072" t="s">
        <v>1865</v>
      </c>
      <c r="S42" s="2028"/>
      <c r="T42" s="2028"/>
      <c r="U42" s="2028"/>
      <c r="V42" s="2028"/>
    </row>
    <row r="43" spans="1:22" s="2155" customFormat="1" ht="18" customHeight="1">
      <c r="A43" s="2151"/>
      <c r="B43" s="1272"/>
      <c r="C43" s="1272"/>
      <c r="D43" s="1272"/>
      <c r="E43" s="1272"/>
      <c r="F43" s="1272"/>
      <c r="G43" s="1272"/>
      <c r="H43" s="9"/>
      <c r="I43" s="9"/>
      <c r="J43" s="2152"/>
      <c r="K43" s="2153"/>
      <c r="L43" s="2153"/>
      <c r="M43" s="9"/>
      <c r="N43" s="1272"/>
      <c r="O43" s="9"/>
      <c r="P43" s="1272"/>
      <c r="Q43" s="1272"/>
      <c r="R43" s="1272"/>
      <c r="S43" s="2154"/>
      <c r="T43" s="2154"/>
      <c r="U43" s="2154"/>
      <c r="V43" s="2154"/>
    </row>
    <row r="44" spans="1:22" s="2155" customFormat="1" ht="18" customHeight="1">
      <c r="A44" s="2151"/>
      <c r="B44" s="2151"/>
      <c r="C44" s="1272"/>
      <c r="D44" s="1272"/>
      <c r="E44" s="1272"/>
      <c r="F44" s="1272"/>
      <c r="G44" s="1272"/>
      <c r="H44" s="9"/>
      <c r="I44" s="9"/>
      <c r="J44" s="2152"/>
      <c r="K44" s="2153"/>
      <c r="L44" s="2153"/>
      <c r="M44" s="9"/>
      <c r="N44" s="1272"/>
      <c r="O44" s="9"/>
      <c r="P44" s="1272"/>
      <c r="Q44" s="1272"/>
      <c r="R44" s="1272"/>
      <c r="S44" s="2154"/>
      <c r="T44" s="2154"/>
      <c r="U44" s="2154"/>
      <c r="V44" s="2154"/>
    </row>
    <row r="45" spans="1:22" s="2155" customFormat="1" ht="18" customHeight="1">
      <c r="A45" s="2151"/>
      <c r="B45" s="2151"/>
      <c r="C45" s="1272"/>
      <c r="D45" s="1272"/>
      <c r="E45" s="1272"/>
      <c r="F45" s="1272"/>
      <c r="G45" s="1272"/>
      <c r="H45" s="9"/>
      <c r="I45" s="9"/>
      <c r="J45" s="2152"/>
      <c r="K45" s="2153"/>
      <c r="L45" s="2153"/>
      <c r="M45" s="9"/>
      <c r="N45" s="1272"/>
      <c r="O45" s="9"/>
      <c r="P45" s="1272"/>
      <c r="Q45" s="1272"/>
      <c r="R45" s="1272"/>
      <c r="S45" s="2154"/>
      <c r="T45" s="2154"/>
      <c r="U45" s="2154"/>
      <c r="V45" s="2154"/>
    </row>
    <row r="46" spans="1:22" s="2155" customFormat="1" ht="18" customHeight="1">
      <c r="A46" s="2151"/>
      <c r="B46" s="2151"/>
      <c r="C46" s="1272"/>
      <c r="D46" s="1272"/>
      <c r="E46" s="1272"/>
      <c r="F46" s="1272"/>
      <c r="G46" s="1272"/>
      <c r="H46" s="9"/>
      <c r="I46" s="9"/>
      <c r="J46" s="2152"/>
      <c r="K46" s="2153"/>
      <c r="L46" s="2153"/>
      <c r="M46" s="9"/>
      <c r="N46" s="1272"/>
      <c r="O46" s="9"/>
      <c r="P46" s="1272"/>
      <c r="Q46" s="1272"/>
      <c r="R46" s="1272"/>
      <c r="S46" s="2154"/>
      <c r="T46" s="2154"/>
      <c r="U46" s="2154"/>
      <c r="V46" s="2154"/>
    </row>
    <row r="47" spans="1:22" s="2155" customFormat="1" ht="18" customHeight="1">
      <c r="A47" s="2151"/>
      <c r="B47" s="2151"/>
      <c r="C47" s="1272"/>
      <c r="D47" s="1272"/>
      <c r="E47" s="1272"/>
      <c r="F47" s="1272"/>
      <c r="G47" s="1272"/>
      <c r="H47" s="9"/>
      <c r="I47" s="9"/>
      <c r="J47" s="2152"/>
      <c r="K47" s="2153"/>
      <c r="L47" s="2153"/>
      <c r="M47" s="9"/>
      <c r="N47" s="1272"/>
      <c r="O47" s="9"/>
      <c r="P47" s="1272"/>
      <c r="Q47" s="1272"/>
      <c r="R47" s="1272"/>
      <c r="S47" s="2154"/>
      <c r="T47" s="2154"/>
      <c r="U47" s="2154"/>
      <c r="V47" s="2154"/>
    </row>
    <row r="48" spans="1:22" s="2155" customFormat="1" ht="18" customHeight="1">
      <c r="A48" s="2151"/>
      <c r="B48" s="2151"/>
      <c r="C48" s="1272"/>
      <c r="D48" s="1272"/>
      <c r="E48" s="1272"/>
      <c r="F48" s="1272"/>
      <c r="G48" s="1272"/>
      <c r="H48" s="9"/>
      <c r="I48" s="9"/>
      <c r="J48" s="2152"/>
      <c r="K48" s="2153"/>
      <c r="L48" s="2153"/>
      <c r="M48" s="9"/>
      <c r="N48" s="1272"/>
      <c r="O48" s="9"/>
      <c r="P48" s="1272"/>
      <c r="Q48" s="1272"/>
      <c r="R48" s="1272"/>
      <c r="S48" s="2154"/>
      <c r="T48" s="2154"/>
      <c r="U48" s="2154"/>
      <c r="V48" s="2154"/>
    </row>
    <row r="49" spans="1:22" s="2155" customFormat="1" ht="18" customHeight="1">
      <c r="A49" s="2151"/>
      <c r="B49" s="2151"/>
      <c r="C49" s="1272"/>
      <c r="D49" s="1272"/>
      <c r="E49" s="1272"/>
      <c r="F49" s="1272"/>
      <c r="G49" s="1272"/>
      <c r="H49" s="9"/>
      <c r="I49" s="9"/>
      <c r="J49" s="2152"/>
      <c r="K49" s="2153"/>
      <c r="L49" s="2153"/>
      <c r="M49" s="9"/>
      <c r="N49" s="1272"/>
      <c r="O49" s="9"/>
      <c r="P49" s="1272"/>
      <c r="Q49" s="1272"/>
      <c r="R49" s="1272"/>
      <c r="S49" s="2154"/>
      <c r="T49" s="2154"/>
      <c r="U49" s="2154"/>
      <c r="V49" s="2154"/>
    </row>
    <row r="50" spans="1:22" s="2155" customFormat="1" ht="18" customHeight="1">
      <c r="A50" s="2151"/>
      <c r="B50" s="2151"/>
      <c r="C50" s="1272"/>
      <c r="D50" s="1272"/>
      <c r="E50" s="1272"/>
      <c r="F50" s="1272"/>
      <c r="G50" s="1272"/>
      <c r="H50" s="9"/>
      <c r="I50" s="9"/>
      <c r="J50" s="2152"/>
      <c r="K50" s="2153"/>
      <c r="L50" s="2153"/>
      <c r="M50" s="9"/>
      <c r="N50" s="1272"/>
      <c r="O50" s="9"/>
      <c r="P50" s="1272"/>
      <c r="Q50" s="1272"/>
      <c r="R50" s="1272"/>
      <c r="S50" s="2154"/>
      <c r="T50" s="2154"/>
      <c r="U50" s="2154"/>
      <c r="V50" s="2154"/>
    </row>
    <row r="51" spans="1:22" s="2155" customFormat="1" ht="18" customHeight="1">
      <c r="A51" s="2151"/>
      <c r="B51" s="2151"/>
      <c r="C51" s="1272"/>
      <c r="D51" s="1272"/>
      <c r="E51" s="1272"/>
      <c r="F51" s="1272"/>
      <c r="G51" s="1272"/>
      <c r="H51" s="9"/>
      <c r="I51" s="9"/>
      <c r="J51" s="2152"/>
      <c r="K51" s="2153"/>
      <c r="L51" s="2153"/>
      <c r="M51" s="9"/>
      <c r="N51" s="1272"/>
      <c r="O51" s="9"/>
      <c r="P51" s="1272"/>
      <c r="Q51" s="1272"/>
      <c r="R51" s="1272"/>
    </row>
    <row r="52" spans="1:22" s="2155" customFormat="1" ht="18" customHeight="1">
      <c r="A52" s="10"/>
      <c r="B52" s="10"/>
      <c r="C52" s="10"/>
      <c r="D52" s="10"/>
      <c r="E52" s="10"/>
      <c r="F52" s="9"/>
      <c r="G52" s="10"/>
      <c r="H52" s="10"/>
      <c r="I52" s="10"/>
      <c r="J52" s="2156"/>
      <c r="K52" s="2153"/>
      <c r="L52" s="2153"/>
      <c r="M52" s="2153"/>
      <c r="N52" s="10"/>
      <c r="O52" s="10"/>
      <c r="P52" s="10"/>
      <c r="Q52" s="10"/>
      <c r="R52" s="10"/>
    </row>
    <row r="53" spans="1:22" s="2155" customFormat="1" ht="18" customHeight="1">
      <c r="A53" s="10"/>
      <c r="B53" s="10"/>
      <c r="C53" s="10"/>
      <c r="D53" s="10"/>
      <c r="E53" s="10"/>
      <c r="F53" s="9"/>
      <c r="G53" s="10"/>
      <c r="H53" s="10"/>
      <c r="I53" s="10"/>
      <c r="J53" s="2156"/>
      <c r="K53" s="2153"/>
      <c r="L53" s="2153"/>
      <c r="M53" s="2153"/>
      <c r="N53" s="10"/>
      <c r="O53" s="10"/>
      <c r="P53" s="10"/>
      <c r="Q53" s="10"/>
      <c r="R53" s="10"/>
    </row>
    <row r="54" spans="1:22" s="2155" customFormat="1" ht="18" customHeight="1">
      <c r="A54" s="10"/>
      <c r="B54" s="10"/>
      <c r="C54" s="10"/>
      <c r="D54" s="10"/>
      <c r="E54" s="10"/>
      <c r="F54" s="9"/>
      <c r="G54" s="10"/>
      <c r="H54" s="10"/>
      <c r="I54" s="10"/>
      <c r="J54" s="2156"/>
      <c r="K54" s="2153"/>
      <c r="L54" s="2153"/>
      <c r="M54" s="2153"/>
      <c r="N54" s="10"/>
      <c r="O54" s="10"/>
      <c r="P54" s="10"/>
      <c r="Q54" s="10"/>
      <c r="R54" s="10"/>
    </row>
    <row r="55" spans="1:22" s="2155" customFormat="1" ht="18" customHeight="1">
      <c r="A55" s="10"/>
      <c r="B55" s="10"/>
      <c r="C55" s="10"/>
      <c r="D55" s="10"/>
      <c r="E55" s="10"/>
      <c r="F55" s="9"/>
      <c r="G55" s="10"/>
      <c r="H55" s="10"/>
      <c r="I55" s="10"/>
      <c r="J55" s="2156"/>
      <c r="K55" s="2153"/>
      <c r="L55" s="2153"/>
      <c r="M55" s="2153"/>
      <c r="N55" s="10"/>
      <c r="O55" s="10"/>
      <c r="P55" s="10"/>
      <c r="Q55" s="10"/>
      <c r="R55" s="10"/>
    </row>
    <row r="56" spans="1:22" s="2155" customFormat="1" ht="18" customHeight="1">
      <c r="A56" s="10"/>
      <c r="B56" s="10"/>
      <c r="C56" s="10"/>
      <c r="D56" s="10"/>
      <c r="E56" s="10"/>
      <c r="F56" s="9"/>
      <c r="G56" s="10"/>
      <c r="H56" s="10"/>
      <c r="I56" s="10"/>
      <c r="J56" s="2156"/>
      <c r="K56" s="2153"/>
      <c r="L56" s="2153"/>
      <c r="M56" s="2153"/>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I13" activePane="bottomRight" state="frozen"/>
      <selection activeCell="C50" sqref="C50"/>
      <selection pane="topRight" activeCell="C50" sqref="C50"/>
      <selection pane="bottomLeft" activeCell="C50" sqref="C50"/>
      <selection pane="bottomRight" activeCell="B18" sqref="B18"/>
    </sheetView>
  </sheetViews>
  <sheetFormatPr defaultColWidth="8.88671875" defaultRowHeight="13.8"/>
  <cols>
    <col min="1" max="1" width="10.6640625" style="2157" customWidth="1"/>
    <col min="2" max="2" width="11" style="2157" customWidth="1"/>
    <col min="3" max="3" width="10.33203125" style="2157" customWidth="1"/>
    <col min="4" max="4" width="9.109375" style="2157" customWidth="1"/>
    <col min="5" max="6" width="10" style="2220" customWidth="1"/>
    <col min="7" max="8" width="10" style="2157" customWidth="1"/>
    <col min="9" max="9" width="10.6640625" style="2157" customWidth="1"/>
    <col min="10" max="10" width="9.44140625" style="2157" customWidth="1"/>
    <col min="11" max="11" width="11" style="2157" customWidth="1"/>
    <col min="12" max="14" width="9.44140625" style="2157" customWidth="1"/>
    <col min="15" max="15" width="9.88671875" style="2157" customWidth="1"/>
    <col min="16" max="16" width="9.77734375" style="2157" customWidth="1"/>
    <col min="17" max="17" width="9.33203125" style="2157" customWidth="1"/>
    <col min="18" max="18" width="9.21875" style="2157" customWidth="1"/>
    <col min="19" max="19" width="10.88671875" style="2157" customWidth="1"/>
    <col min="20" max="21" width="10.77734375" style="2157" customWidth="1"/>
    <col min="22" max="22" width="10.88671875" style="2157" customWidth="1"/>
    <col min="23" max="27" width="10.77734375" style="2157" customWidth="1"/>
    <col min="28" max="28" width="10.88671875" style="2157" customWidth="1"/>
    <col min="29" max="29" width="11" style="2157" bestFit="1" customWidth="1"/>
    <col min="30" max="30" width="10" style="2157" bestFit="1" customWidth="1"/>
    <col min="31" max="31" width="9.77734375" style="2157" customWidth="1"/>
    <col min="32" max="46" width="9.44140625" style="2157" customWidth="1"/>
    <col min="47" max="47" width="18.109375" style="2157" customWidth="1"/>
    <col min="48" max="50" width="9.77734375" style="2157" customWidth="1"/>
    <col min="51" max="55" width="10.44140625" style="2157" bestFit="1" customWidth="1"/>
    <col min="56" max="56" width="9.44140625" style="2157" bestFit="1" customWidth="1"/>
    <col min="57" max="63" width="9.109375" style="2157" bestFit="1" customWidth="1"/>
    <col min="64" max="64" width="9.44140625" style="2157" bestFit="1" customWidth="1"/>
    <col min="65" max="65" width="9.109375" style="2157" bestFit="1" customWidth="1"/>
    <col min="66" max="66" width="9.44140625" style="2157" bestFit="1" customWidth="1"/>
    <col min="67" max="69" width="9.109375" style="2157" bestFit="1" customWidth="1"/>
    <col min="70" max="70" width="9.44140625" style="2157" bestFit="1" customWidth="1"/>
    <col min="71" max="71" width="9" style="2157" customWidth="1"/>
    <col min="72" max="72" width="9.109375" style="2157" bestFit="1" customWidth="1"/>
    <col min="73" max="16384" width="8.88671875" style="2157"/>
  </cols>
  <sheetData>
    <row r="1" spans="1:72" ht="21">
      <c r="A1" s="2160" t="s">
        <v>1866</v>
      </c>
      <c r="B1" s="2029"/>
      <c r="C1" s="2029"/>
      <c r="D1" s="2029"/>
      <c r="E1" s="2029"/>
      <c r="F1" s="2029"/>
      <c r="G1" s="2029"/>
      <c r="H1" s="2029"/>
      <c r="I1" s="2029"/>
      <c r="J1" s="2029"/>
      <c r="K1" s="2029"/>
      <c r="L1" s="2029"/>
      <c r="M1" s="2029"/>
      <c r="N1" s="2029"/>
      <c r="O1" s="2029"/>
      <c r="P1" s="2029"/>
      <c r="Q1" s="2029"/>
      <c r="R1" s="2029"/>
      <c r="S1" s="2029"/>
      <c r="T1" s="2029"/>
      <c r="U1" s="2029"/>
      <c r="V1" s="2029"/>
      <c r="W1" s="2029"/>
      <c r="X1" s="2029"/>
      <c r="Y1" s="2029"/>
      <c r="Z1" s="2029"/>
      <c r="AA1" s="2029"/>
      <c r="AB1" s="2029"/>
      <c r="AC1" s="2029"/>
      <c r="AD1" s="2029"/>
      <c r="AE1" s="2029"/>
      <c r="AF1" s="2029"/>
      <c r="AG1" s="2029"/>
      <c r="AH1" s="2029"/>
      <c r="AI1" s="2029"/>
      <c r="AJ1" s="2029"/>
      <c r="AK1" s="2029"/>
      <c r="AL1" s="2029"/>
      <c r="AM1" s="2029"/>
      <c r="AN1" s="2029"/>
      <c r="AO1" s="2029"/>
      <c r="AP1" s="2029"/>
      <c r="AQ1" s="2029"/>
      <c r="AR1" s="2029"/>
      <c r="AS1" s="2029"/>
      <c r="AT1" s="2029"/>
      <c r="AU1" s="2029"/>
      <c r="AV1" s="2161" t="s">
        <v>1867</v>
      </c>
      <c r="AW1" s="2029"/>
      <c r="AX1" s="2029"/>
      <c r="AY1" s="2029"/>
      <c r="AZ1" s="2029"/>
      <c r="BA1" s="2029"/>
      <c r="BB1" s="2029"/>
      <c r="BC1" s="2029"/>
      <c r="BD1" s="2029"/>
      <c r="BE1" s="2029"/>
      <c r="BF1" s="2029"/>
      <c r="BG1" s="2029"/>
      <c r="BH1" s="2029"/>
      <c r="BI1" s="2029"/>
      <c r="BJ1" s="2029"/>
      <c r="BK1" s="2029"/>
      <c r="BL1" s="2029"/>
      <c r="BM1" s="2029"/>
      <c r="BN1" s="2029"/>
      <c r="BO1" s="2029"/>
      <c r="BP1" s="2029"/>
      <c r="BQ1" s="2029"/>
      <c r="BR1" s="2029"/>
      <c r="BS1" s="2029"/>
      <c r="BT1" s="2029"/>
    </row>
    <row r="2" spans="1:72" s="2165" customFormat="1" ht="24">
      <c r="A2" s="11" t="s">
        <v>1868</v>
      </c>
      <c r="B2" s="11" t="s">
        <v>1869</v>
      </c>
      <c r="C2" s="11" t="s">
        <v>1870</v>
      </c>
      <c r="D2" s="2162"/>
      <c r="E2" s="2163"/>
      <c r="F2" s="2164"/>
      <c r="G2" s="2162"/>
      <c r="H2" s="2162"/>
      <c r="I2" s="2162"/>
      <c r="J2" s="2162"/>
      <c r="K2" s="2162"/>
      <c r="L2" s="2162"/>
      <c r="M2" s="2162"/>
      <c r="N2" s="2162"/>
      <c r="O2" s="2162"/>
      <c r="P2" s="2162"/>
      <c r="Q2" s="2162"/>
      <c r="R2" s="2162"/>
      <c r="S2" s="2162"/>
      <c r="T2" s="2162"/>
      <c r="U2" s="2162"/>
      <c r="V2" s="2162"/>
      <c r="W2" s="2162"/>
      <c r="X2" s="2162"/>
      <c r="Y2" s="2162"/>
      <c r="Z2" s="2162"/>
      <c r="AA2" s="2162"/>
      <c r="AB2" s="2162"/>
      <c r="AC2" s="2162"/>
      <c r="AD2" s="2162"/>
      <c r="AE2" s="2162"/>
      <c r="AF2" s="2162"/>
      <c r="AG2" s="2162"/>
      <c r="AH2" s="2162"/>
      <c r="AI2" s="2162"/>
      <c r="AJ2" s="2162"/>
      <c r="AK2" s="2162"/>
      <c r="AL2" s="2162"/>
      <c r="AM2" s="2162"/>
      <c r="AN2" s="2162"/>
      <c r="AO2" s="2162"/>
      <c r="AP2" s="2162"/>
      <c r="AQ2" s="2162"/>
      <c r="AR2" s="2162"/>
      <c r="AS2" s="2162"/>
      <c r="AT2" s="2162"/>
      <c r="AU2" s="2162"/>
      <c r="AV2" s="2162"/>
      <c r="AW2" s="2162"/>
      <c r="AX2" s="2162"/>
      <c r="AY2" s="1269" t="s">
        <v>1871</v>
      </c>
      <c r="AZ2" s="1270" t="s">
        <v>1872</v>
      </c>
      <c r="BA2" s="11" t="s">
        <v>1873</v>
      </c>
      <c r="BB2" s="2162"/>
      <c r="BC2" s="2162"/>
      <c r="BD2" s="2162"/>
      <c r="BE2" s="2162"/>
      <c r="BF2" s="2162"/>
      <c r="BG2" s="2162"/>
      <c r="BH2" s="2162"/>
      <c r="BI2" s="2162"/>
      <c r="BJ2" s="2162"/>
      <c r="BK2" s="2162"/>
      <c r="BL2" s="2162"/>
      <c r="BM2" s="2162"/>
      <c r="BN2" s="2162"/>
      <c r="BO2" s="2162"/>
      <c r="BP2" s="2162"/>
      <c r="BQ2" s="2162"/>
      <c r="BR2" s="2162"/>
      <c r="BS2" s="2162"/>
      <c r="BT2" s="2162"/>
    </row>
    <row r="3" spans="1:72" s="2165" customFormat="1" ht="13.2">
      <c r="A3" s="13"/>
      <c r="B3" s="14">
        <f>IF(C3="否",G5-AT5,G5)</f>
        <v>76522.880000000005</v>
      </c>
      <c r="C3" s="2166" t="s">
        <v>1874</v>
      </c>
      <c r="D3" s="2162"/>
      <c r="E3" s="2162"/>
      <c r="F3" s="2162"/>
      <c r="G3" s="2162"/>
      <c r="H3" s="2162"/>
      <c r="I3" s="2162"/>
      <c r="J3" s="2162"/>
      <c r="K3" s="2162"/>
      <c r="L3" s="2162"/>
      <c r="M3" s="2162"/>
      <c r="N3" s="2162"/>
      <c r="O3" s="2162"/>
      <c r="P3" s="2162"/>
      <c r="Q3" s="2162"/>
      <c r="R3" s="2162"/>
      <c r="S3" s="2162"/>
      <c r="T3" s="2162"/>
      <c r="U3" s="2162"/>
      <c r="V3" s="2162"/>
      <c r="W3" s="2162"/>
      <c r="X3" s="2162"/>
      <c r="Y3" s="2162"/>
      <c r="Z3" s="2162"/>
      <c r="AA3" s="2162"/>
      <c r="AB3" s="2162"/>
      <c r="AC3" s="2162"/>
      <c r="AD3" s="2162"/>
      <c r="AE3" s="2162"/>
      <c r="AF3" s="2162"/>
      <c r="AG3" s="2162"/>
      <c r="AH3" s="2162"/>
      <c r="AI3" s="2162"/>
      <c r="AJ3" s="2162"/>
      <c r="AK3" s="2162"/>
      <c r="AL3" s="2162"/>
      <c r="AM3" s="2162"/>
      <c r="AN3" s="2162"/>
      <c r="AO3" s="2162"/>
      <c r="AP3" s="2162"/>
      <c r="AQ3" s="2162"/>
      <c r="AR3" s="2162"/>
      <c r="AS3" s="2162"/>
      <c r="AT3" s="2162"/>
      <c r="AU3" s="2162"/>
      <c r="AV3" s="2162"/>
      <c r="AW3" s="2162"/>
      <c r="AX3" s="2162"/>
      <c r="AY3" s="1271"/>
      <c r="AZ3" s="1272"/>
      <c r="BA3" s="1273"/>
      <c r="BB3" s="2162"/>
      <c r="BC3" s="2162"/>
      <c r="BD3" s="2162"/>
      <c r="BE3" s="2162"/>
      <c r="BF3" s="2162"/>
      <c r="BG3" s="2162"/>
      <c r="BH3" s="2162"/>
      <c r="BI3" s="2162"/>
      <c r="BJ3" s="2162"/>
      <c r="BK3" s="2162"/>
      <c r="BL3" s="2162"/>
      <c r="BM3" s="2162"/>
      <c r="BN3" s="2162"/>
      <c r="BO3" s="2162"/>
      <c r="BP3" s="2162"/>
      <c r="BQ3" s="2162"/>
      <c r="BR3" s="2162"/>
      <c r="BS3" s="2162"/>
      <c r="BT3" s="2162"/>
    </row>
    <row r="4" spans="1:72" s="2171" customFormat="1" thickBot="1">
      <c r="A4" s="2167"/>
      <c r="B4" s="2168"/>
      <c r="C4" s="2169"/>
      <c r="D4" s="2162"/>
      <c r="E4" s="2162"/>
      <c r="F4" s="2162"/>
      <c r="G4" s="2162"/>
      <c r="H4" s="2162"/>
      <c r="I4" s="2162"/>
      <c r="J4" s="2162"/>
      <c r="K4" s="2162"/>
      <c r="L4" s="2162"/>
      <c r="M4" s="2162"/>
      <c r="N4" s="2162"/>
      <c r="O4" s="2162"/>
      <c r="P4" s="2162"/>
      <c r="Q4" s="2162"/>
      <c r="R4" s="2162"/>
      <c r="S4" s="2162"/>
      <c r="T4" s="2162"/>
      <c r="U4" s="2162"/>
      <c r="V4" s="2162"/>
      <c r="W4" s="2162"/>
      <c r="X4" s="2162"/>
      <c r="Y4" s="2162"/>
      <c r="Z4" s="2162"/>
      <c r="AA4" s="2162"/>
      <c r="AB4" s="2162"/>
      <c r="AC4" s="2162"/>
      <c r="AD4" s="2162"/>
      <c r="AE4" s="2162"/>
      <c r="AF4" s="2162"/>
      <c r="AG4" s="2162"/>
      <c r="AH4" s="2162"/>
      <c r="AI4" s="2162"/>
      <c r="AJ4" s="2162"/>
      <c r="AK4" s="2162"/>
      <c r="AL4" s="2162"/>
      <c r="AM4" s="2162"/>
      <c r="AN4" s="2162"/>
      <c r="AO4" s="2162"/>
      <c r="AP4" s="2162"/>
      <c r="AQ4" s="2162"/>
      <c r="AR4" s="2162"/>
      <c r="AS4" s="2162"/>
      <c r="AT4" s="2162"/>
      <c r="AU4" s="2162"/>
      <c r="AV4" s="2162"/>
      <c r="AW4" s="2162"/>
      <c r="AX4" s="2162"/>
      <c r="AY4" s="2162"/>
      <c r="AZ4" s="2162"/>
      <c r="BA4" s="2170"/>
      <c r="BB4" s="2162"/>
      <c r="BC4" s="2162"/>
      <c r="BD4" s="2162"/>
      <c r="BE4" s="2162"/>
      <c r="BF4" s="2162"/>
      <c r="BG4" s="2162"/>
      <c r="BH4" s="2162"/>
      <c r="BI4" s="2162"/>
      <c r="BJ4" s="2162"/>
      <c r="BK4" s="2162"/>
      <c r="BL4" s="2162"/>
      <c r="BM4" s="2162"/>
      <c r="BN4" s="2162"/>
      <c r="BO4" s="2162"/>
      <c r="BP4" s="2162"/>
      <c r="BQ4" s="2162"/>
      <c r="BR4" s="2162"/>
      <c r="BS4" s="2162"/>
      <c r="BT4" s="2162"/>
    </row>
    <row r="5" spans="1:72" s="2165" customFormat="1" ht="13.2">
      <c r="A5" s="15" t="s">
        <v>1875</v>
      </c>
      <c r="B5" s="1803"/>
      <c r="C5" s="1803"/>
      <c r="D5" s="1806"/>
      <c r="E5" s="16" t="s">
        <v>1</v>
      </c>
      <c r="F5" s="16">
        <f>SUM(F13:F587)</f>
        <v>0</v>
      </c>
      <c r="G5" s="16">
        <f>SUM(G13:G587)</f>
        <v>76522.880000000005</v>
      </c>
      <c r="H5" s="16">
        <f t="shared" ref="H5:AT5" si="0">SUM(H13:H656)</f>
        <v>57392.160000000003</v>
      </c>
      <c r="I5" s="16">
        <f t="shared" si="0"/>
        <v>57392.160000000003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19130.72</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19130.72</v>
      </c>
      <c r="AO5" s="16">
        <f t="shared" si="0"/>
        <v>0</v>
      </c>
      <c r="AP5" s="16">
        <f t="shared" si="0"/>
        <v>0</v>
      </c>
      <c r="AQ5" s="16">
        <f t="shared" si="0"/>
        <v>0</v>
      </c>
      <c r="AR5" s="16">
        <f t="shared" si="0"/>
        <v>0</v>
      </c>
      <c r="AS5" s="16">
        <f t="shared" si="0"/>
        <v>0</v>
      </c>
      <c r="AT5" s="16">
        <f t="shared" si="0"/>
        <v>0</v>
      </c>
      <c r="AU5" s="1802"/>
      <c r="AV5" s="15" t="s">
        <v>1875</v>
      </c>
      <c r="AW5" s="1803"/>
      <c r="AX5" s="1803"/>
      <c r="AY5" s="17" t="s">
        <v>3</v>
      </c>
      <c r="AZ5" s="18">
        <f t="shared" ref="AZ5:BT5" si="1">SUM(AZ13:AZ656)</f>
        <v>76522.880000000005</v>
      </c>
      <c r="BA5" s="18">
        <f t="shared" si="1"/>
        <v>57392.160000000003</v>
      </c>
      <c r="BB5" s="18">
        <f t="shared" si="1"/>
        <v>57392.160000000003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19130.72</v>
      </c>
      <c r="BM5" s="18">
        <f t="shared" si="1"/>
        <v>0</v>
      </c>
      <c r="BN5" s="18">
        <f t="shared" si="1"/>
        <v>0</v>
      </c>
      <c r="BO5" s="18">
        <f t="shared" si="1"/>
        <v>0</v>
      </c>
      <c r="BP5" s="18">
        <f t="shared" si="1"/>
        <v>0</v>
      </c>
      <c r="BQ5" s="18">
        <f t="shared" si="1"/>
        <v>0</v>
      </c>
      <c r="BR5" s="18">
        <f t="shared" si="1"/>
        <v>19130.72</v>
      </c>
      <c r="BS5" s="18">
        <f t="shared" si="1"/>
        <v>0</v>
      </c>
      <c r="BT5" s="19">
        <f t="shared" si="1"/>
        <v>0</v>
      </c>
    </row>
    <row r="6" spans="1:72" s="2175" customFormat="1" ht="13.2">
      <c r="A6" s="15" t="s">
        <v>1876</v>
      </c>
      <c r="B6" s="2172"/>
      <c r="C6" s="2172"/>
      <c r="D6" s="2173"/>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4"/>
      <c r="AV6" s="15" t="s">
        <v>1876</v>
      </c>
      <c r="AW6" s="2172"/>
      <c r="AX6" s="2172"/>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5" customFormat="1" ht="25.2">
      <c r="A7" s="2107" t="s">
        <v>1877</v>
      </c>
      <c r="B7" s="2107" t="s">
        <v>1878</v>
      </c>
      <c r="C7" s="2107" t="s">
        <v>1879</v>
      </c>
      <c r="D7" s="2107" t="s">
        <v>1880</v>
      </c>
      <c r="E7" s="2107" t="s">
        <v>1881</v>
      </c>
      <c r="F7" s="2107" t="s">
        <v>1882</v>
      </c>
      <c r="G7" s="2176" t="s">
        <v>1883</v>
      </c>
      <c r="H7" s="2177"/>
      <c r="I7" s="2177"/>
      <c r="J7" s="2177"/>
      <c r="K7" s="2177"/>
      <c r="L7" s="2177"/>
      <c r="M7" s="2177"/>
      <c r="N7" s="2177"/>
      <c r="O7" s="2177"/>
      <c r="P7" s="2177"/>
      <c r="Q7" s="2177"/>
      <c r="R7" s="2177"/>
      <c r="S7" s="2177"/>
      <c r="T7" s="2177"/>
      <c r="U7" s="2177"/>
      <c r="V7" s="2177"/>
      <c r="W7" s="2177"/>
      <c r="X7" s="2177"/>
      <c r="Y7" s="2177"/>
      <c r="Z7" s="2177"/>
      <c r="AA7" s="2177"/>
      <c r="AB7" s="2177"/>
      <c r="AC7" s="2177"/>
      <c r="AD7" s="2177"/>
      <c r="AE7" s="2177"/>
      <c r="AF7" s="2177"/>
      <c r="AG7" s="2177"/>
      <c r="AH7" s="2177"/>
      <c r="AI7" s="2177"/>
      <c r="AJ7" s="2177"/>
      <c r="AK7" s="2177"/>
      <c r="AL7" s="2177"/>
      <c r="AM7" s="2177"/>
      <c r="AN7" s="2177"/>
      <c r="AO7" s="2177"/>
      <c r="AP7" s="2177"/>
      <c r="AQ7" s="2177"/>
      <c r="AR7" s="2177"/>
      <c r="AS7" s="2177"/>
      <c r="AT7" s="1806"/>
      <c r="AU7" s="2177" t="s">
        <v>1884</v>
      </c>
      <c r="AV7" s="23" t="s">
        <v>1885</v>
      </c>
      <c r="AW7" s="2164" t="s">
        <v>1886</v>
      </c>
      <c r="AX7" s="23" t="s">
        <v>1879</v>
      </c>
      <c r="AY7" s="1803" t="s">
        <v>1887</v>
      </c>
      <c r="AZ7" s="2178"/>
      <c r="BA7" s="2177"/>
      <c r="BB7" s="2177"/>
      <c r="BC7" s="2177"/>
      <c r="BD7" s="2177"/>
      <c r="BE7" s="2177"/>
      <c r="BF7" s="2177"/>
      <c r="BG7" s="2177"/>
      <c r="BH7" s="2177"/>
      <c r="BI7" s="2177"/>
      <c r="BJ7" s="2177"/>
      <c r="BK7" s="2177"/>
      <c r="BL7" s="2177"/>
      <c r="BM7" s="2177"/>
      <c r="BN7" s="2177"/>
      <c r="BO7" s="2177"/>
      <c r="BP7" s="2177"/>
      <c r="BQ7" s="2177"/>
      <c r="BR7" s="2177"/>
      <c r="BS7" s="2177"/>
      <c r="BT7" s="2179"/>
    </row>
    <row r="8" spans="1:72" s="2187" customFormat="1" ht="24">
      <c r="A8" s="2180"/>
      <c r="B8" s="2180"/>
      <c r="C8" s="2180"/>
      <c r="D8" s="2180"/>
      <c r="E8" s="2180"/>
      <c r="F8" s="2180"/>
      <c r="G8" s="2181" t="s">
        <v>1888</v>
      </c>
      <c r="H8" s="2182" t="s">
        <v>1889</v>
      </c>
      <c r="I8" s="2183"/>
      <c r="J8" s="1818"/>
      <c r="K8" s="1818"/>
      <c r="L8" s="1818"/>
      <c r="M8" s="1818"/>
      <c r="N8" s="1818"/>
      <c r="O8" s="1818"/>
      <c r="P8" s="1818"/>
      <c r="Q8" s="1818"/>
      <c r="R8" s="1818"/>
      <c r="S8" s="1818"/>
      <c r="T8" s="1818"/>
      <c r="U8" s="1818"/>
      <c r="V8" s="2184"/>
      <c r="W8" s="1818"/>
      <c r="X8" s="1818"/>
      <c r="Y8" s="1818"/>
      <c r="Z8" s="1818"/>
      <c r="AA8" s="2184"/>
      <c r="AB8" s="2185"/>
      <c r="AC8" s="981" t="s">
        <v>1890</v>
      </c>
      <c r="AD8" s="2186"/>
      <c r="AE8" s="2178"/>
      <c r="AF8" s="1818"/>
      <c r="AG8" s="1818"/>
      <c r="AH8" s="1818"/>
      <c r="AI8" s="1818"/>
      <c r="AJ8" s="1818"/>
      <c r="AK8" s="1818"/>
      <c r="AL8" s="1818"/>
      <c r="AM8" s="1818"/>
      <c r="AN8" s="1818"/>
      <c r="AO8" s="1818"/>
      <c r="AP8" s="1818"/>
      <c r="AQ8" s="1818"/>
      <c r="AR8" s="1818"/>
      <c r="AS8" s="1818"/>
      <c r="AT8" s="1292" t="s">
        <v>1891</v>
      </c>
      <c r="AU8" s="2180" t="s">
        <v>1892</v>
      </c>
      <c r="AV8" s="1292"/>
      <c r="AW8" s="2163"/>
      <c r="AX8" s="1292"/>
      <c r="AY8" s="2164" t="s">
        <v>1893</v>
      </c>
      <c r="AZ8" s="1817" t="s">
        <v>1894</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7" customFormat="1" ht="13.2">
      <c r="A9" s="2180"/>
      <c r="B9" s="2180"/>
      <c r="C9" s="2180"/>
      <c r="D9" s="2180"/>
      <c r="E9" s="2180"/>
      <c r="F9" s="2180"/>
      <c r="G9" s="1292"/>
      <c r="H9" s="2188" t="s">
        <v>1895</v>
      </c>
      <c r="I9" s="2189" t="s">
        <v>3071</v>
      </c>
      <c r="J9" s="981"/>
      <c r="K9" s="2189" t="s">
        <v>3073</v>
      </c>
      <c r="L9" s="981"/>
      <c r="M9" s="2189"/>
      <c r="N9" s="981"/>
      <c r="O9" s="2189"/>
      <c r="P9" s="981"/>
      <c r="Q9" s="2189"/>
      <c r="R9" s="981"/>
      <c r="S9" s="2189"/>
      <c r="T9" s="981"/>
      <c r="U9" s="2189"/>
      <c r="V9" s="981"/>
      <c r="W9" s="2189"/>
      <c r="X9" s="2190"/>
      <c r="Y9" s="2189"/>
      <c r="Z9" s="981"/>
      <c r="AA9" s="2189"/>
      <c r="AB9" s="981"/>
      <c r="AC9" s="2181" t="s">
        <v>1895</v>
      </c>
      <c r="AD9" s="15" t="s">
        <v>1896</v>
      </c>
      <c r="AE9" s="1298"/>
      <c r="AF9" s="15" t="s">
        <v>1897</v>
      </c>
      <c r="AG9" s="1298"/>
      <c r="AH9" s="15" t="s">
        <v>1896</v>
      </c>
      <c r="AI9" s="1298"/>
      <c r="AJ9" s="15" t="s">
        <v>1897</v>
      </c>
      <c r="AK9" s="1298"/>
      <c r="AL9" s="15" t="s">
        <v>1896</v>
      </c>
      <c r="AM9" s="1298"/>
      <c r="AN9" s="15" t="s">
        <v>1897</v>
      </c>
      <c r="AO9" s="1298"/>
      <c r="AP9" s="15" t="s">
        <v>1896</v>
      </c>
      <c r="AQ9" s="1298"/>
      <c r="AR9" s="15" t="s">
        <v>1897</v>
      </c>
      <c r="AS9" s="2191"/>
      <c r="AT9" s="2180"/>
      <c r="AU9" s="2180" t="s">
        <v>1898</v>
      </c>
      <c r="AV9" s="1292"/>
      <c r="AW9" s="2163"/>
      <c r="AX9" s="1292"/>
      <c r="AY9" s="28"/>
      <c r="AZ9" s="28" t="s">
        <v>1888</v>
      </c>
      <c r="BA9" s="2192" t="s">
        <v>1899</v>
      </c>
      <c r="BB9" s="2193"/>
      <c r="BC9" s="1338"/>
      <c r="BD9" s="1338"/>
      <c r="BE9" s="1338"/>
      <c r="BF9" s="1338"/>
      <c r="BG9" s="1338"/>
      <c r="BH9" s="1338"/>
      <c r="BI9" s="1338"/>
      <c r="BJ9" s="1338"/>
      <c r="BK9" s="2194"/>
      <c r="BL9" s="15" t="s">
        <v>1900</v>
      </c>
      <c r="BM9" s="1818"/>
      <c r="BN9" s="2183"/>
      <c r="BO9" s="1818"/>
      <c r="BP9" s="1818"/>
      <c r="BQ9" s="1818"/>
      <c r="BR9" s="1818"/>
      <c r="BS9" s="1818"/>
      <c r="BT9" s="26"/>
    </row>
    <row r="10" spans="1:72" s="2187" customFormat="1" ht="13.2">
      <c r="A10" s="2180"/>
      <c r="B10" s="2180"/>
      <c r="C10" s="2180"/>
      <c r="D10" s="2180"/>
      <c r="E10" s="2180"/>
      <c r="F10" s="2180"/>
      <c r="G10" s="1292"/>
      <c r="H10" s="28"/>
      <c r="I10" s="2189" t="s">
        <v>1373</v>
      </c>
      <c r="J10" s="981"/>
      <c r="K10" s="2195" t="s">
        <v>1373</v>
      </c>
      <c r="L10" s="981"/>
      <c r="M10" s="2195"/>
      <c r="N10" s="981"/>
      <c r="O10" s="2195"/>
      <c r="P10" s="981"/>
      <c r="Q10" s="2195"/>
      <c r="R10" s="981"/>
      <c r="S10" s="2195"/>
      <c r="T10" s="981"/>
      <c r="U10" s="2195"/>
      <c r="V10" s="981"/>
      <c r="W10" s="2195"/>
      <c r="X10" s="981"/>
      <c r="Y10" s="2195"/>
      <c r="Z10" s="981"/>
      <c r="AA10" s="2195"/>
      <c r="AB10" s="981"/>
      <c r="AC10" s="1292"/>
      <c r="AD10" s="15" t="s">
        <v>1901</v>
      </c>
      <c r="AE10" s="2196"/>
      <c r="AF10" s="15" t="s">
        <v>1901</v>
      </c>
      <c r="AG10" s="2196"/>
      <c r="AH10" s="15" t="s">
        <v>1902</v>
      </c>
      <c r="AI10" s="2196"/>
      <c r="AJ10" s="15" t="s">
        <v>1902</v>
      </c>
      <c r="AK10" s="2196"/>
      <c r="AL10" s="15" t="s">
        <v>1903</v>
      </c>
      <c r="AM10" s="1298"/>
      <c r="AN10" s="15" t="s">
        <v>1903</v>
      </c>
      <c r="AO10" s="1298"/>
      <c r="AP10" s="15" t="s">
        <v>1904</v>
      </c>
      <c r="AQ10" s="1298"/>
      <c r="AR10" s="15" t="s">
        <v>1904</v>
      </c>
      <c r="AS10" s="1298"/>
      <c r="AT10" s="2180"/>
      <c r="AU10" s="2180"/>
      <c r="AV10" s="1292"/>
      <c r="AW10" s="2163"/>
      <c r="AX10" s="1292"/>
      <c r="AY10" s="28"/>
      <c r="AZ10" s="28"/>
      <c r="BA10" s="2197" t="s">
        <v>1895</v>
      </c>
      <c r="BB10" s="2198" t="str">
        <f>I9</f>
        <v>地上</v>
      </c>
      <c r="BC10" s="29" t="str">
        <f>K9</f>
        <v>地下</v>
      </c>
      <c r="BD10" s="29">
        <f>M9</f>
        <v>0</v>
      </c>
      <c r="BE10" s="29">
        <f>O9</f>
        <v>0</v>
      </c>
      <c r="BF10" s="29">
        <f>Q9</f>
        <v>0</v>
      </c>
      <c r="BG10" s="29">
        <f>S9</f>
        <v>0</v>
      </c>
      <c r="BH10" s="29">
        <f>U9</f>
        <v>0</v>
      </c>
      <c r="BI10" s="29">
        <f>W9</f>
        <v>0</v>
      </c>
      <c r="BJ10" s="29">
        <f>Y9</f>
        <v>0</v>
      </c>
      <c r="BK10" s="29">
        <f>AA9</f>
        <v>0</v>
      </c>
      <c r="BL10" s="25" t="s">
        <v>1895</v>
      </c>
      <c r="BM10" s="1817" t="str">
        <f>AD9</f>
        <v>地上</v>
      </c>
      <c r="BN10" s="29" t="str">
        <f>AF9</f>
        <v>地下</v>
      </c>
      <c r="BO10" s="1817" t="str">
        <f>AH9</f>
        <v>地上</v>
      </c>
      <c r="BP10" s="29" t="str">
        <f>AJ9</f>
        <v>地下</v>
      </c>
      <c r="BQ10" s="1817" t="str">
        <f>AL9</f>
        <v>地上</v>
      </c>
      <c r="BR10" s="29" t="str">
        <f>AN9</f>
        <v>地下</v>
      </c>
      <c r="BS10" s="1817" t="str">
        <f>AP9</f>
        <v>地上</v>
      </c>
      <c r="BT10" s="2199" t="str">
        <f>AR9</f>
        <v>地下</v>
      </c>
    </row>
    <row r="11" spans="1:72" s="2187" customFormat="1" ht="13.2">
      <c r="A11" s="2180"/>
      <c r="B11" s="2180"/>
      <c r="C11" s="2180"/>
      <c r="D11" s="2180"/>
      <c r="E11" s="2180"/>
      <c r="F11" s="2180"/>
      <c r="G11" s="1292"/>
      <c r="H11" s="2197"/>
      <c r="I11" s="2200" t="s">
        <v>3072</v>
      </c>
      <c r="J11" s="2201"/>
      <c r="K11" s="2200" t="s">
        <v>3072</v>
      </c>
      <c r="L11" s="2201"/>
      <c r="M11" s="2200"/>
      <c r="N11" s="2201"/>
      <c r="O11" s="2200"/>
      <c r="P11" s="2201"/>
      <c r="Q11" s="2200"/>
      <c r="R11" s="2201"/>
      <c r="S11" s="2200"/>
      <c r="T11" s="2201"/>
      <c r="U11" s="2200"/>
      <c r="V11" s="2201"/>
      <c r="W11" s="2200"/>
      <c r="X11" s="2201"/>
      <c r="Y11" s="2200"/>
      <c r="Z11" s="2201"/>
      <c r="AA11" s="2200"/>
      <c r="AB11" s="2201"/>
      <c r="AC11" s="1292"/>
      <c r="AD11" s="2202" t="s">
        <v>1905</v>
      </c>
      <c r="AE11" s="1819"/>
      <c r="AF11" s="2202" t="s">
        <v>1905</v>
      </c>
      <c r="AG11" s="1819"/>
      <c r="AH11" s="2202" t="s">
        <v>1906</v>
      </c>
      <c r="AI11" s="2203"/>
      <c r="AJ11" s="2202" t="s">
        <v>1906</v>
      </c>
      <c r="AK11" s="1819"/>
      <c r="AL11" s="1817"/>
      <c r="AM11" s="1819"/>
      <c r="AN11" s="1817"/>
      <c r="AO11" s="1819"/>
      <c r="AP11" s="1817"/>
      <c r="AQ11" s="1819"/>
      <c r="AR11" s="1817"/>
      <c r="AS11" s="1819"/>
      <c r="AT11" s="2163"/>
      <c r="AU11" s="2180"/>
      <c r="AV11" s="1292"/>
      <c r="AW11" s="2163"/>
      <c r="AX11" s="1292"/>
      <c r="AY11" s="28"/>
      <c r="AZ11" s="28"/>
      <c r="BA11" s="28"/>
      <c r="BB11" s="2185" t="str">
        <f>I10</f>
        <v>商业</v>
      </c>
      <c r="BC11" s="2185" t="str">
        <f>K10</f>
        <v>商业</v>
      </c>
      <c r="BD11" s="2185">
        <f>M10</f>
        <v>0</v>
      </c>
      <c r="BE11" s="2185">
        <f>O10</f>
        <v>0</v>
      </c>
      <c r="BF11" s="2185">
        <f>Q10</f>
        <v>0</v>
      </c>
      <c r="BG11" s="2185">
        <f>S10</f>
        <v>0</v>
      </c>
      <c r="BH11" s="2185">
        <f>U10</f>
        <v>0</v>
      </c>
      <c r="BI11" s="2185">
        <f>W10</f>
        <v>0</v>
      </c>
      <c r="BJ11" s="2185">
        <f>Y10</f>
        <v>0</v>
      </c>
      <c r="BK11" s="2185">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4" t="str">
        <f>AR10</f>
        <v>未注明</v>
      </c>
    </row>
    <row r="12" spans="1:72" s="2165" customFormat="1" ht="13.2">
      <c r="A12" s="2205"/>
      <c r="B12" s="2205"/>
      <c r="C12" s="2205"/>
      <c r="D12" s="2205"/>
      <c r="E12" s="2205"/>
      <c r="F12" s="2205"/>
      <c r="G12" s="30"/>
      <c r="H12" s="2206"/>
      <c r="I12" s="1806" t="s">
        <v>1907</v>
      </c>
      <c r="J12" s="11" t="s">
        <v>1908</v>
      </c>
      <c r="K12" s="11" t="s">
        <v>1907</v>
      </c>
      <c r="L12" s="11" t="s">
        <v>1908</v>
      </c>
      <c r="M12" s="11" t="s">
        <v>1907</v>
      </c>
      <c r="N12" s="11" t="s">
        <v>1908</v>
      </c>
      <c r="O12" s="11" t="s">
        <v>1907</v>
      </c>
      <c r="P12" s="11" t="s">
        <v>1908</v>
      </c>
      <c r="Q12" s="11" t="s">
        <v>1907</v>
      </c>
      <c r="R12" s="11" t="s">
        <v>1908</v>
      </c>
      <c r="S12" s="11" t="s">
        <v>1907</v>
      </c>
      <c r="T12" s="11" t="s">
        <v>1908</v>
      </c>
      <c r="U12" s="11" t="s">
        <v>1907</v>
      </c>
      <c r="V12" s="1802" t="s">
        <v>1908</v>
      </c>
      <c r="W12" s="11" t="s">
        <v>1907</v>
      </c>
      <c r="X12" s="11" t="s">
        <v>1908</v>
      </c>
      <c r="Y12" s="11" t="s">
        <v>1907</v>
      </c>
      <c r="Z12" s="11" t="s">
        <v>1908</v>
      </c>
      <c r="AA12" s="11" t="s">
        <v>1907</v>
      </c>
      <c r="AB12" s="11" t="s">
        <v>1908</v>
      </c>
      <c r="AC12" s="2207"/>
      <c r="AD12" s="1806" t="s">
        <v>1907</v>
      </c>
      <c r="AE12" s="11" t="s">
        <v>1908</v>
      </c>
      <c r="AF12" s="11" t="s">
        <v>1907</v>
      </c>
      <c r="AG12" s="11" t="s">
        <v>1908</v>
      </c>
      <c r="AH12" s="11" t="s">
        <v>1907</v>
      </c>
      <c r="AI12" s="11" t="s">
        <v>1908</v>
      </c>
      <c r="AJ12" s="11" t="s">
        <v>1907</v>
      </c>
      <c r="AK12" s="11" t="s">
        <v>1908</v>
      </c>
      <c r="AL12" s="11" t="s">
        <v>1907</v>
      </c>
      <c r="AM12" s="11" t="s">
        <v>1908</v>
      </c>
      <c r="AN12" s="11" t="s">
        <v>1907</v>
      </c>
      <c r="AO12" s="11" t="s">
        <v>1908</v>
      </c>
      <c r="AP12" s="11" t="s">
        <v>1907</v>
      </c>
      <c r="AQ12" s="11" t="s">
        <v>1908</v>
      </c>
      <c r="AR12" s="30" t="s">
        <v>1907</v>
      </c>
      <c r="AS12" s="2205" t="s">
        <v>1908</v>
      </c>
      <c r="AT12" s="2208"/>
      <c r="AU12" s="2205"/>
      <c r="AV12" s="31"/>
      <c r="AW12" s="2164"/>
      <c r="AX12" s="31"/>
      <c r="AY12" s="2209"/>
      <c r="AZ12" s="28"/>
      <c r="BA12" s="2197"/>
      <c r="BB12" s="24" t="str">
        <f>I11</f>
        <v>独立商业</v>
      </c>
      <c r="BC12" s="2210" t="str">
        <f>K11</f>
        <v>独立商业</v>
      </c>
      <c r="BD12" s="2210">
        <f>M11</f>
        <v>0</v>
      </c>
      <c r="BE12" s="2185">
        <f>O11</f>
        <v>0</v>
      </c>
      <c r="BF12" s="2185">
        <f>Q11</f>
        <v>0</v>
      </c>
      <c r="BG12" s="2185">
        <f>S11</f>
        <v>0</v>
      </c>
      <c r="BH12" s="2185">
        <f>U11</f>
        <v>0</v>
      </c>
      <c r="BI12" s="2185">
        <f>W11</f>
        <v>0</v>
      </c>
      <c r="BJ12" s="2185">
        <f>Y11</f>
        <v>0</v>
      </c>
      <c r="BK12" s="2185">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4">
        <f>AR11</f>
        <v>0</v>
      </c>
    </row>
    <row r="13" spans="1:72" s="2165" customFormat="1" ht="13.2">
      <c r="A13" s="1272"/>
      <c r="B13" s="1272">
        <v>76522.880000000005</v>
      </c>
      <c r="C13" s="1272"/>
      <c r="D13" s="2211" t="s">
        <v>3070</v>
      </c>
      <c r="E13" s="16">
        <f>IF($C$3="是",ROUND($A$3*G13/$B$3,2),ROUND($A$3*(G13-AT13)/$B$3,2))</f>
        <v>0</v>
      </c>
      <c r="F13" s="32"/>
      <c r="G13" s="33">
        <f>H13+AC13+AT13</f>
        <v>76522.880000000005</v>
      </c>
      <c r="H13" s="20">
        <f>SUMIF(I$12:AB$12,"总值",I13:AB13)</f>
        <v>57392.160000000003</v>
      </c>
      <c r="I13" s="2212">
        <f>B13-AN13</f>
        <v>57392.160000000003</v>
      </c>
      <c r="J13" s="2212"/>
      <c r="K13" s="2212"/>
      <c r="L13" s="2212"/>
      <c r="M13" s="2212"/>
      <c r="N13" s="2212"/>
      <c r="O13" s="2212"/>
      <c r="P13" s="2212"/>
      <c r="Q13" s="2212"/>
      <c r="R13" s="2212"/>
      <c r="S13" s="2212"/>
      <c r="T13" s="2212"/>
      <c r="U13" s="2212"/>
      <c r="V13" s="2212"/>
      <c r="W13" s="2212"/>
      <c r="X13" s="2212"/>
      <c r="Y13" s="2212"/>
      <c r="Z13" s="2212"/>
      <c r="AA13" s="2212"/>
      <c r="AB13" s="2212"/>
      <c r="AC13" s="16">
        <f>SUMIF(AD$12:AS$12,"总值",AD13:AS13)</f>
        <v>19130.72</v>
      </c>
      <c r="AD13" s="2213"/>
      <c r="AE13" s="2213"/>
      <c r="AF13" s="2213"/>
      <c r="AG13" s="2213"/>
      <c r="AH13" s="2213"/>
      <c r="AI13" s="2213"/>
      <c r="AJ13" s="2213"/>
      <c r="AK13" s="2213"/>
      <c r="AL13" s="2213"/>
      <c r="AM13" s="2213"/>
      <c r="AN13" s="2213">
        <f>ROUNDDOWN(B13/4,2)</f>
        <v>19130.72</v>
      </c>
      <c r="AO13" s="2213"/>
      <c r="AP13" s="2213"/>
      <c r="AQ13" s="2213"/>
      <c r="AR13" s="2213"/>
      <c r="AS13" s="2213"/>
      <c r="AT13" s="2214"/>
      <c r="AU13" s="2215"/>
      <c r="AV13" s="11">
        <f t="shared" ref="AV13:AX17" si="6">A13</f>
        <v>0</v>
      </c>
      <c r="AW13" s="11">
        <f t="shared" si="6"/>
        <v>76522.880000000005</v>
      </c>
      <c r="AX13" s="11">
        <f t="shared" si="6"/>
        <v>0</v>
      </c>
      <c r="AY13" s="1806">
        <f>ROUND($AY$6*AZ13/$AZ$5,2)</f>
        <v>0</v>
      </c>
      <c r="AZ13" s="16">
        <f>BA13+BL13</f>
        <v>76522.880000000005</v>
      </c>
      <c r="BA13" s="16">
        <f>SUM(BB13:BK13)</f>
        <v>57392.160000000003</v>
      </c>
      <c r="BB13" s="16">
        <f>IF($D13="是",I13-J13,0)</f>
        <v>57392.160000000003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19130.72</v>
      </c>
      <c r="BM13" s="16">
        <f>IF($D13="是",AD13-AE13,0)</f>
        <v>0</v>
      </c>
      <c r="BN13" s="16">
        <f>IF($D13="是",AF13-AG13,0)</f>
        <v>0</v>
      </c>
      <c r="BO13" s="16">
        <f>IF($D13="是",AH13-AI13,0)</f>
        <v>0</v>
      </c>
      <c r="BP13" s="16">
        <f>IF($D13="是",AJ13-AK13,0)</f>
        <v>0</v>
      </c>
      <c r="BQ13" s="16">
        <f>IF($D13="是",AL13-AM13,0)</f>
        <v>0</v>
      </c>
      <c r="BR13" s="16">
        <f>IF($D13="是",AN13-AO13,0)</f>
        <v>19130.72</v>
      </c>
      <c r="BS13" s="16">
        <f>IF($D13="是",AP13-AQ13,0)</f>
        <v>0</v>
      </c>
      <c r="BT13" s="22">
        <f>IF($D13="是",AR13-AS13,0)</f>
        <v>0</v>
      </c>
    </row>
    <row r="14" spans="1:72" s="2165" customFormat="1" ht="13.2">
      <c r="A14" s="1272"/>
      <c r="B14" s="1272"/>
      <c r="C14" s="2151"/>
      <c r="D14" s="2211"/>
      <c r="E14" s="16">
        <f>IF($C$3="是",ROUND($A$3*G14/$B$3,2),ROUND($A$3*(G14-AT14)/$B$3,2))</f>
        <v>0</v>
      </c>
      <c r="F14" s="32"/>
      <c r="G14" s="33">
        <f>H14+AC14+AT14</f>
        <v>0</v>
      </c>
      <c r="H14" s="20">
        <f>SUMIF(I$12:AB$12,"总值",I14:AB14)</f>
        <v>0</v>
      </c>
      <c r="I14" s="2212"/>
      <c r="J14" s="2212"/>
      <c r="K14" s="2212"/>
      <c r="L14" s="2212"/>
      <c r="M14" s="2212"/>
      <c r="N14" s="2212"/>
      <c r="O14" s="2212"/>
      <c r="P14" s="2212"/>
      <c r="Q14" s="2212"/>
      <c r="R14" s="2212"/>
      <c r="S14" s="2212"/>
      <c r="T14" s="2212"/>
      <c r="U14" s="2212"/>
      <c r="V14" s="2212"/>
      <c r="W14" s="2212"/>
      <c r="X14" s="2212"/>
      <c r="Y14" s="2212"/>
      <c r="Z14" s="2212"/>
      <c r="AA14" s="2212"/>
      <c r="AB14" s="2212"/>
      <c r="AC14" s="16">
        <f>SUMIF(AD$12:AS$12,"总值",AD14:AS14)</f>
        <v>0</v>
      </c>
      <c r="AD14" s="2213"/>
      <c r="AE14" s="2213"/>
      <c r="AF14" s="2213"/>
      <c r="AG14" s="2213"/>
      <c r="AH14" s="2213"/>
      <c r="AI14" s="2213"/>
      <c r="AJ14" s="2213"/>
      <c r="AK14" s="2213"/>
      <c r="AL14" s="2213"/>
      <c r="AM14" s="2213"/>
      <c r="AN14" s="2213"/>
      <c r="AO14" s="2213"/>
      <c r="AP14" s="2213"/>
      <c r="AQ14" s="2213"/>
      <c r="AR14" s="2213"/>
      <c r="AS14" s="2213"/>
      <c r="AT14" s="2214"/>
      <c r="AU14" s="2215"/>
      <c r="AV14" s="11">
        <f t="shared" si="6"/>
        <v>0</v>
      </c>
      <c r="AW14" s="11">
        <f t="shared" si="6"/>
        <v>0</v>
      </c>
      <c r="AX14" s="11">
        <f t="shared" si="6"/>
        <v>0</v>
      </c>
      <c r="AY14" s="1806">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5" customFormat="1" ht="13.2">
      <c r="A15" s="1272"/>
      <c r="B15" s="1272"/>
      <c r="C15" s="2151"/>
      <c r="D15" s="2211"/>
      <c r="E15" s="16">
        <f>IF($C$3="是",ROUND($A$3*G15/$B$3,2),ROUND($A$3*(G15-AT15)/$B$3,2))</f>
        <v>0</v>
      </c>
      <c r="F15" s="32"/>
      <c r="G15" s="33">
        <f>H15+AC15+AT15</f>
        <v>0</v>
      </c>
      <c r="H15" s="20">
        <f>SUMIF(I$12:AB$12,"总值",I15:AB15)</f>
        <v>0</v>
      </c>
      <c r="I15" s="2212"/>
      <c r="J15" s="2212"/>
      <c r="K15" s="2212"/>
      <c r="L15" s="2212"/>
      <c r="M15" s="2212"/>
      <c r="N15" s="2212"/>
      <c r="O15" s="2212"/>
      <c r="P15" s="2212"/>
      <c r="Q15" s="2212"/>
      <c r="R15" s="2212"/>
      <c r="S15" s="2212"/>
      <c r="T15" s="2212"/>
      <c r="U15" s="2212"/>
      <c r="V15" s="2212"/>
      <c r="W15" s="2212"/>
      <c r="X15" s="2212"/>
      <c r="Y15" s="2212"/>
      <c r="Z15" s="2212"/>
      <c r="AA15" s="2212"/>
      <c r="AB15" s="2212"/>
      <c r="AC15" s="16">
        <f>SUMIF(AD$12:AS$12,"总值",AD15:AS15)</f>
        <v>0</v>
      </c>
      <c r="AD15" s="2213"/>
      <c r="AE15" s="2213"/>
      <c r="AF15" s="2213"/>
      <c r="AG15" s="2213"/>
      <c r="AH15" s="2213"/>
      <c r="AI15" s="2213"/>
      <c r="AJ15" s="2213"/>
      <c r="AK15" s="2213"/>
      <c r="AL15" s="2213"/>
      <c r="AM15" s="2213"/>
      <c r="AN15" s="2213"/>
      <c r="AO15" s="2213"/>
      <c r="AP15" s="2213"/>
      <c r="AQ15" s="2213"/>
      <c r="AR15" s="2213"/>
      <c r="AS15" s="2213"/>
      <c r="AT15" s="2214"/>
      <c r="AU15" s="2215"/>
      <c r="AV15" s="11">
        <f t="shared" si="6"/>
        <v>0</v>
      </c>
      <c r="AW15" s="11">
        <f t="shared" si="6"/>
        <v>0</v>
      </c>
      <c r="AX15" s="11">
        <f t="shared" si="6"/>
        <v>0</v>
      </c>
      <c r="AY15" s="1806">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5" customFormat="1" ht="13.2">
      <c r="A16" s="1272"/>
      <c r="B16" s="1272"/>
      <c r="C16" s="2151"/>
      <c r="D16" s="2211"/>
      <c r="E16" s="16">
        <f>IF($C$3="是",ROUND($A$3*G16/$B$3,2),ROUND($A$3*(G16-AT16)/$B$3,2))</f>
        <v>0</v>
      </c>
      <c r="F16" s="32"/>
      <c r="G16" s="33">
        <f>H16+AC16+AT16</f>
        <v>0</v>
      </c>
      <c r="H16" s="20">
        <f>SUMIF(I$12:AB$12,"总值",I16:AB16)</f>
        <v>0</v>
      </c>
      <c r="I16" s="2212"/>
      <c r="J16" s="2212"/>
      <c r="K16" s="2212"/>
      <c r="L16" s="2212"/>
      <c r="M16" s="2212"/>
      <c r="N16" s="2212"/>
      <c r="O16" s="2212"/>
      <c r="P16" s="2212"/>
      <c r="Q16" s="2212"/>
      <c r="R16" s="2212"/>
      <c r="S16" s="2212"/>
      <c r="T16" s="2212"/>
      <c r="U16" s="2212"/>
      <c r="V16" s="2212"/>
      <c r="W16" s="2212"/>
      <c r="X16" s="2212"/>
      <c r="Y16" s="2212"/>
      <c r="Z16" s="2212"/>
      <c r="AA16" s="2212"/>
      <c r="AB16" s="2212"/>
      <c r="AC16" s="16">
        <f>SUMIF(AD$12:AS$12,"总值",AD16:AS16)</f>
        <v>0</v>
      </c>
      <c r="AD16" s="2213"/>
      <c r="AE16" s="2213"/>
      <c r="AF16" s="2213"/>
      <c r="AG16" s="2213"/>
      <c r="AH16" s="2213"/>
      <c r="AI16" s="2213"/>
      <c r="AJ16" s="2213"/>
      <c r="AK16" s="2213"/>
      <c r="AL16" s="2213"/>
      <c r="AM16" s="2213"/>
      <c r="AN16" s="2213"/>
      <c r="AO16" s="2213"/>
      <c r="AP16" s="2213"/>
      <c r="AQ16" s="2213"/>
      <c r="AR16" s="2213"/>
      <c r="AS16" s="2213"/>
      <c r="AT16" s="2214"/>
      <c r="AU16" s="2215"/>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5" customFormat="1" ht="13.2">
      <c r="A17" s="1272"/>
      <c r="B17" s="1272"/>
      <c r="C17" s="2151"/>
      <c r="D17" s="2211"/>
      <c r="E17" s="16">
        <f>IF($C$3="是",ROUND($A$3*G17/$B$3,2),ROUND($A$3*(G17-AT17)/$B$3,2))</f>
        <v>0</v>
      </c>
      <c r="F17" s="32"/>
      <c r="G17" s="33">
        <f>H17+AC17+AT17</f>
        <v>0</v>
      </c>
      <c r="H17" s="20">
        <f>SUMIF(I$12:AB$12,"总值",I17:AB17)</f>
        <v>0</v>
      </c>
      <c r="I17" s="2212"/>
      <c r="J17" s="2212"/>
      <c r="K17" s="2212"/>
      <c r="L17" s="2212"/>
      <c r="M17" s="2212"/>
      <c r="N17" s="2212"/>
      <c r="O17" s="2212"/>
      <c r="P17" s="2212"/>
      <c r="Q17" s="2212"/>
      <c r="R17" s="2212"/>
      <c r="S17" s="2212"/>
      <c r="T17" s="2212"/>
      <c r="U17" s="2212"/>
      <c r="V17" s="2212"/>
      <c r="W17" s="2212"/>
      <c r="X17" s="2212"/>
      <c r="Y17" s="2212"/>
      <c r="Z17" s="2212"/>
      <c r="AA17" s="2212"/>
      <c r="AB17" s="2212"/>
      <c r="AC17" s="16">
        <f>SUMIF(AD$12:AS$12,"总值",AD17:AS17)</f>
        <v>0</v>
      </c>
      <c r="AD17" s="2213"/>
      <c r="AE17" s="2213"/>
      <c r="AF17" s="2213"/>
      <c r="AG17" s="2213"/>
      <c r="AH17" s="2213"/>
      <c r="AI17" s="2213"/>
      <c r="AJ17" s="2213"/>
      <c r="AK17" s="2213"/>
      <c r="AL17" s="2213"/>
      <c r="AM17" s="2213"/>
      <c r="AN17" s="2213"/>
      <c r="AO17" s="2213"/>
      <c r="AP17" s="2213"/>
      <c r="AQ17" s="2213"/>
      <c r="AR17" s="2213"/>
      <c r="AS17" s="2213"/>
      <c r="AT17" s="2214"/>
      <c r="AU17" s="2215"/>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7"/>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7"/>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7"/>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7"/>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7"/>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7"/>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7"/>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7"/>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7"/>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7"/>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7"/>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7"/>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7"/>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7"/>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7"/>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7"/>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7"/>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7"/>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7"/>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7"/>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7"/>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7"/>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7"/>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7"/>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7"/>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7"/>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7"/>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7"/>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7"/>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7"/>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7"/>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7"/>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7"/>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7"/>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7"/>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7"/>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7"/>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7"/>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7"/>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7"/>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7"/>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7"/>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7"/>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7"/>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7"/>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7"/>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7"/>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7"/>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7"/>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7"/>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7"/>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7"/>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7"/>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7"/>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7"/>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7"/>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7"/>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7"/>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7"/>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7"/>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7"/>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7"/>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7"/>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7"/>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7"/>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7"/>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7"/>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7"/>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7"/>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7"/>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7"/>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7"/>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7"/>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7"/>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7"/>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7"/>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7"/>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7"/>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7"/>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7"/>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7"/>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7"/>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7"/>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7"/>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7"/>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7"/>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7"/>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7"/>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7"/>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7"/>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7"/>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7"/>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2"/>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2"/>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2"/>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7"/>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7"/>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7"/>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7"/>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7"/>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7"/>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7"/>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7"/>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7"/>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7"/>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7"/>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7"/>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7"/>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7"/>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7"/>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7"/>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7"/>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7"/>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7"/>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7"/>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7"/>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7"/>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7"/>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7"/>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7"/>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7"/>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7"/>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7"/>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7"/>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7"/>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7"/>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7"/>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7"/>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7"/>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7"/>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7"/>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7"/>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7"/>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7"/>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7"/>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7"/>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7"/>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7"/>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7"/>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7"/>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7"/>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7"/>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7"/>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7"/>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7"/>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7"/>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7"/>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7"/>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7"/>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7"/>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7"/>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7"/>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7"/>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7"/>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7"/>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7"/>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7"/>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7"/>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7"/>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7"/>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7"/>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7"/>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7"/>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7"/>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7"/>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7"/>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7"/>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7"/>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7"/>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7"/>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7"/>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7"/>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7"/>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7"/>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7"/>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7"/>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7"/>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7"/>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7"/>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7"/>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7"/>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7"/>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7"/>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7"/>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7"/>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7"/>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7"/>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2"/>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2"/>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2"/>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7"/>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7"/>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7"/>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7"/>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7"/>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7"/>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7"/>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7"/>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7"/>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7"/>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7"/>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7"/>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7"/>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7"/>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7"/>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7"/>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7"/>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7"/>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7"/>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7"/>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7"/>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7"/>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7"/>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7"/>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7"/>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7"/>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7"/>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7"/>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7"/>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7"/>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7"/>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7"/>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7"/>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7"/>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7"/>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7"/>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7"/>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7"/>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7"/>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7"/>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7"/>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7"/>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7"/>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7"/>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7"/>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7"/>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7"/>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7"/>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7"/>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7"/>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7"/>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7"/>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7"/>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7"/>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7"/>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7"/>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7"/>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7"/>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7"/>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7"/>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7"/>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7"/>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7"/>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7"/>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7"/>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7"/>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7"/>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7"/>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7"/>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7"/>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7"/>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7"/>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7"/>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7"/>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7"/>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7"/>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7"/>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7"/>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7"/>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7"/>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7"/>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7"/>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7"/>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7"/>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7"/>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7"/>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7"/>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7"/>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7"/>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7"/>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7"/>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7"/>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2"/>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2"/>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2"/>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7"/>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7"/>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7"/>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7"/>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7"/>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7"/>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7"/>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7"/>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7"/>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7"/>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7"/>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7"/>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7"/>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7"/>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7"/>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7"/>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7"/>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7"/>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7"/>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7"/>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7"/>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7"/>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7"/>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7"/>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7"/>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7"/>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7"/>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7"/>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7"/>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7"/>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7"/>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7"/>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7"/>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7"/>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7"/>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7"/>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7"/>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7"/>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7"/>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7"/>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7"/>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7"/>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7"/>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7"/>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7"/>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7"/>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7"/>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7"/>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7"/>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7"/>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7"/>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7"/>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7"/>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7"/>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7"/>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7"/>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7"/>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7"/>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7"/>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7"/>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7"/>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7"/>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7"/>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7"/>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7"/>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7"/>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7"/>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7"/>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7"/>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7"/>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7"/>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7"/>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7"/>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7"/>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7"/>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7"/>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7"/>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7"/>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7"/>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7"/>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7"/>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7"/>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7"/>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7"/>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7"/>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7"/>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7"/>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7"/>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7"/>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7"/>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7"/>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7"/>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2"/>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2"/>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2"/>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7"/>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7"/>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7"/>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7"/>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7"/>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7"/>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7"/>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7"/>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7"/>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7"/>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7"/>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7"/>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7"/>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7"/>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7"/>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7"/>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7"/>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7"/>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7"/>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7"/>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7"/>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7"/>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7"/>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7"/>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7"/>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7"/>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7"/>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7"/>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7"/>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7"/>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7"/>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7"/>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7"/>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7"/>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7"/>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7"/>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7"/>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7"/>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7"/>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7"/>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7"/>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7"/>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7"/>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7"/>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7"/>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7"/>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7"/>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7"/>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7"/>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7"/>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7"/>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7"/>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7"/>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7"/>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7"/>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7"/>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7"/>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7"/>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7"/>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7"/>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7"/>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7"/>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7"/>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7"/>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7"/>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7"/>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7"/>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7"/>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7"/>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7"/>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7"/>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7"/>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7"/>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7"/>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7"/>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7"/>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7"/>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7"/>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7"/>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7"/>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7"/>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7"/>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7"/>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7"/>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7"/>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7"/>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7"/>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7"/>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7"/>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7"/>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7"/>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7"/>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2"/>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2"/>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2"/>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7"/>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7"/>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7"/>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7"/>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7"/>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7"/>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7"/>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7"/>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7"/>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7"/>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7"/>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7"/>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7"/>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7"/>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7"/>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7"/>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7"/>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7"/>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7"/>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7"/>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7"/>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7"/>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7"/>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7"/>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7"/>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7"/>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7"/>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7"/>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7"/>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7"/>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7"/>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7"/>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7"/>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7"/>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7"/>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7"/>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7"/>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7"/>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7"/>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7"/>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7"/>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7"/>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7"/>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7"/>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7"/>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7"/>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7"/>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7"/>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7"/>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7"/>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7"/>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7"/>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7"/>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7"/>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7"/>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7"/>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7"/>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7"/>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7"/>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7"/>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7"/>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7"/>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7"/>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7"/>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7"/>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7"/>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7"/>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7"/>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7"/>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7"/>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7"/>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7"/>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7"/>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7"/>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7"/>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7"/>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7"/>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7"/>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7"/>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7"/>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7"/>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7"/>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7"/>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7"/>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7"/>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7"/>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7"/>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7"/>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7"/>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7"/>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7"/>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7"/>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2"/>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2"/>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2"/>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0" customFormat="1">
      <c r="A588" s="2218"/>
      <c r="B588" s="2218"/>
      <c r="C588" s="2218"/>
      <c r="D588" s="2218"/>
      <c r="E588" s="2219"/>
      <c r="F588" s="2219"/>
      <c r="G588" s="2218"/>
      <c r="H588" s="2219"/>
      <c r="I588" s="2219"/>
      <c r="J588" s="2219"/>
      <c r="K588" s="2219"/>
      <c r="L588" s="2219"/>
      <c r="M588" s="2219"/>
      <c r="N588" s="2219"/>
      <c r="O588" s="2219"/>
      <c r="P588" s="2219"/>
      <c r="Q588" s="2219"/>
      <c r="R588" s="2219"/>
      <c r="S588" s="2219"/>
      <c r="T588" s="2219"/>
      <c r="U588" s="2219"/>
      <c r="V588" s="2219"/>
      <c r="W588" s="2219"/>
      <c r="X588" s="2219"/>
      <c r="Y588" s="2219"/>
      <c r="Z588" s="2219"/>
      <c r="AA588" s="2219"/>
      <c r="AB588" s="2219"/>
      <c r="AC588" s="2219"/>
      <c r="AD588" s="2219"/>
      <c r="AE588" s="2219"/>
      <c r="AF588" s="2219"/>
      <c r="AG588" s="2219"/>
      <c r="AH588" s="2219"/>
      <c r="AI588" s="2219"/>
      <c r="AJ588" s="2219"/>
      <c r="AK588" s="2219"/>
      <c r="AL588" s="2219"/>
      <c r="AM588" s="2219"/>
      <c r="AN588" s="2219"/>
      <c r="AO588" s="2219"/>
      <c r="AP588" s="2219"/>
      <c r="AQ588" s="2219"/>
      <c r="AR588" s="2219"/>
      <c r="AS588" s="2219"/>
      <c r="AT588" s="2219"/>
      <c r="AU588" s="2218"/>
      <c r="AV588" s="2218"/>
      <c r="AW588" s="2218"/>
      <c r="AX588" s="2218"/>
    </row>
    <row r="589" spans="1:72" s="2221" customFormat="1">
      <c r="C589" s="2222"/>
      <c r="D589" s="2222"/>
    </row>
    <row r="590" spans="1:72" s="2221" customFormat="1">
      <c r="C590" s="2222"/>
      <c r="D590" s="2222"/>
    </row>
    <row r="593" spans="2:2">
      <c r="B593" s="22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40" t="s">
        <v>0</v>
      </c>
      <c r="B1" s="3040" t="s">
        <v>4</v>
      </c>
      <c r="C1" s="3040" t="s">
        <v>5</v>
      </c>
      <c r="D1" s="3041" t="s">
        <v>53</v>
      </c>
      <c r="E1" s="3041" t="s">
        <v>54</v>
      </c>
      <c r="F1" s="3041"/>
      <c r="G1" s="3041"/>
      <c r="H1" s="3041"/>
      <c r="I1" s="3041"/>
      <c r="J1" s="3041"/>
      <c r="K1" s="3041"/>
      <c r="L1" s="3041"/>
      <c r="M1" s="3041"/>
    </row>
    <row r="2" spans="1:13" ht="27" customHeight="1">
      <c r="A2" s="3040"/>
      <c r="B2" s="3040"/>
      <c r="C2" s="3040"/>
      <c r="D2" s="3041"/>
      <c r="E2" s="3041" t="s">
        <v>37</v>
      </c>
      <c r="F2" s="3041" t="s">
        <v>38</v>
      </c>
      <c r="G2" s="3041"/>
      <c r="H2" s="3041"/>
      <c r="I2" s="3041"/>
      <c r="J2" s="3041" t="s">
        <v>39</v>
      </c>
      <c r="K2" s="3041"/>
      <c r="L2" s="3041"/>
      <c r="M2" s="3041"/>
    </row>
    <row r="3" spans="1:13" ht="46.8">
      <c r="A3" s="3040"/>
      <c r="B3" s="3040"/>
      <c r="C3" s="3040"/>
      <c r="D3" s="3041"/>
      <c r="E3" s="304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1" t="s">
        <v>55</v>
      </c>
      <c r="B9" s="3041"/>
      <c r="C9" s="304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1875" defaultRowHeight="13.8"/>
  <cols>
    <col min="1" max="1" width="12.109375" style="2224" customWidth="1"/>
    <col min="2" max="2" width="10.21875" style="2224" customWidth="1"/>
    <col min="3" max="3" width="18.44140625" style="2224" customWidth="1"/>
    <col min="4" max="4" width="11.6640625" style="2224" customWidth="1"/>
    <col min="5" max="5" width="13.33203125" style="2224" customWidth="1"/>
    <col min="6" max="8" width="11.44140625" style="2224" customWidth="1"/>
    <col min="9" max="9" width="11.109375" style="2224" customWidth="1"/>
    <col min="10" max="10" width="3.109375" style="2224" customWidth="1"/>
    <col min="11" max="16" width="10" style="2224" customWidth="1"/>
    <col min="17" max="17" width="2.6640625" style="2224" customWidth="1"/>
    <col min="18" max="18" width="9.33203125" style="2224" bestFit="1" customWidth="1"/>
    <col min="19" max="19" width="10.44140625" style="2224" bestFit="1" customWidth="1"/>
    <col min="20" max="16384" width="9.21875" style="2224"/>
  </cols>
  <sheetData>
    <row r="1" spans="1:16" ht="17.399999999999999">
      <c r="A1" s="2223" t="s">
        <v>1934</v>
      </c>
      <c r="B1" s="1392"/>
      <c r="C1" s="1392"/>
      <c r="D1" s="1392"/>
      <c r="E1" s="1392"/>
      <c r="F1" s="1392"/>
      <c r="G1" s="1392"/>
      <c r="H1" s="1392"/>
      <c r="I1" s="1392"/>
      <c r="J1" s="1392"/>
      <c r="K1" s="1392"/>
      <c r="L1" s="1392"/>
      <c r="M1" s="1392"/>
      <c r="N1" s="1392"/>
      <c r="O1" s="1392"/>
      <c r="P1" s="1392"/>
    </row>
    <row r="2" spans="1:16" ht="14.4">
      <c r="A2" s="3051" t="s">
        <v>1935</v>
      </c>
      <c r="B2" s="3051"/>
      <c r="C2" s="3051"/>
      <c r="D2" s="967" t="s">
        <v>1911</v>
      </c>
      <c r="E2" s="2225" t="s">
        <v>1912</v>
      </c>
      <c r="F2" s="1392"/>
      <c r="G2" s="2226"/>
      <c r="H2" s="2227"/>
      <c r="I2" s="2228" t="s">
        <v>1936</v>
      </c>
      <c r="J2" s="1392"/>
      <c r="K2" s="1392"/>
      <c r="L2" s="1392"/>
      <c r="M2" s="1392"/>
      <c r="N2" s="1427"/>
      <c r="O2" s="1392"/>
      <c r="P2" s="1392"/>
    </row>
    <row r="3" spans="1:16" ht="15" thickBot="1">
      <c r="A3" s="3052" t="s">
        <v>1909</v>
      </c>
      <c r="B3" s="3052"/>
      <c r="C3" s="3052"/>
      <c r="D3" s="46">
        <f>'数据-基础表'!AY6</f>
        <v>0</v>
      </c>
      <c r="E3" s="46">
        <f>'数据-基础表'!AZ5</f>
        <v>76522.880000000005</v>
      </c>
      <c r="F3" s="1392"/>
      <c r="G3" s="1399"/>
      <c r="H3" s="1247" t="s">
        <v>1910</v>
      </c>
      <c r="I3" s="55" t="e">
        <f>ROUND('数据-基础表'!B3/'数据-基础表'!A3,2)</f>
        <v>#DIV/0!</v>
      </c>
      <c r="J3" s="1392"/>
      <c r="K3" s="1392"/>
      <c r="L3" s="1392"/>
      <c r="M3" s="1392"/>
      <c r="N3" s="1427"/>
      <c r="O3" s="1392"/>
      <c r="P3" s="1392"/>
    </row>
    <row r="4" spans="1:16" ht="14.4">
      <c r="A4" s="3053"/>
      <c r="B4" s="3054"/>
      <c r="C4" s="3055"/>
      <c r="D4" s="2229" t="s">
        <v>1911</v>
      </c>
      <c r="E4" s="2230" t="s">
        <v>1912</v>
      </c>
      <c r="F4" s="1392"/>
      <c r="G4" s="2231" t="s">
        <v>1937</v>
      </c>
      <c r="H4" s="1247" t="s">
        <v>1917</v>
      </c>
      <c r="I4" s="55" t="e">
        <f>ROUND(SUMIF('数据-基础表'!I9:AS9,"地上",'数据-基础表'!I5:AS5)/'数据-基础表'!A3,2)</f>
        <v>#DIV/0!</v>
      </c>
      <c r="J4" s="1392"/>
      <c r="K4" s="1392"/>
      <c r="L4" s="1392"/>
      <c r="M4" s="1392"/>
      <c r="N4" s="1427"/>
      <c r="O4" s="1392"/>
      <c r="P4" s="1392"/>
    </row>
    <row r="5" spans="1:16" ht="14.4">
      <c r="A5" s="47" t="s">
        <v>1913</v>
      </c>
      <c r="B5" s="3056" t="s">
        <v>1914</v>
      </c>
      <c r="C5" s="3056"/>
      <c r="D5" s="48">
        <f>ROUND($D$3*E5/$E$3,2)</f>
        <v>0</v>
      </c>
      <c r="E5" s="49">
        <f>SUMIF('数据-基础表'!$11:$11,"住宅",'数据-基础表'!$5:$5)</f>
        <v>0</v>
      </c>
      <c r="F5" s="1392"/>
      <c r="G5" s="1399"/>
      <c r="H5" s="1247" t="s">
        <v>1910</v>
      </c>
      <c r="I5" s="55" t="e">
        <f>ROUND(E31/D31,2)</f>
        <v>#DIV/0!</v>
      </c>
      <c r="J5" s="1392"/>
      <c r="K5" s="1392"/>
      <c r="L5" s="1392"/>
      <c r="M5" s="1392"/>
      <c r="N5" s="1392"/>
      <c r="O5" s="1392"/>
      <c r="P5" s="1392"/>
    </row>
    <row r="6" spans="1:16" ht="15" thickBot="1">
      <c r="A6" s="2232"/>
      <c r="B6" s="3056" t="s">
        <v>1915</v>
      </c>
      <c r="C6" s="3056"/>
      <c r="D6" s="48">
        <f>ROUND($D$3*E6/$E$3,2)</f>
        <v>0</v>
      </c>
      <c r="E6" s="49">
        <f>E3-E5</f>
        <v>76522.880000000005</v>
      </c>
      <c r="F6" s="1392"/>
      <c r="G6" s="2233" t="s">
        <v>1916</v>
      </c>
      <c r="H6" s="1399" t="s">
        <v>1917</v>
      </c>
      <c r="I6" s="939" t="e">
        <f>ROUND(F31/D31,2)</f>
        <v>#DIV/0!</v>
      </c>
      <c r="J6" s="1392"/>
      <c r="K6" s="1392"/>
      <c r="L6" s="1392"/>
      <c r="M6" s="1392"/>
      <c r="N6" s="1392"/>
      <c r="O6" s="1392"/>
      <c r="P6" s="1392"/>
    </row>
    <row r="7" spans="1:16" ht="14.4">
      <c r="A7" s="3048"/>
      <c r="B7" s="3049"/>
      <c r="C7" s="3050"/>
      <c r="D7" s="2229" t="s">
        <v>1911</v>
      </c>
      <c r="E7" s="2234" t="s">
        <v>1918</v>
      </c>
      <c r="F7" s="1392"/>
      <c r="G7" s="2226" t="s">
        <v>1919</v>
      </c>
      <c r="H7" s="64"/>
      <c r="I7" s="420"/>
      <c r="J7" s="1392"/>
      <c r="K7" s="1392"/>
      <c r="L7" s="1392"/>
      <c r="M7" s="1392"/>
      <c r="N7" s="1392"/>
      <c r="O7" s="1392"/>
      <c r="P7" s="1392"/>
    </row>
    <row r="8" spans="1:16" ht="14.4">
      <c r="A8" s="47" t="s">
        <v>1920</v>
      </c>
      <c r="B8" s="50" t="s">
        <v>1921</v>
      </c>
      <c r="C8" s="48" t="s">
        <v>1922</v>
      </c>
      <c r="D8" s="48">
        <f t="shared" ref="D8:D15" si="0">ROUND($D$3*E8/$E$3,2)</f>
        <v>0</v>
      </c>
      <c r="E8" s="51">
        <f>SUMIF('数据-基础表'!BB10:BK10,"地上",'数据-基础表'!BB5:BK5)</f>
        <v>57392.160000000003</v>
      </c>
      <c r="F8" s="1392"/>
      <c r="G8" s="2235"/>
      <c r="H8" s="2235"/>
      <c r="I8" s="1392"/>
      <c r="J8" s="1392"/>
      <c r="K8" s="1392"/>
      <c r="L8" s="1392"/>
      <c r="M8" s="1392"/>
      <c r="N8" s="1392"/>
      <c r="O8" s="1392"/>
      <c r="P8" s="1392"/>
    </row>
    <row r="9" spans="1:16" ht="14.4">
      <c r="A9" s="2236"/>
      <c r="B9" s="2237"/>
      <c r="C9" s="48" t="s">
        <v>1923</v>
      </c>
      <c r="D9" s="48">
        <f t="shared" si="0"/>
        <v>0</v>
      </c>
      <c r="E9" s="52">
        <v>0</v>
      </c>
      <c r="F9" s="1392"/>
      <c r="G9" s="2235"/>
      <c r="H9" s="2235"/>
      <c r="I9" s="1392"/>
      <c r="J9" s="1392"/>
      <c r="K9" s="1392"/>
      <c r="L9" s="1392"/>
      <c r="M9" s="1392"/>
      <c r="N9" s="1392"/>
      <c r="O9" s="1392"/>
      <c r="P9" s="1392"/>
    </row>
    <row r="10" spans="1:16" ht="14.4">
      <c r="A10" s="2236"/>
      <c r="B10" s="2237"/>
      <c r="C10" s="48" t="s">
        <v>1932</v>
      </c>
      <c r="D10" s="48">
        <f t="shared" si="0"/>
        <v>0</v>
      </c>
      <c r="E10" s="51">
        <f>SUMPRODUCT(('数据-基础表'!BB10:BK10="地下")*('数据-基础表'!BB11:BK11="商业")*('数据-基础表'!BB5:BK5))</f>
        <v>0</v>
      </c>
      <c r="F10" s="1392"/>
      <c r="G10" s="2235"/>
      <c r="H10" s="2235"/>
      <c r="I10" s="1392"/>
      <c r="J10" s="1392"/>
      <c r="K10" s="1392"/>
      <c r="L10" s="1392"/>
      <c r="M10" s="1392"/>
      <c r="N10" s="1392"/>
      <c r="O10" s="1392"/>
      <c r="P10" s="1392"/>
    </row>
    <row r="11" spans="1:16" ht="14.4">
      <c r="A11" s="2236"/>
      <c r="B11" s="2237"/>
      <c r="C11" s="48" t="s">
        <v>1924</v>
      </c>
      <c r="D11" s="48">
        <f t="shared" si="0"/>
        <v>0</v>
      </c>
      <c r="E11" s="51">
        <f>SUMPRODUCT(('数据-基础表'!BB10:BK10="地下")*('数据-基础表'!BB11:BK11="办公")*('数据-基础表'!BB5:BK5))+'数据-基础表'!BP5</f>
        <v>0</v>
      </c>
      <c r="F11" s="1392"/>
      <c r="G11" s="2235"/>
      <c r="H11" s="2235"/>
      <c r="I11" s="1392"/>
      <c r="J11" s="1392"/>
      <c r="K11" s="1392"/>
      <c r="L11" s="1392"/>
      <c r="M11" s="1392"/>
      <c r="N11" s="1392"/>
      <c r="O11" s="1392"/>
      <c r="P11" s="1392"/>
    </row>
    <row r="12" spans="1:16" ht="14.4">
      <c r="A12" s="2236"/>
      <c r="B12" s="2237"/>
      <c r="C12" s="48" t="s">
        <v>1925</v>
      </c>
      <c r="D12" s="48">
        <f t="shared" si="0"/>
        <v>0</v>
      </c>
      <c r="E12" s="51">
        <f>SUMPRODUCT(('数据-基础表'!BB10:BK10="地下")*('数据-基础表'!BB11:BK11="仓储")*('数据-基础表'!BB5:BK5))</f>
        <v>0</v>
      </c>
      <c r="F12" s="1392"/>
      <c r="G12" s="2235"/>
      <c r="H12" s="2235"/>
      <c r="I12" s="1392"/>
      <c r="J12" s="1392"/>
      <c r="K12" s="1392"/>
      <c r="L12" s="1392"/>
      <c r="M12" s="1392"/>
      <c r="N12" s="1392"/>
      <c r="O12" s="1392"/>
      <c r="P12" s="1392"/>
    </row>
    <row r="13" spans="1:16" ht="14.4">
      <c r="A13" s="2236"/>
      <c r="B13" s="2237"/>
      <c r="C13" s="48" t="s">
        <v>1926</v>
      </c>
      <c r="D13" s="48">
        <f t="shared" si="0"/>
        <v>0</v>
      </c>
      <c r="E13" s="51">
        <f>SUMPRODUCT(('数据-基础表'!BB10:BK10="地下")*('数据-基础表'!BB11:BK11="车库")*('数据-基础表'!BB5:BK5))</f>
        <v>0</v>
      </c>
      <c r="F13" s="1392"/>
      <c r="G13" s="2235"/>
      <c r="H13" s="2235"/>
      <c r="I13" s="1392"/>
      <c r="J13" s="1392"/>
      <c r="K13" s="1392"/>
      <c r="L13" s="1392"/>
      <c r="M13" s="1392"/>
      <c r="N13" s="1392"/>
      <c r="O13" s="1392"/>
      <c r="P13" s="1392"/>
    </row>
    <row r="14" spans="1:16" ht="14.4">
      <c r="A14" s="2236"/>
      <c r="B14" s="2237"/>
      <c r="C14" s="48" t="s">
        <v>1938</v>
      </c>
      <c r="D14" s="48">
        <f t="shared" si="0"/>
        <v>0</v>
      </c>
      <c r="E14" s="51">
        <f>SUMPRODUCT(('数据-基础表'!BB10:BK10="地下")*('数据-基础表'!BB11:BK11="车库—商业")*('数据-基础表'!BB5:BK5))</f>
        <v>0</v>
      </c>
      <c r="F14" s="1392"/>
      <c r="G14" s="2235"/>
      <c r="H14" s="2235"/>
      <c r="I14" s="1392"/>
      <c r="J14" s="1392"/>
      <c r="K14" s="1392"/>
      <c r="L14" s="1392"/>
      <c r="M14" s="1392"/>
      <c r="N14" s="1392"/>
      <c r="O14" s="1392"/>
      <c r="P14" s="1392"/>
    </row>
    <row r="15" spans="1:16" ht="15" thickBot="1">
      <c r="A15" s="2236"/>
      <c r="B15" s="2237"/>
      <c r="C15" s="48" t="s">
        <v>1933</v>
      </c>
      <c r="D15" s="48">
        <f t="shared" si="0"/>
        <v>0</v>
      </c>
      <c r="E15" s="51">
        <f>SUMPRODUCT(('数据-基础表'!BB10:BK10="地下")*('数据-基础表'!BB11:BK11="车库—办公")*('数据-基础表'!BB5:BK5))</f>
        <v>0</v>
      </c>
      <c r="F15" s="1392"/>
      <c r="G15" s="2235"/>
      <c r="H15" s="2235"/>
      <c r="I15" s="1392"/>
      <c r="J15" s="1392"/>
      <c r="K15" s="1392"/>
      <c r="L15" s="1392"/>
      <c r="M15" s="1392"/>
      <c r="N15" s="1392"/>
      <c r="O15" s="1392"/>
      <c r="P15" s="1392"/>
    </row>
    <row r="16" spans="1:16" ht="15" thickBot="1">
      <c r="A16" s="2232"/>
      <c r="B16" s="2237"/>
      <c r="C16" s="50" t="s">
        <v>1927</v>
      </c>
      <c r="D16" s="50">
        <f>SUM(D8:D15)</f>
        <v>0</v>
      </c>
      <c r="E16" s="53">
        <f>SUM(E8:E15)</f>
        <v>57392.160000000003</v>
      </c>
      <c r="F16" s="1392"/>
      <c r="G16" s="2235"/>
      <c r="H16" s="2238" t="s">
        <v>1939</v>
      </c>
      <c r="I16" s="2239"/>
      <c r="J16" s="1392"/>
      <c r="K16" s="3045" t="s">
        <v>1939</v>
      </c>
      <c r="L16" s="3046"/>
      <c r="M16" s="3046"/>
      <c r="N16" s="3046"/>
      <c r="O16" s="3046"/>
      <c r="P16" s="3047"/>
    </row>
    <row r="17" spans="1:19" ht="14.4">
      <c r="A17" s="2240" t="s">
        <v>1940</v>
      </c>
      <c r="B17" s="2241" t="s">
        <v>1941</v>
      </c>
      <c r="C17" s="2242" t="s">
        <v>1942</v>
      </c>
      <c r="D17" s="2243" t="s">
        <v>1930</v>
      </c>
      <c r="E17" s="2244" t="s">
        <v>1931</v>
      </c>
      <c r="F17" s="2245"/>
      <c r="G17" s="2246"/>
      <c r="H17" s="2247" t="s">
        <v>1943</v>
      </c>
      <c r="I17" s="2248" t="s">
        <v>1928</v>
      </c>
      <c r="J17" s="1392"/>
      <c r="K17" s="3042" t="s">
        <v>1944</v>
      </c>
      <c r="L17" s="3043"/>
      <c r="M17" s="3044"/>
      <c r="N17" s="3042" t="s">
        <v>1945</v>
      </c>
      <c r="O17" s="3043"/>
      <c r="P17" s="3044"/>
      <c r="R17" s="2226" t="s">
        <v>1946</v>
      </c>
      <c r="S17" s="64"/>
    </row>
    <row r="18" spans="1:19" ht="14.4">
      <c r="A18" s="2236"/>
      <c r="B18" s="2249"/>
      <c r="C18" s="2250"/>
      <c r="D18" s="2251"/>
      <c r="E18" s="2252" t="s">
        <v>1947</v>
      </c>
      <c r="F18" s="2253" t="s">
        <v>1948</v>
      </c>
      <c r="G18" s="2254" t="s">
        <v>1949</v>
      </c>
      <c r="H18" s="1262" t="s">
        <v>1950</v>
      </c>
      <c r="I18" s="2255" t="s">
        <v>1951</v>
      </c>
      <c r="J18" s="1392"/>
      <c r="K18" s="1262" t="s">
        <v>1952</v>
      </c>
      <c r="L18" s="2256" t="s">
        <v>1953</v>
      </c>
      <c r="M18" s="1046" t="s">
        <v>1954</v>
      </c>
      <c r="N18" s="1262" t="s">
        <v>1952</v>
      </c>
      <c r="O18" s="2256" t="s">
        <v>1953</v>
      </c>
      <c r="P18" s="1046" t="s">
        <v>1954</v>
      </c>
      <c r="R18" s="1247" t="s">
        <v>1955</v>
      </c>
      <c r="S18" s="1247" t="s">
        <v>1956</v>
      </c>
    </row>
    <row r="19" spans="1:19" ht="14.4">
      <c r="A19" s="2257"/>
      <c r="B19" s="50" t="s">
        <v>1929</v>
      </c>
      <c r="C19" s="2954" t="s">
        <v>3074</v>
      </c>
      <c r="D19" s="48">
        <f>ROUND($D$3*E19/$E$3,2)</f>
        <v>0</v>
      </c>
      <c r="E19" s="56">
        <f t="shared" ref="E19:E26" si="1">SUM(F19:G19)</f>
        <v>57392.160000000003</v>
      </c>
      <c r="F19" s="57">
        <f>'数据-基础表'!I13</f>
        <v>57392.160000000003</v>
      </c>
      <c r="G19" s="58">
        <f>'数据-基础表'!K13</f>
        <v>0</v>
      </c>
      <c r="H19" s="723">
        <f>ROUND($D$3*I19/$E$3,2)</f>
        <v>0</v>
      </c>
      <c r="I19" s="51">
        <f t="shared" ref="I19:I26" si="2">IF($I$17="自定义",P19,M19)</f>
        <v>19130.72</v>
      </c>
      <c r="J19" s="1392"/>
      <c r="K19" s="1391">
        <f t="shared" ref="K19:K26" si="3">ROUND(E$28*E19/E$27,2)</f>
        <v>19130.72</v>
      </c>
      <c r="L19" s="1247">
        <f t="shared" ref="L19:L26" si="4">ROUND(IF(COUNTIF(C19,"*住宅*")&gt;0,E$29*E19/E$32,0),2)</f>
        <v>0</v>
      </c>
      <c r="M19" s="1403">
        <f>K19+L19</f>
        <v>19130.72</v>
      </c>
      <c r="N19" s="2259"/>
      <c r="O19" s="2260"/>
      <c r="P19" s="1403">
        <f>N19+O19</f>
        <v>0</v>
      </c>
      <c r="R19" s="1247">
        <f t="shared" ref="R19:S26" si="5">D19+H19</f>
        <v>0</v>
      </c>
      <c r="S19" s="1248">
        <f t="shared" si="5"/>
        <v>76522.880000000005</v>
      </c>
    </row>
    <row r="20" spans="1:19" ht="14.4">
      <c r="A20" s="2261"/>
      <c r="B20" s="50" t="s">
        <v>1957</v>
      </c>
      <c r="C20" s="2258"/>
      <c r="D20" s="48">
        <f t="shared" ref="D20:D26" si="6">ROUND($D$3*E20/$E$3,2)</f>
        <v>0</v>
      </c>
      <c r="E20" s="56">
        <f t="shared" si="1"/>
        <v>0</v>
      </c>
      <c r="F20" s="57"/>
      <c r="G20" s="58"/>
      <c r="H20" s="723">
        <f t="shared" ref="H20:H26" si="7">ROUND($D$3*I20/$E$3,2)</f>
        <v>0</v>
      </c>
      <c r="I20" s="51">
        <f t="shared" si="2"/>
        <v>0</v>
      </c>
      <c r="J20" s="1392"/>
      <c r="K20" s="1391">
        <f t="shared" si="3"/>
        <v>0</v>
      </c>
      <c r="L20" s="1247">
        <f t="shared" si="4"/>
        <v>0</v>
      </c>
      <c r="M20" s="1403">
        <f t="shared" ref="M20:M26" si="8">K20+L20</f>
        <v>0</v>
      </c>
      <c r="N20" s="2259"/>
      <c r="O20" s="2260"/>
      <c r="P20" s="1403">
        <f t="shared" ref="P20:P26" si="9">N20+O20</f>
        <v>0</v>
      </c>
      <c r="R20" s="1247">
        <f t="shared" si="5"/>
        <v>0</v>
      </c>
      <c r="S20" s="1248">
        <f t="shared" si="5"/>
        <v>0</v>
      </c>
    </row>
    <row r="21" spans="1:19" ht="14.4">
      <c r="A21" s="2261"/>
      <c r="B21" s="50" t="s">
        <v>1957</v>
      </c>
      <c r="C21" s="2258"/>
      <c r="D21" s="48">
        <f t="shared" si="6"/>
        <v>0</v>
      </c>
      <c r="E21" s="56">
        <f t="shared" si="1"/>
        <v>0</v>
      </c>
      <c r="F21" s="57"/>
      <c r="G21" s="58"/>
      <c r="H21" s="723">
        <f t="shared" si="7"/>
        <v>0</v>
      </c>
      <c r="I21" s="51">
        <f t="shared" si="2"/>
        <v>0</v>
      </c>
      <c r="J21" s="1392"/>
      <c r="K21" s="1391">
        <f t="shared" si="3"/>
        <v>0</v>
      </c>
      <c r="L21" s="1247">
        <f t="shared" si="4"/>
        <v>0</v>
      </c>
      <c r="M21" s="1403">
        <f t="shared" si="8"/>
        <v>0</v>
      </c>
      <c r="N21" s="2259"/>
      <c r="O21" s="2260"/>
      <c r="P21" s="1403">
        <f t="shared" si="9"/>
        <v>0</v>
      </c>
      <c r="R21" s="1247">
        <f t="shared" si="5"/>
        <v>0</v>
      </c>
      <c r="S21" s="1248">
        <f t="shared" si="5"/>
        <v>0</v>
      </c>
    </row>
    <row r="22" spans="1:19" ht="14.4">
      <c r="A22" s="2261"/>
      <c r="B22" s="50" t="s">
        <v>1957</v>
      </c>
      <c r="C22" s="60"/>
      <c r="D22" s="48">
        <f t="shared" si="6"/>
        <v>0</v>
      </c>
      <c r="E22" s="56">
        <f t="shared" si="1"/>
        <v>0</v>
      </c>
      <c r="F22" s="61"/>
      <c r="G22" s="62"/>
      <c r="H22" s="723">
        <f t="shared" si="7"/>
        <v>0</v>
      </c>
      <c r="I22" s="51">
        <f t="shared" si="2"/>
        <v>0</v>
      </c>
      <c r="J22" s="1392"/>
      <c r="K22" s="1391">
        <f t="shared" si="3"/>
        <v>0</v>
      </c>
      <c r="L22" s="1247">
        <f t="shared" si="4"/>
        <v>0</v>
      </c>
      <c r="M22" s="1403">
        <f t="shared" si="8"/>
        <v>0</v>
      </c>
      <c r="N22" s="2259"/>
      <c r="O22" s="2260"/>
      <c r="P22" s="1403">
        <f t="shared" si="9"/>
        <v>0</v>
      </c>
      <c r="R22" s="1247">
        <f t="shared" si="5"/>
        <v>0</v>
      </c>
      <c r="S22" s="1248">
        <f t="shared" si="5"/>
        <v>0</v>
      </c>
    </row>
    <row r="23" spans="1:19" ht="14.4">
      <c r="A23" s="2261"/>
      <c r="B23" s="50" t="s">
        <v>1957</v>
      </c>
      <c r="C23" s="60"/>
      <c r="D23" s="48">
        <f>ROUND($D$3*E23/$E$3,2)</f>
        <v>0</v>
      </c>
      <c r="E23" s="56">
        <f>SUM(F23:G23)</f>
        <v>0</v>
      </c>
      <c r="F23" s="61"/>
      <c r="G23" s="62"/>
      <c r="H23" s="723">
        <f>ROUND($D$3*I23/$E$3,2)</f>
        <v>0</v>
      </c>
      <c r="I23" s="51">
        <f t="shared" si="2"/>
        <v>0</v>
      </c>
      <c r="J23" s="1392"/>
      <c r="K23" s="1391">
        <f t="shared" si="3"/>
        <v>0</v>
      </c>
      <c r="L23" s="1247">
        <f t="shared" si="4"/>
        <v>0</v>
      </c>
      <c r="M23" s="1403">
        <f t="shared" si="8"/>
        <v>0</v>
      </c>
      <c r="N23" s="2259"/>
      <c r="O23" s="2260"/>
      <c r="P23" s="1403">
        <f t="shared" si="9"/>
        <v>0</v>
      </c>
      <c r="R23" s="1247">
        <f t="shared" si="5"/>
        <v>0</v>
      </c>
      <c r="S23" s="1248">
        <f t="shared" si="5"/>
        <v>0</v>
      </c>
    </row>
    <row r="24" spans="1:19" ht="14.4">
      <c r="A24" s="2261"/>
      <c r="B24" s="50" t="s">
        <v>1957</v>
      </c>
      <c r="C24" s="60"/>
      <c r="D24" s="48">
        <f>ROUND($D$3*E24/$E$3,2)</f>
        <v>0</v>
      </c>
      <c r="E24" s="56">
        <f>SUM(F24:G24)</f>
        <v>0</v>
      </c>
      <c r="F24" s="61"/>
      <c r="G24" s="62"/>
      <c r="H24" s="723">
        <f>ROUND($D$3*I24/$E$3,2)</f>
        <v>0</v>
      </c>
      <c r="I24" s="51">
        <f t="shared" si="2"/>
        <v>0</v>
      </c>
      <c r="J24" s="1392"/>
      <c r="K24" s="1391">
        <f t="shared" si="3"/>
        <v>0</v>
      </c>
      <c r="L24" s="1247">
        <f t="shared" si="4"/>
        <v>0</v>
      </c>
      <c r="M24" s="1403">
        <f t="shared" si="8"/>
        <v>0</v>
      </c>
      <c r="N24" s="2259"/>
      <c r="O24" s="2260"/>
      <c r="P24" s="1403">
        <f t="shared" si="9"/>
        <v>0</v>
      </c>
      <c r="R24" s="1247">
        <f t="shared" si="5"/>
        <v>0</v>
      </c>
      <c r="S24" s="1248">
        <f t="shared" si="5"/>
        <v>0</v>
      </c>
    </row>
    <row r="25" spans="1:19" ht="14.4">
      <c r="A25" s="2261"/>
      <c r="B25" s="50" t="s">
        <v>1957</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9"/>
      <c r="O25" s="2260"/>
      <c r="P25" s="1403">
        <f t="shared" si="9"/>
        <v>0</v>
      </c>
      <c r="R25" s="1247">
        <f t="shared" si="5"/>
        <v>0</v>
      </c>
      <c r="S25" s="1248">
        <f t="shared" si="5"/>
        <v>0</v>
      </c>
    </row>
    <row r="26" spans="1:19" ht="14.4">
      <c r="A26" s="2261"/>
      <c r="B26" s="50" t="s">
        <v>1957</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2"/>
      <c r="O26" s="2263"/>
      <c r="P26" s="67">
        <f t="shared" si="9"/>
        <v>0</v>
      </c>
      <c r="R26" s="1247">
        <f t="shared" si="5"/>
        <v>0</v>
      </c>
      <c r="S26" s="1248">
        <f t="shared" si="5"/>
        <v>0</v>
      </c>
    </row>
    <row r="27" spans="1:19" ht="15" thickBot="1">
      <c r="A27" s="2261"/>
      <c r="B27" s="48"/>
      <c r="C27" s="2264" t="s">
        <v>1958</v>
      </c>
      <c r="D27" s="1393">
        <f>SUM(D19:D26)</f>
        <v>0</v>
      </c>
      <c r="E27" s="1394">
        <f>IF(SUM(E19:E26)='数据-基础表'!BA5,SUM(E19:E26),IF(F27="地上面积有误","面积有误","地下面积有误"))</f>
        <v>57392.160000000003</v>
      </c>
      <c r="F27" s="1393">
        <f>IF(SUM(F19:F26)=E8,SUM(F19:F26),"地上面积有误")</f>
        <v>57392.160000000003</v>
      </c>
      <c r="G27" s="1395">
        <f>SUM(G19:G26)</f>
        <v>0</v>
      </c>
      <c r="H27" s="1396">
        <f>SUM(H19:H26)</f>
        <v>0</v>
      </c>
      <c r="I27" s="1397">
        <f>SUM(I19:I26)</f>
        <v>19130.72</v>
      </c>
      <c r="J27" s="1392"/>
      <c r="K27" s="1400">
        <f>SUM(K19:K26)</f>
        <v>19130.72</v>
      </c>
      <c r="L27" s="1401">
        <f>SUM(L19:L26)</f>
        <v>0</v>
      </c>
      <c r="M27" s="1404">
        <f>SUM(M19:M26)</f>
        <v>19130.72</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76522.880000000005</v>
      </c>
    </row>
    <row r="28" spans="1:19" ht="14.4">
      <c r="A28" s="2261"/>
      <c r="B28" s="50" t="s">
        <v>1959</v>
      </c>
      <c r="C28" s="1259" t="s">
        <v>1960</v>
      </c>
      <c r="D28" s="48">
        <f>ROUND($D$3*E28/$E$3,2)</f>
        <v>0</v>
      </c>
      <c r="E28" s="56">
        <f>SUM(F28:G28)</f>
        <v>19130.72</v>
      </c>
      <c r="F28" s="64">
        <f>'数据-基础表'!BQ5+'数据-基础表'!BS5</f>
        <v>0</v>
      </c>
      <c r="G28" s="65">
        <f>'数据-基础表'!BR5+'数据-基础表'!BT5</f>
        <v>19130.72</v>
      </c>
      <c r="H28" s="1392"/>
      <c r="I28" s="1392"/>
      <c r="J28" s="1392"/>
      <c r="K28" s="1392"/>
      <c r="L28" s="1392"/>
      <c r="M28" s="1392"/>
      <c r="N28" s="1392"/>
      <c r="O28" s="1392"/>
      <c r="P28" s="1392"/>
    </row>
    <row r="29" spans="1:19" ht="14.4">
      <c r="A29" s="2261"/>
      <c r="B29" s="50" t="s">
        <v>1959</v>
      </c>
      <c r="C29" s="2265" t="s">
        <v>1961</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61"/>
      <c r="B30" s="50"/>
      <c r="C30" s="2266" t="s">
        <v>1958</v>
      </c>
      <c r="D30" s="1393">
        <f>SUM(D28:D29)</f>
        <v>0</v>
      </c>
      <c r="E30" s="1393">
        <f>SUM(E28:E29)</f>
        <v>19130.72</v>
      </c>
      <c r="F30" s="1393">
        <f>SUM(F28:F29)</f>
        <v>0</v>
      </c>
      <c r="G30" s="1395">
        <f>SUM(G28:G29)</f>
        <v>19130.72</v>
      </c>
      <c r="H30" s="1392"/>
      <c r="I30" s="1392"/>
      <c r="J30" s="1392"/>
      <c r="K30" s="1392"/>
      <c r="L30" s="1392"/>
      <c r="M30" s="1392"/>
      <c r="N30" s="1392"/>
      <c r="O30" s="1392"/>
      <c r="P30" s="1392"/>
    </row>
    <row r="31" spans="1:19" ht="15" thickBot="1">
      <c r="A31" s="2267"/>
      <c r="B31" s="2268"/>
      <c r="C31" s="1007" t="s">
        <v>1962</v>
      </c>
      <c r="D31" s="729">
        <f>D27+D30</f>
        <v>0</v>
      </c>
      <c r="E31" s="729">
        <f>E27+E30</f>
        <v>76522.880000000005</v>
      </c>
      <c r="F31" s="730">
        <f>F27+F30</f>
        <v>57392.160000000003</v>
      </c>
      <c r="G31" s="731">
        <f>G27+G30</f>
        <v>19130.72</v>
      </c>
      <c r="H31" s="1392"/>
      <c r="I31" s="1392"/>
      <c r="J31" s="1392"/>
      <c r="K31" s="1392"/>
      <c r="L31" s="1392"/>
      <c r="M31" s="1392"/>
      <c r="N31" s="1392"/>
      <c r="O31" s="1392"/>
      <c r="P31" s="1392"/>
    </row>
    <row r="32" spans="1:19" ht="14.4">
      <c r="A32" s="2231"/>
      <c r="B32" s="2231" t="s">
        <v>1963</v>
      </c>
      <c r="C32" s="2231"/>
      <c r="D32" s="2231"/>
      <c r="E32" s="1274">
        <f>SUMIF(C19:C26,"*住宅*",E19:E26)</f>
        <v>0</v>
      </c>
      <c r="F32" s="2231"/>
      <c r="G32" s="2231"/>
      <c r="H32" s="1392"/>
      <c r="I32" s="1392"/>
      <c r="J32" s="1392"/>
      <c r="K32" s="1392"/>
      <c r="L32" s="1392"/>
      <c r="M32" s="1392"/>
      <c r="N32" s="1392"/>
      <c r="O32" s="1392"/>
      <c r="P32" s="1392"/>
    </row>
    <row r="33" spans="4:4">
      <c r="D33" s="2269"/>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K3:O28"/>
  <sheetViews>
    <sheetView topLeftCell="I1" workbookViewId="0">
      <selection activeCell="O23" sqref="O23"/>
    </sheetView>
  </sheetViews>
  <sheetFormatPr defaultRowHeight="14.4"/>
  <sheetData>
    <row r="3" spans="11:15">
      <c r="L3" s="2955" t="s">
        <v>3076</v>
      </c>
    </row>
    <row r="5" spans="11:15">
      <c r="K5" s="2955" t="s">
        <v>3080</v>
      </c>
      <c r="L5" s="2955" t="s">
        <v>3077</v>
      </c>
      <c r="M5" s="2955" t="s">
        <v>3078</v>
      </c>
      <c r="N5" s="2955" t="s">
        <v>3079</v>
      </c>
    </row>
    <row r="6" spans="11:15">
      <c r="K6" s="2955" t="s">
        <v>3081</v>
      </c>
      <c r="L6">
        <v>1</v>
      </c>
      <c r="M6">
        <v>260</v>
      </c>
      <c r="N6">
        <v>2.1</v>
      </c>
    </row>
    <row r="7" spans="11:15">
      <c r="L7">
        <v>1</v>
      </c>
      <c r="M7">
        <v>2893.53</v>
      </c>
      <c r="N7">
        <f>50/30</f>
        <v>1.6666666666666667</v>
      </c>
      <c r="O7">
        <v>2018.4</v>
      </c>
    </row>
    <row r="8" spans="11:15">
      <c r="L8">
        <v>1</v>
      </c>
      <c r="M8">
        <v>3172.78</v>
      </c>
      <c r="N8">
        <f>17/30</f>
        <v>0.56666666666666665</v>
      </c>
    </row>
    <row r="9" spans="11:15">
      <c r="L9">
        <v>1</v>
      </c>
      <c r="M9">
        <v>945.33</v>
      </c>
      <c r="N9" s="2955">
        <f>85/30</f>
        <v>2.8333333333333335</v>
      </c>
    </row>
    <row r="10" spans="11:15">
      <c r="L10">
        <v>1</v>
      </c>
      <c r="M10">
        <v>1137.95</v>
      </c>
      <c r="N10">
        <f>60/30</f>
        <v>2</v>
      </c>
    </row>
    <row r="11" spans="11:15">
      <c r="L11">
        <v>1</v>
      </c>
      <c r="M11">
        <v>837.5</v>
      </c>
      <c r="N11">
        <f>60/30</f>
        <v>2</v>
      </c>
    </row>
    <row r="12" spans="11:15">
      <c r="L12">
        <v>2</v>
      </c>
      <c r="M12">
        <v>2495.4299999999998</v>
      </c>
      <c r="N12">
        <f>60/30</f>
        <v>2</v>
      </c>
    </row>
    <row r="13" spans="11:15">
      <c r="L13">
        <v>2</v>
      </c>
      <c r="M13">
        <v>1539.89</v>
      </c>
      <c r="N13">
        <f>40/30</f>
        <v>1.3333333333333333</v>
      </c>
    </row>
    <row r="14" spans="11:15">
      <c r="L14">
        <v>2</v>
      </c>
      <c r="M14">
        <v>857.33</v>
      </c>
      <c r="N14">
        <f>60/30</f>
        <v>2</v>
      </c>
    </row>
    <row r="15" spans="11:15">
      <c r="L15">
        <v>3</v>
      </c>
      <c r="N15">
        <f>45/30</f>
        <v>1.5</v>
      </c>
    </row>
    <row r="16" spans="11:15">
      <c r="L16">
        <v>3</v>
      </c>
      <c r="N16">
        <f>60/30</f>
        <v>2</v>
      </c>
    </row>
    <row r="17" spans="11:14">
      <c r="L17" s="2955" t="s">
        <v>3411</v>
      </c>
      <c r="M17">
        <v>11487.59</v>
      </c>
      <c r="N17">
        <f>22/30</f>
        <v>0.73333333333333328</v>
      </c>
    </row>
    <row r="23" spans="11:14">
      <c r="K23" s="2964" t="s">
        <v>3077</v>
      </c>
      <c r="L23" s="2964" t="s">
        <v>3412</v>
      </c>
      <c r="M23" s="2964" t="s">
        <v>3413</v>
      </c>
      <c r="N23" s="2964" t="s">
        <v>3079</v>
      </c>
    </row>
    <row r="24" spans="11:14">
      <c r="K24" s="2965">
        <v>1</v>
      </c>
      <c r="L24" s="2965">
        <f>'数据-汇总表'!F19/3</f>
        <v>19130.72</v>
      </c>
      <c r="M24" s="2965">
        <v>1</v>
      </c>
      <c r="N24" s="2965">
        <v>2.5</v>
      </c>
    </row>
    <row r="25" spans="11:14">
      <c r="K25" s="2965">
        <v>2</v>
      </c>
      <c r="L25" s="2965">
        <f>L24</f>
        <v>19130.72</v>
      </c>
      <c r="M25" s="2965">
        <v>0.7</v>
      </c>
      <c r="N25" s="2965">
        <f>M25*$N$24</f>
        <v>1.75</v>
      </c>
    </row>
    <row r="26" spans="11:14">
      <c r="K26" s="2965">
        <v>3</v>
      </c>
      <c r="L26" s="2965">
        <f>L24</f>
        <v>19130.72</v>
      </c>
      <c r="M26" s="2965">
        <v>0.6</v>
      </c>
      <c r="N26" s="2965">
        <f t="shared" ref="N26" si="0">M26*$N$24</f>
        <v>1.5</v>
      </c>
    </row>
    <row r="27" spans="11:14">
      <c r="K27" s="2964" t="s">
        <v>3411</v>
      </c>
      <c r="L27" s="2965"/>
      <c r="M27" s="2965"/>
      <c r="N27" s="2965"/>
    </row>
    <row r="28" spans="11:14">
      <c r="K28" s="2965"/>
      <c r="L28" s="2965"/>
      <c r="M28" s="2965"/>
      <c r="N28" s="2965">
        <f>ROUND(AVERAGE(N24:N27),1)</f>
        <v>1.9</v>
      </c>
    </row>
  </sheetData>
  <phoneticPr fontId="143"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33" sqref="G33"/>
    </sheetView>
  </sheetViews>
  <sheetFormatPr defaultColWidth="13.77734375" defaultRowHeight="13.2"/>
  <cols>
    <col min="1" max="1" width="20.88671875" style="2343" customWidth="1"/>
    <col min="2" max="2" width="12" style="2273" customWidth="1"/>
    <col min="3" max="3" width="10.77734375" style="2273" customWidth="1"/>
    <col min="4" max="4" width="9.109375" style="2344" customWidth="1"/>
    <col min="5" max="5" width="15" style="2273" bestFit="1" customWidth="1"/>
    <col min="6" max="10" width="8.88671875" style="2273" customWidth="1"/>
    <col min="11" max="12" width="12.33203125" style="2187" customWidth="1"/>
    <col min="13" max="13" width="8.6640625" style="2273" customWidth="1"/>
    <col min="14" max="14" width="11.88671875" style="2273" customWidth="1"/>
    <col min="15" max="15" width="8.44140625" style="2273" customWidth="1"/>
    <col min="16" max="17" width="10.88671875" style="2273" customWidth="1"/>
    <col min="18" max="19" width="12.44140625" style="2273" customWidth="1"/>
    <col min="20" max="20" width="12.109375" style="2273" customWidth="1"/>
    <col min="21" max="21" width="7.44140625" style="2273" customWidth="1"/>
    <col min="22" max="22" width="6.33203125" style="2273" customWidth="1"/>
    <col min="23" max="30" width="6.77734375" style="2273" customWidth="1"/>
    <col min="31" max="31" width="8" style="2273" customWidth="1"/>
    <col min="32" max="34" width="7.21875" style="2273" customWidth="1"/>
    <col min="35" max="39" width="8" style="2273" customWidth="1"/>
    <col min="40" max="40" width="13.77734375" style="2272"/>
    <col min="41" max="41" width="11.6640625" style="2272" customWidth="1"/>
    <col min="42" max="42" width="9.77734375" style="2272" customWidth="1"/>
    <col min="43" max="67" width="13.77734375" style="2272"/>
    <col min="68" max="16384" width="13.77734375" style="2273"/>
  </cols>
  <sheetData>
    <row r="1" spans="1:67" ht="18" thickBot="1">
      <c r="A1" s="2270" t="s">
        <v>1964</v>
      </c>
      <c r="B1" s="732"/>
      <c r="C1" s="1581"/>
      <c r="D1" s="2271"/>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0" customFormat="1" ht="15" thickBot="1">
      <c r="A2" s="2274" t="s">
        <v>1965</v>
      </c>
      <c r="B2" s="1266">
        <f>项目基本情况!D3</f>
        <v>43692</v>
      </c>
      <c r="C2" s="2275"/>
      <c r="D2" s="2276"/>
      <c r="E2" s="2275"/>
      <c r="F2" s="2275"/>
      <c r="G2" s="2275"/>
      <c r="H2" s="2275"/>
      <c r="I2" s="2275"/>
      <c r="J2" s="2275"/>
      <c r="K2" s="1427"/>
      <c r="L2" s="1427"/>
      <c r="M2" s="2275"/>
      <c r="N2" s="2275"/>
      <c r="O2" s="2275"/>
      <c r="P2" s="2275"/>
      <c r="Q2" s="2275"/>
      <c r="R2" s="2275"/>
      <c r="S2" s="2275"/>
      <c r="T2" s="2275"/>
      <c r="U2" s="2275"/>
      <c r="V2" s="2275"/>
      <c r="W2" s="2275"/>
      <c r="X2" s="2275"/>
      <c r="Y2" s="2275"/>
      <c r="Z2" s="2275"/>
      <c r="AA2" s="2275"/>
      <c r="AB2" s="2275"/>
      <c r="AC2" s="2275"/>
      <c r="AD2" s="2275"/>
      <c r="AE2" s="2275"/>
      <c r="AF2" s="2275"/>
      <c r="AG2" s="2275"/>
      <c r="AH2" s="2275"/>
      <c r="AI2" s="2275"/>
      <c r="AJ2" s="2275"/>
      <c r="AK2" s="2275"/>
      <c r="AL2" s="2275"/>
      <c r="AM2" s="2275"/>
      <c r="AN2" s="2277"/>
      <c r="AO2" s="2277"/>
      <c r="AP2" s="2277"/>
      <c r="AQ2" s="2277"/>
      <c r="AR2" s="2277"/>
      <c r="AS2" s="2277"/>
      <c r="AT2" s="2277"/>
      <c r="AU2" s="2277"/>
      <c r="AV2" s="2277"/>
      <c r="AW2" s="2277"/>
      <c r="AX2" s="2277"/>
      <c r="AY2" s="2277"/>
      <c r="AZ2" s="2277"/>
      <c r="BA2" s="2277"/>
      <c r="BB2" s="2277"/>
      <c r="BC2" s="2277"/>
      <c r="BD2" s="2277"/>
      <c r="BE2" s="2277"/>
      <c r="BF2" s="2277"/>
      <c r="BG2" s="2277"/>
      <c r="BH2" s="2277"/>
      <c r="BI2" s="2277"/>
      <c r="BJ2" s="2277"/>
      <c r="BK2" s="2277"/>
      <c r="BL2" s="2277"/>
      <c r="BM2" s="2277"/>
      <c r="BN2" s="2277"/>
      <c r="BO2" s="2277"/>
    </row>
    <row r="3" spans="1:67" s="2030" customFormat="1" ht="14.4" thickBot="1">
      <c r="A3" s="2028"/>
      <c r="B3" s="2278"/>
      <c r="C3" s="2275"/>
      <c r="D3" s="2276"/>
      <c r="E3" s="2275"/>
      <c r="F3" s="2275"/>
      <c r="G3" s="2275"/>
      <c r="H3" s="2275"/>
      <c r="I3" s="2275"/>
      <c r="J3" s="2275"/>
      <c r="K3" s="1427"/>
      <c r="L3" s="1427"/>
      <c r="M3" s="2275"/>
      <c r="N3" s="2275"/>
      <c r="O3" s="2275"/>
      <c r="P3" s="2275"/>
      <c r="Q3" s="2275"/>
      <c r="R3" s="2275"/>
      <c r="S3" s="2275"/>
      <c r="T3" s="2275"/>
      <c r="U3" s="2275"/>
      <c r="V3" s="2275"/>
      <c r="W3" s="2275"/>
      <c r="X3" s="2275"/>
      <c r="Y3" s="2275"/>
      <c r="Z3" s="2275"/>
      <c r="AA3" s="2275"/>
      <c r="AB3" s="2275"/>
      <c r="AC3" s="2275"/>
      <c r="AD3" s="2275"/>
      <c r="AE3" s="2275"/>
      <c r="AF3" s="2275"/>
      <c r="AG3" s="2275"/>
      <c r="AH3" s="2275"/>
      <c r="AI3" s="2275"/>
      <c r="AJ3" s="2275"/>
      <c r="AK3" s="2275"/>
      <c r="AL3" s="2275"/>
      <c r="AM3" s="2275"/>
      <c r="AN3" s="2277"/>
      <c r="AO3" s="2277"/>
      <c r="AP3" s="2277"/>
      <c r="AQ3" s="2277"/>
      <c r="AR3" s="2277"/>
      <c r="AS3" s="2277"/>
      <c r="AT3" s="2277"/>
      <c r="AU3" s="2277"/>
      <c r="AV3" s="2277"/>
      <c r="AW3" s="2277"/>
      <c r="AX3" s="2277"/>
      <c r="AY3" s="2277"/>
      <c r="AZ3" s="2277"/>
      <c r="BA3" s="2277"/>
      <c r="BB3" s="2277"/>
      <c r="BC3" s="2277"/>
      <c r="BD3" s="2277"/>
      <c r="BE3" s="2277"/>
      <c r="BF3" s="2277"/>
      <c r="BG3" s="2277"/>
      <c r="BH3" s="2277"/>
      <c r="BI3" s="2277"/>
      <c r="BJ3" s="2277"/>
      <c r="BK3" s="2277"/>
      <c r="BL3" s="2277"/>
      <c r="BM3" s="2277"/>
      <c r="BN3" s="2277"/>
      <c r="BO3" s="2277"/>
    </row>
    <row r="4" spans="1:67" s="2030" customFormat="1" ht="15" thickBot="1">
      <c r="A4" s="68" t="s">
        <v>1966</v>
      </c>
      <c r="B4" s="2279"/>
      <c r="C4" s="2280"/>
      <c r="D4" s="2281"/>
      <c r="E4" s="2280" t="s">
        <v>1967</v>
      </c>
      <c r="F4" s="2280"/>
      <c r="G4" s="2280"/>
      <c r="H4" s="2280"/>
      <c r="I4" s="2280"/>
      <c r="J4" s="2282"/>
      <c r="K4" s="2283"/>
      <c r="L4" s="2284"/>
      <c r="M4" s="2280"/>
      <c r="N4" s="2280" t="s">
        <v>1968</v>
      </c>
      <c r="O4" s="2280"/>
      <c r="P4" s="2280"/>
      <c r="Q4" s="2280"/>
      <c r="R4" s="2280"/>
      <c r="S4" s="2282"/>
      <c r="T4" s="2285" t="str">
        <f>'数据-汇总表'!I17</f>
        <v>按面积比例</v>
      </c>
      <c r="U4" s="2279" t="s">
        <v>1969</v>
      </c>
      <c r="V4" s="2280"/>
      <c r="W4" s="2280"/>
      <c r="X4" s="2280"/>
      <c r="Y4" s="2282"/>
      <c r="Z4" s="2242" t="s">
        <v>1970</v>
      </c>
      <c r="AA4" s="2242"/>
      <c r="AB4" s="2242"/>
      <c r="AC4" s="2242"/>
      <c r="AD4" s="2242"/>
      <c r="AE4" s="2240" t="s">
        <v>1971</v>
      </c>
      <c r="AF4" s="2242"/>
      <c r="AG4" s="2286"/>
      <c r="AH4" s="2279"/>
      <c r="AI4" s="2280"/>
      <c r="AJ4" s="2280"/>
      <c r="AK4" s="2280"/>
      <c r="AL4" s="2280"/>
      <c r="AM4" s="2282"/>
      <c r="AN4" s="2277"/>
      <c r="AO4" s="2277"/>
      <c r="AP4" s="2277"/>
      <c r="AQ4" s="2277"/>
      <c r="AR4" s="2277"/>
      <c r="AS4" s="2277"/>
      <c r="AT4" s="2277"/>
      <c r="AU4" s="2277"/>
      <c r="AV4" s="2277"/>
      <c r="AW4" s="2277"/>
      <c r="AX4" s="2277"/>
      <c r="AY4" s="2277"/>
      <c r="AZ4" s="2277"/>
      <c r="BA4" s="2277"/>
      <c r="BB4" s="2277"/>
      <c r="BC4" s="2277"/>
      <c r="BD4" s="2277"/>
      <c r="BE4" s="2277"/>
      <c r="BF4" s="2277"/>
      <c r="BG4" s="2277"/>
      <c r="BH4" s="2277"/>
      <c r="BI4" s="2277"/>
      <c r="BJ4" s="2277"/>
      <c r="BK4" s="2277"/>
      <c r="BL4" s="2277"/>
      <c r="BM4" s="2277"/>
      <c r="BN4" s="2277"/>
      <c r="BO4" s="2277"/>
    </row>
    <row r="5" spans="1:67" s="2031" customFormat="1" ht="57.6">
      <c r="A5" s="2287" t="s">
        <v>1972</v>
      </c>
      <c r="B5" s="2288" t="s">
        <v>1973</v>
      </c>
      <c r="C5" s="2289" t="s">
        <v>1974</v>
      </c>
      <c r="D5" s="2290" t="s">
        <v>1975</v>
      </c>
      <c r="E5" s="1268" t="s">
        <v>1976</v>
      </c>
      <c r="F5" s="2291" t="s">
        <v>1977</v>
      </c>
      <c r="G5" s="1268" t="s">
        <v>1978</v>
      </c>
      <c r="H5" s="1268" t="s">
        <v>1979</v>
      </c>
      <c r="I5" s="1268" t="s">
        <v>1980</v>
      </c>
      <c r="J5" s="2292" t="s">
        <v>1981</v>
      </c>
      <c r="K5" s="2293" t="s">
        <v>1982</v>
      </c>
      <c r="L5" s="2294" t="s">
        <v>1983</v>
      </c>
      <c r="M5" s="2295" t="s">
        <v>1984</v>
      </c>
      <c r="N5" s="2296" t="s">
        <v>3075</v>
      </c>
      <c r="O5" s="2294" t="s">
        <v>1985</v>
      </c>
      <c r="P5" s="2297" t="s">
        <v>1986</v>
      </c>
      <c r="Q5" s="69" t="s">
        <v>1987</v>
      </c>
      <c r="R5" s="2298" t="s">
        <v>1988</v>
      </c>
      <c r="S5" s="2299" t="s">
        <v>1989</v>
      </c>
      <c r="T5" s="2300" t="s">
        <v>1990</v>
      </c>
      <c r="U5" s="1267" t="s">
        <v>1991</v>
      </c>
      <c r="V5" s="1268" t="s">
        <v>1992</v>
      </c>
      <c r="W5" s="1268" t="s">
        <v>1993</v>
      </c>
      <c r="X5" s="71"/>
      <c r="Y5" s="70" t="s">
        <v>1994</v>
      </c>
      <c r="Z5" s="2301" t="s">
        <v>1991</v>
      </c>
      <c r="AA5" s="1268" t="s">
        <v>1992</v>
      </c>
      <c r="AB5" s="1268" t="s">
        <v>1993</v>
      </c>
      <c r="AC5" s="71"/>
      <c r="AD5" s="71" t="s">
        <v>1994</v>
      </c>
      <c r="AE5" s="1267" t="s">
        <v>1995</v>
      </c>
      <c r="AF5" s="1268" t="s">
        <v>1996</v>
      </c>
      <c r="AG5" s="70" t="s">
        <v>1997</v>
      </c>
      <c r="AH5" s="1267" t="s">
        <v>1998</v>
      </c>
      <c r="AI5" s="2301" t="s">
        <v>1999</v>
      </c>
      <c r="AJ5" s="2301" t="s">
        <v>2000</v>
      </c>
      <c r="AK5" s="1268" t="s">
        <v>2001</v>
      </c>
      <c r="AL5" s="1268" t="s">
        <v>2002</v>
      </c>
      <c r="AM5" s="70" t="s">
        <v>2003</v>
      </c>
      <c r="AN5" s="2302" t="s">
        <v>2004</v>
      </c>
      <c r="AO5" s="2072" t="s">
        <v>2005</v>
      </c>
      <c r="AP5" s="1249" t="s">
        <v>2006</v>
      </c>
      <c r="AQ5" s="2303" t="s">
        <v>2007</v>
      </c>
      <c r="AR5" s="2303" t="s">
        <v>2008</v>
      </c>
      <c r="AS5" s="2155"/>
      <c r="AT5" s="2155"/>
      <c r="AU5" s="2155"/>
      <c r="AV5" s="2155"/>
      <c r="AW5" s="2155"/>
      <c r="AX5" s="2155"/>
      <c r="AY5" s="2155"/>
      <c r="AZ5" s="2155"/>
      <c r="BA5" s="2155"/>
      <c r="BB5" s="2155"/>
      <c r="BC5" s="2155"/>
      <c r="BD5" s="2155"/>
      <c r="BE5" s="2155"/>
      <c r="BF5" s="2155"/>
      <c r="BG5" s="2155"/>
      <c r="BH5" s="2155"/>
      <c r="BI5" s="2155"/>
      <c r="BJ5" s="2155"/>
      <c r="BK5" s="2155"/>
      <c r="BL5" s="2155"/>
      <c r="BM5" s="2155"/>
      <c r="BN5" s="2155"/>
      <c r="BO5" s="2155"/>
    </row>
    <row r="6" spans="1:67" s="2030" customFormat="1" ht="13.8">
      <c r="A6" s="2304" t="str">
        <f>'数据-汇总表'!C19</f>
        <v>商业</v>
      </c>
      <c r="B6" s="2305" t="str">
        <f>IF(A6=0,"","经营性")</f>
        <v>经营性</v>
      </c>
      <c r="C6" s="2306" t="s">
        <v>1373</v>
      </c>
      <c r="D6" s="1051">
        <f>SUMIF(项目基本情况!D$12:I$12,C6,项目基本情况!D$14:I$14)</f>
        <v>40</v>
      </c>
      <c r="E6" s="1048">
        <f>IF(B6="","",SUMIF(项目基本情况!D$12:I$12,C6,项目基本情况!D$13:I$13))</f>
        <v>56138</v>
      </c>
      <c r="F6" s="72">
        <f>SUMIF(项目基本情况!D$12:I$12,C6,项目基本情况!D$15:I$15)</f>
        <v>34.090000000000003</v>
      </c>
      <c r="G6" s="73">
        <f>IF(ISERROR(ROUND(POWER(1+H6,D6-F6)*(POWER(1+H6,F6)-1)/(POWER(1+H6,D6)-1),3)),0,ROUND(POWER(1+H6,D6-F6)*(POWER(1+H6,F6)-1)/(POWER(1+H6,D6)-1),3))</f>
        <v>0.94499999999999995</v>
      </c>
      <c r="H6" s="802">
        <v>0.05</v>
      </c>
      <c r="I6" s="802">
        <v>5.5E-2</v>
      </c>
      <c r="J6" s="74">
        <v>8.5000000000000006E-2</v>
      </c>
      <c r="K6" s="1251">
        <f>SUMIF('数据-汇总表'!C$19:C$33,A6,'数据-汇总表'!E$19:E$33)</f>
        <v>57392.160000000003</v>
      </c>
      <c r="L6" s="803">
        <v>5000</v>
      </c>
      <c r="M6" s="75">
        <f t="shared" ref="M6:M14" si="0">ROUND(K6*L6/10000,0)</f>
        <v>28696</v>
      </c>
      <c r="N6" s="801">
        <f>ROUND(1-(2019-2017)/60,2)</f>
        <v>0.97</v>
      </c>
      <c r="O6" s="75" t="str">
        <f>IF($N$5="成新度","——",ROUND(M6*N6,0))</f>
        <v>——</v>
      </c>
      <c r="P6" s="76" t="str">
        <f>IF($N$5="成新度","——",M6-O6)</f>
        <v>——</v>
      </c>
      <c r="Q6" s="804">
        <v>0.3</v>
      </c>
      <c r="R6" s="77">
        <f ca="1">SUMIF('数据-汇总表'!C$19:C$33,A6,'数据-汇总表'!R$19:R$27)</f>
        <v>0</v>
      </c>
      <c r="S6" s="54">
        <f>IF('数据-汇总表'!$I$17="按面积比例",SUMIF('数据-汇总表'!C$19:C$33,A6,'数据-汇总表'!K$19:K$33),SUMIF('数据-汇总表'!C$19:C$33,A6,'数据-汇总表'!N$19:N$33))</f>
        <v>19130.72</v>
      </c>
      <c r="T6" s="1443">
        <f>ROUND($L$14*S6/10000,0)</f>
        <v>6696</v>
      </c>
      <c r="U6" s="78">
        <v>2.2000000000000002</v>
      </c>
      <c r="V6" s="79">
        <v>3.5000000000000003E-2</v>
      </c>
      <c r="W6" s="79">
        <v>0.1</v>
      </c>
      <c r="X6" s="1261"/>
      <c r="Y6" s="80">
        <f>N6</f>
        <v>0.97</v>
      </c>
      <c r="Z6" s="81"/>
      <c r="AA6" s="74"/>
      <c r="AB6" s="74"/>
      <c r="AC6" s="1261"/>
      <c r="AD6" s="82"/>
      <c r="AE6" s="1262">
        <f ca="1">IF(AN6="",0,SUMIF(INDIRECT("'"&amp;AN6&amp;"'"&amp;"!E:E"),$AE$5,INDIRECT("'"&amp;AN6&amp;"'"&amp;"!F:F")))</f>
        <v>34.090000000000003</v>
      </c>
      <c r="AF6" s="1804"/>
      <c r="AG6" s="147">
        <f>IF(AF6="",0,AE6-AF6)</f>
        <v>0</v>
      </c>
      <c r="AH6" s="83"/>
      <c r="AI6" s="85">
        <v>365</v>
      </c>
      <c r="AJ6" s="86"/>
      <c r="AK6" s="87">
        <v>0.01</v>
      </c>
      <c r="AL6" s="88">
        <v>1.5E-3</v>
      </c>
      <c r="AM6" s="89">
        <v>0.01</v>
      </c>
      <c r="AN6" s="2307" t="s">
        <v>3414</v>
      </c>
      <c r="AO6" s="55">
        <f ca="1">SUMIF(INDIRECT("'"&amp;AN6&amp;"'"&amp;"!A:A"),"总价",INDIRECT("'"&amp;AN6&amp;"'"&amp;"!B:B"))</f>
        <v>66486</v>
      </c>
      <c r="AP6" s="2308">
        <f>IF(C6="住宅",K6*L6,0)</f>
        <v>0</v>
      </c>
      <c r="AQ6" s="55">
        <f>ROUND($L$14*$N$14*S6/10000,0)</f>
        <v>6495</v>
      </c>
      <c r="AR6" s="55">
        <f>ROUND($L$14*(1-$N$14)*S6/10000,0)</f>
        <v>201</v>
      </c>
      <c r="AS6" s="2277"/>
      <c r="AT6" s="2277"/>
      <c r="AU6" s="2277"/>
      <c r="AV6" s="2277"/>
      <c r="AW6" s="2277"/>
      <c r="AX6" s="2277"/>
      <c r="AY6" s="2277"/>
      <c r="AZ6" s="2277"/>
      <c r="BA6" s="2277"/>
      <c r="BB6" s="2277"/>
      <c r="BC6" s="2277"/>
      <c r="BD6" s="2277"/>
      <c r="BE6" s="2277"/>
      <c r="BF6" s="2277"/>
      <c r="BG6" s="2277"/>
      <c r="BH6" s="2277"/>
      <c r="BI6" s="2277"/>
      <c r="BJ6" s="2277"/>
      <c r="BK6" s="2277"/>
      <c r="BL6" s="2277"/>
      <c r="BM6" s="2277"/>
      <c r="BN6" s="2277"/>
      <c r="BO6" s="2277"/>
    </row>
    <row r="7" spans="1:67" s="2030" customFormat="1" ht="13.8">
      <c r="A7" s="2304">
        <f>'数据-汇总表'!C20</f>
        <v>0</v>
      </c>
      <c r="B7" s="2305" t="str">
        <f t="shared" ref="B7:B13" si="1">IF(A7=0,"","经营性")</f>
        <v/>
      </c>
      <c r="C7" s="2306"/>
      <c r="D7" s="1051">
        <f>SUMIF(项目基本情况!D$12:I$12,C7,项目基本情况!D$14:I$14)</f>
        <v>0</v>
      </c>
      <c r="E7" s="1048"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1">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7"/>
      <c r="AO7" s="55" t="e">
        <f t="shared" ref="AO7:AO13" ca="1" si="8">SUMIF(INDIRECT("'"&amp;AN7&amp;"'"&amp;"!A:A"),"总价",INDIRECT("'"&amp;AN7&amp;"'"&amp;"!B:B"))</f>
        <v>#REF!</v>
      </c>
      <c r="AP7" s="2308">
        <f t="shared" ref="AP7:AP13" si="9">IF(C7="住宅",K7*L7,0)</f>
        <v>0</v>
      </c>
      <c r="AQ7" s="55">
        <f t="shared" ref="AQ7:AQ13" si="10">ROUND($L$14*$N$14*S7/10000,0)</f>
        <v>0</v>
      </c>
      <c r="AR7" s="55">
        <f t="shared" ref="AR7:AR13" si="11">ROUND($L$14*(1-$N$14)*S7/10000,0)</f>
        <v>0</v>
      </c>
      <c r="AS7" s="2277"/>
      <c r="AT7" s="2277"/>
      <c r="AU7" s="2277"/>
      <c r="AV7" s="2277"/>
      <c r="AW7" s="2277"/>
      <c r="AX7" s="2277"/>
      <c r="AY7" s="2277"/>
      <c r="AZ7" s="2277"/>
      <c r="BA7" s="2277"/>
      <c r="BB7" s="2277"/>
      <c r="BC7" s="2277"/>
      <c r="BD7" s="2277"/>
      <c r="BE7" s="2277"/>
      <c r="BF7" s="2277"/>
      <c r="BG7" s="2277"/>
      <c r="BH7" s="2277"/>
      <c r="BI7" s="2277"/>
      <c r="BJ7" s="2277"/>
      <c r="BK7" s="2277"/>
      <c r="BL7" s="2277"/>
      <c r="BM7" s="2277"/>
      <c r="BN7" s="2277"/>
      <c r="BO7" s="2277"/>
    </row>
    <row r="8" spans="1:67" s="2030" customFormat="1" ht="13.8">
      <c r="A8" s="2304">
        <f>'数据-汇总表'!C21</f>
        <v>0</v>
      </c>
      <c r="B8" s="2305" t="str">
        <f t="shared" si="1"/>
        <v/>
      </c>
      <c r="C8" s="2306"/>
      <c r="D8" s="1051">
        <f>SUMIF(项目基本情况!D$12:I$12,C8,项目基本情况!D$14:I$14)</f>
        <v>0</v>
      </c>
      <c r="E8" s="1048" t="str">
        <f>IF(B8="","",SUMIF(项目基本情况!D$12:I$12,C8,项目基本情况!D$13:I$13))</f>
        <v/>
      </c>
      <c r="F8" s="72">
        <f>SUMIF(项目基本情况!D$12:I$12,C8,项目基本情况!D$15:I$15)</f>
        <v>0</v>
      </c>
      <c r="G8" s="73">
        <f t="shared" si="2"/>
        <v>0</v>
      </c>
      <c r="H8" s="802"/>
      <c r="I8" s="802"/>
      <c r="J8" s="74"/>
      <c r="K8" s="1251">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3">
        <f t="shared" si="5"/>
        <v>0</v>
      </c>
      <c r="U8" s="805"/>
      <c r="V8" s="806"/>
      <c r="W8" s="806"/>
      <c r="X8" s="1261"/>
      <c r="Y8" s="807"/>
      <c r="Z8" s="81"/>
      <c r="AA8" s="74"/>
      <c r="AB8" s="74"/>
      <c r="AC8" s="1261"/>
      <c r="AD8" s="82"/>
      <c r="AE8" s="1262">
        <f t="shared" ca="1" si="6"/>
        <v>0</v>
      </c>
      <c r="AF8" s="1804"/>
      <c r="AG8" s="147">
        <f t="shared" si="7"/>
        <v>0</v>
      </c>
      <c r="AH8" s="808"/>
      <c r="AI8" s="85"/>
      <c r="AJ8" s="86"/>
      <c r="AK8" s="809"/>
      <c r="AL8" s="810"/>
      <c r="AM8" s="811"/>
      <c r="AN8" s="2307"/>
      <c r="AO8" s="55" t="e">
        <f t="shared" ca="1" si="8"/>
        <v>#REF!</v>
      </c>
      <c r="AP8" s="2308">
        <f t="shared" si="9"/>
        <v>0</v>
      </c>
      <c r="AQ8" s="55">
        <f t="shared" si="10"/>
        <v>0</v>
      </c>
      <c r="AR8" s="55">
        <f t="shared" si="11"/>
        <v>0</v>
      </c>
      <c r="AS8" s="2277"/>
      <c r="AT8" s="2277"/>
      <c r="AU8" s="2277"/>
      <c r="AV8" s="2277"/>
      <c r="AW8" s="2277"/>
      <c r="AX8" s="2277"/>
      <c r="AY8" s="2277"/>
      <c r="AZ8" s="2277"/>
      <c r="BA8" s="2277"/>
      <c r="BB8" s="2277"/>
      <c r="BC8" s="2277"/>
      <c r="BD8" s="2277"/>
      <c r="BE8" s="2277"/>
      <c r="BF8" s="2277"/>
      <c r="BG8" s="2277"/>
      <c r="BH8" s="2277"/>
      <c r="BI8" s="2277"/>
      <c r="BJ8" s="2277"/>
      <c r="BK8" s="2277"/>
      <c r="BL8" s="2277"/>
      <c r="BM8" s="2277"/>
      <c r="BN8" s="2277"/>
      <c r="BO8" s="2277"/>
    </row>
    <row r="9" spans="1:67" s="2030" customFormat="1" ht="13.8">
      <c r="A9" s="2304">
        <f>'数据-汇总表'!C22</f>
        <v>0</v>
      </c>
      <c r="B9" s="2305" t="str">
        <f t="shared" si="1"/>
        <v/>
      </c>
      <c r="C9" s="2306"/>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7"/>
      <c r="AO9" s="55" t="e">
        <f t="shared" ca="1" si="8"/>
        <v>#REF!</v>
      </c>
      <c r="AP9" s="2308">
        <f t="shared" si="9"/>
        <v>0</v>
      </c>
      <c r="AQ9" s="55">
        <f t="shared" si="10"/>
        <v>0</v>
      </c>
      <c r="AR9" s="55">
        <f t="shared" si="11"/>
        <v>0</v>
      </c>
      <c r="AS9" s="2277"/>
      <c r="AT9" s="2277"/>
      <c r="AU9" s="2277"/>
      <c r="AV9" s="2277"/>
      <c r="AW9" s="2277"/>
      <c r="AX9" s="2277"/>
      <c r="AY9" s="2277"/>
      <c r="AZ9" s="2277"/>
      <c r="BA9" s="2277"/>
      <c r="BB9" s="2277"/>
      <c r="BC9" s="2277"/>
      <c r="BD9" s="2277"/>
      <c r="BE9" s="2277"/>
      <c r="BF9" s="2277"/>
      <c r="BG9" s="2277"/>
      <c r="BH9" s="2277"/>
      <c r="BI9" s="2277"/>
      <c r="BJ9" s="2277"/>
      <c r="BK9" s="2277"/>
      <c r="BL9" s="2277"/>
      <c r="BM9" s="2277"/>
      <c r="BN9" s="2277"/>
      <c r="BO9" s="2277"/>
    </row>
    <row r="10" spans="1:67" s="2030" customFormat="1" ht="13.8">
      <c r="A10" s="2304">
        <f>'数据-汇总表'!C23</f>
        <v>0</v>
      </c>
      <c r="B10" s="2305" t="str">
        <f t="shared" si="1"/>
        <v/>
      </c>
      <c r="C10" s="2306"/>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7"/>
      <c r="AO10" s="55" t="e">
        <f t="shared" ca="1" si="8"/>
        <v>#REF!</v>
      </c>
      <c r="AP10" s="2308">
        <f t="shared" si="9"/>
        <v>0</v>
      </c>
      <c r="AQ10" s="55">
        <f t="shared" si="10"/>
        <v>0</v>
      </c>
      <c r="AR10" s="55">
        <f t="shared" si="11"/>
        <v>0</v>
      </c>
      <c r="AS10" s="2277"/>
      <c r="AT10" s="2277"/>
      <c r="AU10" s="2277"/>
      <c r="AV10" s="2277"/>
      <c r="AW10" s="2277"/>
      <c r="AX10" s="2277"/>
      <c r="AY10" s="2277"/>
      <c r="AZ10" s="2277"/>
      <c r="BA10" s="2277"/>
      <c r="BB10" s="2277"/>
      <c r="BC10" s="2277"/>
      <c r="BD10" s="2277"/>
      <c r="BE10" s="2277"/>
      <c r="BF10" s="2277"/>
      <c r="BG10" s="2277"/>
      <c r="BH10" s="2277"/>
      <c r="BI10" s="2277"/>
      <c r="BJ10" s="2277"/>
      <c r="BK10" s="2277"/>
      <c r="BL10" s="2277"/>
      <c r="BM10" s="2277"/>
      <c r="BN10" s="2277"/>
      <c r="BO10" s="2277"/>
    </row>
    <row r="11" spans="1:67" s="2030" customFormat="1" ht="13.8">
      <c r="A11" s="2304">
        <f>'数据-汇总表'!C24</f>
        <v>0</v>
      </c>
      <c r="B11" s="2305" t="str">
        <f t="shared" si="1"/>
        <v/>
      </c>
      <c r="C11" s="2306"/>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7"/>
      <c r="AO11" s="55" t="e">
        <f t="shared" ca="1" si="8"/>
        <v>#REF!</v>
      </c>
      <c r="AP11" s="2308">
        <f t="shared" si="9"/>
        <v>0</v>
      </c>
      <c r="AQ11" s="55">
        <f t="shared" si="10"/>
        <v>0</v>
      </c>
      <c r="AR11" s="55">
        <f t="shared" si="11"/>
        <v>0</v>
      </c>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row>
    <row r="12" spans="1:67" s="2030" customFormat="1" ht="13.8">
      <c r="A12" s="2304">
        <f>'数据-汇总表'!C25</f>
        <v>0</v>
      </c>
      <c r="B12" s="2305" t="str">
        <f t="shared" si="1"/>
        <v/>
      </c>
      <c r="C12" s="2306"/>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7"/>
      <c r="AO12" s="55" t="e">
        <f t="shared" ca="1" si="8"/>
        <v>#REF!</v>
      </c>
      <c r="AP12" s="2308">
        <f t="shared" si="9"/>
        <v>0</v>
      </c>
      <c r="AQ12" s="55">
        <f t="shared" si="10"/>
        <v>0</v>
      </c>
      <c r="AR12" s="55">
        <f t="shared" si="11"/>
        <v>0</v>
      </c>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row>
    <row r="13" spans="1:67" s="2030" customFormat="1" ht="13.8">
      <c r="A13" s="2304">
        <f>'数据-汇总表'!C26</f>
        <v>0</v>
      </c>
      <c r="B13" s="2305" t="str">
        <f t="shared" si="1"/>
        <v/>
      </c>
      <c r="C13" s="2306"/>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7"/>
      <c r="AO13" s="55" t="e">
        <f t="shared" ca="1" si="8"/>
        <v>#REF!</v>
      </c>
      <c r="AP13" s="2308">
        <f t="shared" si="9"/>
        <v>0</v>
      </c>
      <c r="AQ13" s="55">
        <f t="shared" si="10"/>
        <v>0</v>
      </c>
      <c r="AR13" s="55">
        <f t="shared" si="11"/>
        <v>0</v>
      </c>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row>
    <row r="14" spans="1:67" s="2030" customFormat="1" ht="14.4">
      <c r="A14" s="2309" t="s">
        <v>2009</v>
      </c>
      <c r="B14" s="2305" t="s">
        <v>2010</v>
      </c>
      <c r="C14" s="2310" t="s">
        <v>2009</v>
      </c>
      <c r="D14" s="1051"/>
      <c r="E14" s="1048"/>
      <c r="F14" s="72"/>
      <c r="G14" s="73"/>
      <c r="H14" s="1250"/>
      <c r="I14" s="1250"/>
      <c r="J14" s="1250"/>
      <c r="K14" s="1251">
        <f>SUMIF('数据-汇总表'!C$19:C$33,A14,'数据-汇总表'!E$19:E$33)</f>
        <v>19130.72</v>
      </c>
      <c r="L14" s="91">
        <v>3500</v>
      </c>
      <c r="M14" s="75">
        <f t="shared" si="0"/>
        <v>6696</v>
      </c>
      <c r="N14" s="92">
        <f>N6</f>
        <v>0.97</v>
      </c>
      <c r="O14" s="75" t="str">
        <f t="shared" si="3"/>
        <v>——</v>
      </c>
      <c r="P14" s="76" t="str">
        <f t="shared" si="4"/>
        <v>——</v>
      </c>
      <c r="Q14" s="1254"/>
      <c r="R14" s="77"/>
      <c r="S14" s="54"/>
      <c r="T14" s="1443"/>
      <c r="U14" s="723"/>
      <c r="V14" s="1256"/>
      <c r="W14" s="1256"/>
      <c r="X14" s="1257"/>
      <c r="Y14" s="1258"/>
      <c r="Z14" s="1259"/>
      <c r="AA14" s="1260"/>
      <c r="AB14" s="1260"/>
      <c r="AC14" s="1261"/>
      <c r="AD14" s="1257"/>
      <c r="AE14" s="1262"/>
      <c r="AF14" s="55"/>
      <c r="AG14" s="147"/>
      <c r="AH14" s="1262"/>
      <c r="AI14" s="1815"/>
      <c r="AJ14" s="773"/>
      <c r="AK14" s="1263"/>
      <c r="AL14" s="1264"/>
      <c r="AM14" s="1265"/>
      <c r="AN14" s="2272"/>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row>
    <row r="15" spans="1:67" s="2030" customFormat="1" ht="28.8">
      <c r="A15" s="2309" t="s">
        <v>2011</v>
      </c>
      <c r="B15" s="2305" t="s">
        <v>2010</v>
      </c>
      <c r="C15" s="2310" t="s">
        <v>2012</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3"/>
      <c r="V15" s="1256"/>
      <c r="W15" s="1256"/>
      <c r="X15" s="1257"/>
      <c r="Y15" s="1258"/>
      <c r="Z15" s="1259"/>
      <c r="AA15" s="1260"/>
      <c r="AB15" s="1260"/>
      <c r="AC15" s="1261"/>
      <c r="AD15" s="1257"/>
      <c r="AE15" s="1262"/>
      <c r="AF15" s="55"/>
      <c r="AG15" s="147"/>
      <c r="AH15" s="1262"/>
      <c r="AI15" s="1815"/>
      <c r="AJ15" s="773"/>
      <c r="AK15" s="1263"/>
      <c r="AL15" s="1264"/>
      <c r="AM15" s="1265"/>
      <c r="AN15" s="2272"/>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row>
    <row r="16" spans="1:67" s="2030" customFormat="1" ht="15" thickBot="1">
      <c r="A16" s="2311" t="s">
        <v>2013</v>
      </c>
      <c r="B16" s="97"/>
      <c r="C16" s="1005"/>
      <c r="D16" s="2312"/>
      <c r="E16" s="97"/>
      <c r="F16" s="97"/>
      <c r="G16" s="98">
        <f>ROUND(SUMPRODUCT(G6:G13,K6:K13)/SUMPRODUCT((G6:G13&gt;0)*(K6:K13)),3)</f>
        <v>0.94499999999999995</v>
      </c>
      <c r="H16" s="99">
        <f>ROUND(SUMPRODUCT(H6:H13,K6:K13)/SUMPRODUCT((H6:H13&gt;0)*(K6:K13)),3)</f>
        <v>0.05</v>
      </c>
      <c r="I16" s="100"/>
      <c r="J16" s="100"/>
      <c r="K16" s="101">
        <f>SUM(K6:K15)</f>
        <v>76522.880000000005</v>
      </c>
      <c r="L16" s="102">
        <f>ROUND(M16*10000/SUM(K6:K14),0)</f>
        <v>4625</v>
      </c>
      <c r="M16" s="102">
        <f>SUM(M6:M14)</f>
        <v>35392</v>
      </c>
      <c r="N16" s="103">
        <f>ROUND(SUMPRODUCT(M6:M14,N6:N14)/M16,3)</f>
        <v>0.97</v>
      </c>
      <c r="O16" s="102">
        <f>SUM(O6:O14)</f>
        <v>0</v>
      </c>
      <c r="P16" s="102">
        <f>SUM(P6:P14)</f>
        <v>0</v>
      </c>
      <c r="Q16" s="104">
        <f>ROUND(SUMPRODUCT(Q6:Q13,K6:K13)/SUMPRODUCT((Q6:Q13&gt;0)*(K6:K13)),2)</f>
        <v>0.3</v>
      </c>
      <c r="R16" s="1255">
        <f ca="1">SUM(R6:R13)</f>
        <v>0</v>
      </c>
      <c r="S16" s="105">
        <f>SUM(S6:S13)</f>
        <v>19130.72</v>
      </c>
      <c r="T16" s="106">
        <f>IF(SUMIF(T6:T13,"&lt;9E307")=M14,SUMIF(T6:T13,"&lt;9E307"),"有误，请检查")</f>
        <v>6696</v>
      </c>
      <c r="U16" s="107"/>
      <c r="V16" s="108"/>
      <c r="W16" s="108"/>
      <c r="X16" s="111"/>
      <c r="Y16" s="109"/>
      <c r="Z16" s="110"/>
      <c r="AA16" s="108"/>
      <c r="AB16" s="108"/>
      <c r="AC16" s="111"/>
      <c r="AD16" s="111"/>
      <c r="AE16" s="107"/>
      <c r="AF16" s="108"/>
      <c r="AG16" s="109"/>
      <c r="AH16" s="107"/>
      <c r="AI16" s="110"/>
      <c r="AJ16" s="110"/>
      <c r="AK16" s="108"/>
      <c r="AL16" s="108"/>
      <c r="AM16" s="109"/>
      <c r="AN16" s="2272"/>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row>
    <row r="17" spans="1:67" ht="13.8" thickBot="1">
      <c r="A17" s="2313"/>
      <c r="B17" s="732"/>
      <c r="C17" s="1581"/>
      <c r="D17" s="2271"/>
      <c r="E17" s="2271"/>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2014</v>
      </c>
      <c r="B18" s="2278"/>
      <c r="C18" s="2275"/>
      <c r="D18" s="2276"/>
      <c r="E18" s="2275"/>
      <c r="F18" s="2275"/>
      <c r="G18" s="2275"/>
      <c r="H18" s="2275"/>
      <c r="I18" s="2275"/>
      <c r="J18" s="2275"/>
      <c r="K18" s="168"/>
      <c r="L18" s="168"/>
      <c r="M18" s="1581"/>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4" t="s">
        <v>2015</v>
      </c>
      <c r="B19" s="112">
        <v>0</v>
      </c>
      <c r="C19" s="2275" t="s">
        <v>2016</v>
      </c>
      <c r="D19" s="2276"/>
      <c r="E19" s="2275"/>
      <c r="F19" s="2275"/>
      <c r="G19" s="2275"/>
      <c r="H19" s="2275"/>
      <c r="I19" s="2275"/>
      <c r="J19" s="2275"/>
      <c r="K19" s="168"/>
      <c r="L19" s="168"/>
      <c r="M19" s="1581"/>
      <c r="N19" s="1581"/>
      <c r="O19" s="1581"/>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5" t="s">
        <v>2017</v>
      </c>
      <c r="B20" s="113">
        <v>3</v>
      </c>
      <c r="C20" s="2275" t="s">
        <v>2018</v>
      </c>
      <c r="D20" s="2276"/>
      <c r="E20" s="2275"/>
      <c r="F20" s="2275"/>
      <c r="G20" s="2275"/>
      <c r="H20" s="2275"/>
      <c r="I20" s="2275"/>
      <c r="J20" s="2275"/>
      <c r="K20" s="168"/>
      <c r="L20" s="168"/>
      <c r="M20" s="1581"/>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6" t="s">
        <v>2019</v>
      </c>
      <c r="B21" s="113">
        <v>3</v>
      </c>
      <c r="C21" s="2275"/>
      <c r="D21" s="2276"/>
      <c r="E21" s="2275"/>
      <c r="F21" s="2275"/>
      <c r="G21" s="2275"/>
      <c r="H21" s="2275"/>
      <c r="I21" s="2275"/>
      <c r="J21" s="2275"/>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5" t="s">
        <v>2020</v>
      </c>
      <c r="B22" s="114">
        <f>B19+B20</f>
        <v>3</v>
      </c>
      <c r="C22" s="2275"/>
      <c r="D22" s="2276"/>
      <c r="E22" s="2275"/>
      <c r="F22" s="2275"/>
      <c r="G22" s="2275"/>
      <c r="H22" s="2275"/>
      <c r="I22" s="2275"/>
      <c r="J22" s="2275"/>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6" t="s">
        <v>2021</v>
      </c>
      <c r="B23" s="114">
        <f>B19+B21</f>
        <v>3</v>
      </c>
      <c r="C23" s="2275"/>
      <c r="D23" s="2276"/>
      <c r="E23" s="2275"/>
      <c r="F23" s="2275"/>
      <c r="G23" s="2275"/>
      <c r="H23" s="2275"/>
      <c r="I23" s="2275"/>
      <c r="J23" s="2275"/>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7" t="s">
        <v>2022</v>
      </c>
      <c r="B24" s="115">
        <f>B20-B21</f>
        <v>0</v>
      </c>
      <c r="C24" s="2275"/>
      <c r="D24" s="2276"/>
      <c r="E24" s="2275"/>
      <c r="F24" s="2275"/>
      <c r="G24" s="2275"/>
      <c r="H24" s="2275"/>
      <c r="I24" s="2275"/>
      <c r="J24" s="2275"/>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8"/>
      <c r="B25" s="2278"/>
      <c r="C25" s="2275"/>
      <c r="D25" s="2276"/>
      <c r="E25" s="2275"/>
      <c r="F25" s="2275"/>
      <c r="G25" s="2275"/>
      <c r="H25" s="2275"/>
      <c r="I25" s="2275"/>
      <c r="J25" s="2275"/>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4" t="s">
        <v>2023</v>
      </c>
      <c r="B26" s="2318" t="s">
        <v>2024</v>
      </c>
      <c r="C26" s="2319" t="s">
        <v>2025</v>
      </c>
      <c r="D26" s="2276"/>
      <c r="E26" s="2275"/>
      <c r="F26" s="2275"/>
      <c r="G26" s="2275"/>
      <c r="H26" s="2275"/>
      <c r="I26" s="2275"/>
      <c r="J26" s="2275"/>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2" customFormat="1" ht="28.8">
      <c r="A27" s="2320" t="s">
        <v>2026</v>
      </c>
      <c r="B27" s="116">
        <v>400</v>
      </c>
      <c r="C27" s="1764" t="s">
        <v>2027</v>
      </c>
      <c r="D27" s="2321"/>
      <c r="E27" s="1427"/>
      <c r="F27" s="1427"/>
      <c r="G27" s="2275"/>
      <c r="H27" s="2275"/>
      <c r="I27" s="2275"/>
      <c r="J27" s="2275"/>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2" customFormat="1" ht="28.8">
      <c r="A28" s="2323" t="s">
        <v>2028</v>
      </c>
      <c r="B28" s="119">
        <v>400</v>
      </c>
      <c r="C28" s="2324"/>
      <c r="D28" s="2321"/>
      <c r="E28" s="1427"/>
      <c r="F28" s="1427"/>
      <c r="G28" s="2275"/>
      <c r="H28" s="2275"/>
      <c r="I28" s="2275"/>
      <c r="J28" s="2275"/>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2" customFormat="1" ht="29.4" thickBot="1">
      <c r="A29" s="2325" t="s">
        <v>2029</v>
      </c>
      <c r="B29" s="121">
        <f>ROUND(B28*K16/10000,0)</f>
        <v>3061</v>
      </c>
      <c r="C29" s="1764" t="s">
        <v>2030</v>
      </c>
      <c r="D29" s="2321"/>
      <c r="E29" s="1427"/>
      <c r="F29" s="1427"/>
      <c r="G29" s="2275"/>
      <c r="H29" s="2275"/>
      <c r="I29" s="2275"/>
      <c r="J29" s="2275"/>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2" customFormat="1" ht="28.8">
      <c r="A30" s="2326" t="s">
        <v>2031</v>
      </c>
      <c r="B30" s="724">
        <v>200</v>
      </c>
      <c r="C30" s="2324"/>
      <c r="D30" s="2321"/>
      <c r="E30" s="1427"/>
      <c r="F30" s="1427"/>
      <c r="G30" s="2275"/>
      <c r="H30" s="2275"/>
      <c r="I30" s="2275"/>
      <c r="J30" s="2275"/>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2" customFormat="1" ht="28.8">
      <c r="A31" s="2323" t="s">
        <v>2032</v>
      </c>
      <c r="B31" s="120">
        <f>B30-B32</f>
        <v>200</v>
      </c>
      <c r="C31" s="1764"/>
      <c r="D31" s="2321"/>
      <c r="E31" s="1427"/>
      <c r="F31" s="1427"/>
      <c r="G31" s="2275"/>
      <c r="H31" s="2275"/>
      <c r="I31" s="2275"/>
      <c r="J31" s="2275"/>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2" customFormat="1" ht="29.4" thickBot="1">
      <c r="A32" s="2327" t="s">
        <v>2033</v>
      </c>
      <c r="B32" s="725">
        <v>0</v>
      </c>
      <c r="C32" s="2324"/>
      <c r="D32" s="2276"/>
      <c r="E32" s="2275"/>
      <c r="F32" s="2275"/>
      <c r="G32" s="2275"/>
      <c r="H32" s="2275"/>
      <c r="I32" s="2275"/>
      <c r="J32" s="2275"/>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2" customFormat="1" ht="14.4">
      <c r="A33" s="2320" t="s">
        <v>2034</v>
      </c>
      <c r="B33" s="726">
        <v>0.04</v>
      </c>
      <c r="C33" s="1763" t="s">
        <v>2035</v>
      </c>
      <c r="D33" s="2276"/>
      <c r="E33" s="2275"/>
      <c r="F33" s="2275"/>
      <c r="G33" s="2275"/>
      <c r="H33" s="2275"/>
      <c r="I33" s="2275"/>
      <c r="J33" s="2275"/>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2" customFormat="1" ht="14.4">
      <c r="A34" s="2323" t="s">
        <v>2036</v>
      </c>
      <c r="B34" s="122">
        <v>0</v>
      </c>
      <c r="C34" s="1763" t="s">
        <v>2037</v>
      </c>
      <c r="D34" s="2276" t="s">
        <v>2038</v>
      </c>
      <c r="E34" s="732"/>
      <c r="F34" s="2275"/>
      <c r="G34" s="2275"/>
      <c r="H34" s="2275"/>
      <c r="I34" s="2275"/>
      <c r="J34" s="2275"/>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2" customFormat="1" ht="14.4">
      <c r="A35" s="2323" t="s">
        <v>2039</v>
      </c>
      <c r="B35" s="119">
        <v>200</v>
      </c>
      <c r="C35" s="1763" t="s">
        <v>2040</v>
      </c>
      <c r="D35" s="2321"/>
      <c r="E35" s="1427"/>
      <c r="F35" s="1427"/>
      <c r="G35" s="2275"/>
      <c r="H35" s="2275"/>
      <c r="I35" s="2275"/>
      <c r="J35" s="2275"/>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5" t="s">
        <v>2041</v>
      </c>
      <c r="B36" s="123">
        <v>1.4999999999999999E-2</v>
      </c>
      <c r="C36" s="1763" t="s">
        <v>2042</v>
      </c>
      <c r="D36" s="2276"/>
      <c r="E36" s="2275"/>
      <c r="F36" s="2275"/>
      <c r="G36" s="2275"/>
      <c r="H36" s="2275"/>
      <c r="I36" s="2275"/>
      <c r="J36" s="2275"/>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6" t="s">
        <v>2043</v>
      </c>
      <c r="B37" s="124">
        <v>0.03</v>
      </c>
      <c r="C37" s="1763" t="s">
        <v>2044</v>
      </c>
      <c r="D37" s="2276"/>
      <c r="E37" s="2275"/>
      <c r="F37" s="2275"/>
      <c r="G37" s="2275"/>
      <c r="H37" s="2275"/>
      <c r="I37" s="2275"/>
      <c r="J37" s="2275"/>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3" t="s">
        <v>2045</v>
      </c>
      <c r="B38" s="122">
        <v>0.03</v>
      </c>
      <c r="C38" s="1763" t="s">
        <v>2044</v>
      </c>
      <c r="D38" s="2276"/>
      <c r="E38" s="2275"/>
      <c r="F38" s="2275"/>
      <c r="G38" s="2275"/>
      <c r="H38" s="2275"/>
      <c r="I38" s="2275"/>
      <c r="J38" s="2275"/>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7" t="s">
        <v>2046</v>
      </c>
      <c r="B39" s="362">
        <f ca="1">存贷款利率!I1</f>
        <v>1.4999999999999999E-2</v>
      </c>
      <c r="C39" s="1763"/>
      <c r="D39" s="2276"/>
      <c r="E39" s="2275"/>
      <c r="F39" s="2275"/>
      <c r="G39" s="2275"/>
      <c r="H39" s="2275"/>
      <c r="I39" s="2275"/>
      <c r="J39" s="2275"/>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7" t="s">
        <v>2047</v>
      </c>
      <c r="B40" s="1300">
        <f ca="1">存贷款利率!G1</f>
        <v>4.7500000000000001E-2</v>
      </c>
      <c r="C40" s="1763" t="s">
        <v>2048</v>
      </c>
      <c r="D40" s="1581"/>
      <c r="E40" s="2276"/>
      <c r="F40" s="2275"/>
      <c r="G40" s="2275"/>
      <c r="H40" s="2275"/>
      <c r="I40" s="2275"/>
      <c r="J40" s="2275"/>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20" t="s">
        <v>2049</v>
      </c>
      <c r="B41" s="125">
        <f>B42+B43</f>
        <v>5.6000000000000001E-2</v>
      </c>
      <c r="C41" s="1764"/>
      <c r="D41" s="1581"/>
      <c r="E41" s="2276"/>
      <c r="F41" s="2275"/>
      <c r="G41" s="2275"/>
      <c r="H41" s="2275"/>
      <c r="I41" s="2275"/>
      <c r="J41" s="2275"/>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8" t="s">
        <v>2050</v>
      </c>
      <c r="B42" s="126">
        <v>0.05</v>
      </c>
      <c r="C42" s="2329">
        <f>IF(B2&lt;DATE(2016,5,1),0,B42)</f>
        <v>0.05</v>
      </c>
      <c r="D42" s="2276"/>
      <c r="E42" s="2275"/>
      <c r="F42" s="2275"/>
      <c r="G42" s="2275"/>
      <c r="H42" s="2275"/>
      <c r="I42" s="2275"/>
      <c r="J42" s="2275"/>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8" t="s">
        <v>2051</v>
      </c>
      <c r="B43" s="127">
        <f>B42*(B44+B45+B46)+B47</f>
        <v>6.000000000000001E-3</v>
      </c>
      <c r="C43" s="1764"/>
      <c r="D43" s="2276"/>
      <c r="E43" s="2275"/>
      <c r="F43" s="2275"/>
      <c r="G43" s="2275"/>
      <c r="H43" s="2275"/>
      <c r="I43" s="2275"/>
      <c r="J43" s="2275"/>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30" t="s">
        <v>2052</v>
      </c>
      <c r="B44" s="128">
        <v>7.0000000000000007E-2</v>
      </c>
      <c r="C44" s="1763" t="s">
        <v>2053</v>
      </c>
      <c r="D44" s="2276"/>
      <c r="E44" s="2275"/>
      <c r="F44" s="2275"/>
      <c r="G44" s="2275"/>
      <c r="H44" s="2275"/>
      <c r="I44" s="2275"/>
      <c r="J44" s="2275"/>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30" t="s">
        <v>2054</v>
      </c>
      <c r="B45" s="126">
        <v>0.03</v>
      </c>
      <c r="C45" s="1764" t="s">
        <v>2055</v>
      </c>
      <c r="D45" s="2276"/>
      <c r="E45" s="2275"/>
      <c r="F45" s="2275"/>
      <c r="G45" s="2275"/>
      <c r="H45" s="2275"/>
      <c r="I45" s="2275"/>
      <c r="J45" s="2275"/>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30" t="s">
        <v>2056</v>
      </c>
      <c r="B46" s="126">
        <v>0.02</v>
      </c>
      <c r="C46" s="1764" t="s">
        <v>2057</v>
      </c>
      <c r="D46" s="2276"/>
      <c r="E46" s="2275"/>
      <c r="F46" s="2275"/>
      <c r="G46" s="2275"/>
      <c r="H46" s="2275"/>
      <c r="I46" s="2275"/>
      <c r="J46" s="2275"/>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31" t="s">
        <v>2058</v>
      </c>
      <c r="B47" s="129"/>
      <c r="C47" s="1764" t="s">
        <v>2059</v>
      </c>
      <c r="D47" s="2276"/>
      <c r="E47" s="2275"/>
      <c r="F47" s="2275"/>
      <c r="G47" s="2275"/>
      <c r="H47" s="2275"/>
      <c r="I47" s="2275"/>
      <c r="J47" s="2275"/>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2" t="s">
        <v>2060</v>
      </c>
      <c r="B48" s="130">
        <v>0.04</v>
      </c>
      <c r="C48" s="1771" t="s">
        <v>2061</v>
      </c>
      <c r="D48" s="2276"/>
      <c r="E48" s="2275"/>
      <c r="F48" s="2275"/>
      <c r="G48" s="2275"/>
      <c r="H48" s="2275"/>
      <c r="I48" s="2275"/>
      <c r="J48" s="2275"/>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7" t="s">
        <v>2062</v>
      </c>
      <c r="B49" s="126">
        <v>5.0000000000000001E-4</v>
      </c>
      <c r="C49" s="1771" t="s">
        <v>2063</v>
      </c>
      <c r="D49" s="2276"/>
      <c r="E49" s="2275"/>
      <c r="F49" s="2275"/>
      <c r="G49" s="2275"/>
      <c r="H49" s="2275"/>
      <c r="I49" s="2275"/>
      <c r="J49" s="2275"/>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3" t="s">
        <v>2064</v>
      </c>
      <c r="B50" s="131">
        <v>1.2E-2</v>
      </c>
      <c r="C50" s="1427"/>
      <c r="D50" s="2276"/>
      <c r="E50" s="2275"/>
      <c r="F50" s="2275"/>
      <c r="G50" s="2275"/>
      <c r="H50" s="2275"/>
      <c r="I50" s="2275"/>
      <c r="J50" s="2275"/>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5" t="s">
        <v>2065</v>
      </c>
      <c r="B51" s="132">
        <v>0.12</v>
      </c>
      <c r="C51" s="1427"/>
      <c r="D51" s="2276"/>
      <c r="E51" s="2275"/>
      <c r="F51" s="2275"/>
      <c r="G51" s="2275"/>
      <c r="H51" s="2275"/>
      <c r="I51" s="2275"/>
      <c r="J51" s="2275"/>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3" t="s">
        <v>2066</v>
      </c>
      <c r="B52" s="133">
        <f>SUMIF(A54:A63,B53,B54:B63)</f>
        <v>9.6</v>
      </c>
      <c r="C52" s="1427"/>
      <c r="D52" s="2276"/>
      <c r="E52" s="2275"/>
      <c r="F52" s="2275"/>
      <c r="G52" s="2275"/>
      <c r="H52" s="2275"/>
      <c r="I52" s="2275"/>
      <c r="J52" s="2275"/>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3" t="s">
        <v>2067</v>
      </c>
      <c r="B53" s="2334" t="s">
        <v>137</v>
      </c>
      <c r="C53" s="1427" t="s">
        <v>2068</v>
      </c>
      <c r="D53" s="2335" t="s">
        <v>2069</v>
      </c>
      <c r="E53" s="2275"/>
      <c r="F53" s="2275"/>
      <c r="G53" s="2275"/>
      <c r="H53" s="2275"/>
      <c r="I53" s="2275"/>
      <c r="J53" s="2275"/>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6" t="s">
        <v>2070</v>
      </c>
      <c r="B54" s="84"/>
      <c r="C54" s="1427">
        <v>30</v>
      </c>
      <c r="D54" s="2276"/>
      <c r="E54" s="2275"/>
      <c r="F54" s="2275"/>
      <c r="G54" s="2275"/>
      <c r="H54" s="2275"/>
      <c r="I54" s="2275"/>
      <c r="J54" s="2275"/>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6" t="s">
        <v>2071</v>
      </c>
      <c r="B55" s="84"/>
      <c r="C55" s="1427">
        <v>24</v>
      </c>
      <c r="D55" s="2276"/>
      <c r="E55" s="2275"/>
      <c r="F55" s="2275"/>
      <c r="G55" s="2275"/>
      <c r="H55" s="2275"/>
      <c r="I55" s="2337"/>
      <c r="J55" s="2275"/>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6" t="s">
        <v>2072</v>
      </c>
      <c r="B56" s="84"/>
      <c r="C56" s="1427">
        <v>18</v>
      </c>
      <c r="D56" s="2276"/>
      <c r="E56" s="2275"/>
      <c r="F56" s="2275"/>
      <c r="G56" s="2275"/>
      <c r="H56" s="2275"/>
      <c r="I56" s="2275"/>
      <c r="J56" s="2275"/>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6" t="s">
        <v>2073</v>
      </c>
      <c r="B57" s="84">
        <v>9.6</v>
      </c>
      <c r="C57" s="1427">
        <v>12</v>
      </c>
      <c r="D57" s="2276"/>
      <c r="E57" s="2275"/>
      <c r="F57" s="2275"/>
      <c r="G57" s="2275"/>
      <c r="H57" s="2275"/>
      <c r="I57" s="2275"/>
      <c r="J57" s="2275"/>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6" t="s">
        <v>2074</v>
      </c>
      <c r="B58" s="84"/>
      <c r="C58" s="1427">
        <v>3</v>
      </c>
      <c r="D58" s="2276"/>
      <c r="E58" s="2275"/>
      <c r="F58" s="2275"/>
      <c r="G58" s="2275"/>
      <c r="H58" s="2275"/>
      <c r="I58" s="2275"/>
      <c r="J58" s="2275"/>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6" t="s">
        <v>2075</v>
      </c>
      <c r="B59" s="84"/>
      <c r="C59" s="1427">
        <v>1.5</v>
      </c>
      <c r="D59" s="2276"/>
      <c r="E59" s="2275"/>
      <c r="F59" s="2275"/>
      <c r="G59" s="2275"/>
      <c r="H59" s="2275"/>
      <c r="I59" s="2275"/>
      <c r="J59" s="2275"/>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6" t="s">
        <v>2076</v>
      </c>
      <c r="B60" s="84"/>
      <c r="C60" s="2275"/>
      <c r="D60" s="2276"/>
      <c r="E60" s="2275"/>
      <c r="F60" s="2275"/>
      <c r="G60" s="2275"/>
      <c r="H60" s="2275"/>
      <c r="I60" s="2275"/>
      <c r="J60" s="2275"/>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6" t="s">
        <v>2077</v>
      </c>
      <c r="B61" s="84"/>
      <c r="C61" s="2275"/>
      <c r="D61" s="2276"/>
      <c r="E61" s="2275"/>
      <c r="F61" s="2275"/>
      <c r="G61" s="2275"/>
      <c r="H61" s="2275"/>
      <c r="I61" s="2275"/>
      <c r="J61" s="2275"/>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6" t="s">
        <v>2078</v>
      </c>
      <c r="B62" s="84"/>
      <c r="C62" s="2275"/>
      <c r="D62" s="2276"/>
      <c r="E62" s="2275"/>
      <c r="F62" s="2275"/>
      <c r="G62" s="2275"/>
      <c r="H62" s="2275"/>
      <c r="I62" s="2275"/>
      <c r="J62" s="2275"/>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8" t="s">
        <v>2079</v>
      </c>
      <c r="B63" s="134"/>
      <c r="C63" s="2275"/>
      <c r="D63" s="2276"/>
      <c r="E63" s="2275"/>
      <c r="F63" s="2275"/>
      <c r="G63" s="2275"/>
      <c r="H63" s="2275"/>
      <c r="I63" s="2275"/>
      <c r="J63" s="2275"/>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9"/>
      <c r="D64" s="2340"/>
      <c r="K64" s="798"/>
      <c r="L64" s="798"/>
    </row>
    <row r="65" spans="1:12" s="964" customFormat="1">
      <c r="A65" s="2339"/>
      <c r="D65" s="2340"/>
      <c r="K65" s="798"/>
      <c r="L65" s="798"/>
    </row>
    <row r="66" spans="1:12" s="964" customFormat="1">
      <c r="A66" s="2339"/>
      <c r="D66" s="2340"/>
      <c r="K66" s="798"/>
      <c r="L66" s="798"/>
    </row>
    <row r="67" spans="1:12" s="964" customFormat="1">
      <c r="A67" s="2339"/>
      <c r="D67" s="2340"/>
      <c r="K67" s="798"/>
      <c r="L67" s="798"/>
    </row>
    <row r="68" spans="1:12" s="964" customFormat="1">
      <c r="A68" s="2339"/>
      <c r="D68" s="2340"/>
      <c r="K68" s="798"/>
      <c r="L68" s="798"/>
    </row>
    <row r="69" spans="1:12" s="964" customFormat="1">
      <c r="A69" s="2339"/>
      <c r="D69" s="2340"/>
      <c r="K69" s="798"/>
      <c r="L69" s="798"/>
    </row>
    <row r="70" spans="1:12" s="964" customFormat="1">
      <c r="A70" s="2339"/>
      <c r="D70" s="2340"/>
      <c r="K70" s="798"/>
      <c r="L70" s="798"/>
    </row>
    <row r="71" spans="1:12" s="964" customFormat="1">
      <c r="A71" s="2339"/>
      <c r="D71" s="2340"/>
      <c r="K71" s="798"/>
      <c r="L71" s="798"/>
    </row>
    <row r="72" spans="1:12" s="964" customFormat="1">
      <c r="A72" s="2339"/>
      <c r="D72" s="2340"/>
      <c r="K72" s="798"/>
      <c r="L72" s="798"/>
    </row>
    <row r="73" spans="1:12" s="964" customFormat="1">
      <c r="A73" s="2339"/>
      <c r="D73" s="2340"/>
      <c r="K73" s="798"/>
      <c r="L73" s="798"/>
    </row>
    <row r="74" spans="1:12" s="964" customFormat="1">
      <c r="A74" s="2339"/>
      <c r="D74" s="2340"/>
      <c r="K74" s="798"/>
      <c r="L74" s="798"/>
    </row>
    <row r="75" spans="1:12" s="964" customFormat="1">
      <c r="A75" s="2339"/>
      <c r="D75" s="2340"/>
      <c r="K75" s="798"/>
      <c r="L75" s="798"/>
    </row>
    <row r="76" spans="1:12" s="964" customFormat="1">
      <c r="A76" s="2339"/>
      <c r="D76" s="2340"/>
      <c r="K76" s="798"/>
      <c r="L76" s="798"/>
    </row>
    <row r="77" spans="1:12" s="964" customFormat="1">
      <c r="A77" s="2339"/>
      <c r="D77" s="2340"/>
      <c r="K77" s="798"/>
      <c r="L77" s="798"/>
    </row>
    <row r="78" spans="1:12" s="964" customFormat="1">
      <c r="A78" s="2339"/>
      <c r="D78" s="2340"/>
      <c r="K78" s="798"/>
      <c r="L78" s="798"/>
    </row>
    <row r="79" spans="1:12" s="964" customFormat="1">
      <c r="A79" s="2339"/>
      <c r="D79" s="2340"/>
      <c r="K79" s="798"/>
      <c r="L79" s="798"/>
    </row>
    <row r="80" spans="1:12" s="964" customFormat="1">
      <c r="A80" s="2339"/>
      <c r="D80" s="2340"/>
      <c r="K80" s="798"/>
      <c r="L80" s="798"/>
    </row>
    <row r="81" spans="1:12" s="964" customFormat="1">
      <c r="A81" s="2339"/>
      <c r="D81" s="2340"/>
      <c r="K81" s="798"/>
      <c r="L81" s="798"/>
    </row>
    <row r="82" spans="1:12" s="964" customFormat="1">
      <c r="A82" s="2339"/>
      <c r="D82" s="2340"/>
      <c r="K82" s="798"/>
      <c r="L82" s="798"/>
    </row>
    <row r="83" spans="1:12" s="964" customFormat="1">
      <c r="A83" s="2339"/>
      <c r="D83" s="2340"/>
      <c r="K83" s="798"/>
      <c r="L83" s="798"/>
    </row>
    <row r="84" spans="1:12" s="964" customFormat="1">
      <c r="A84" s="2339"/>
      <c r="D84" s="2340"/>
      <c r="K84" s="798"/>
      <c r="L84" s="798"/>
    </row>
    <row r="85" spans="1:12" s="964" customFormat="1">
      <c r="A85" s="2339"/>
      <c r="D85" s="2340"/>
      <c r="K85" s="798"/>
      <c r="L85" s="798"/>
    </row>
    <row r="86" spans="1:12" s="964" customFormat="1">
      <c r="A86" s="2339"/>
      <c r="D86" s="2340"/>
      <c r="K86" s="798"/>
      <c r="L86" s="798"/>
    </row>
    <row r="87" spans="1:12" s="964" customFormat="1">
      <c r="A87" s="2339"/>
      <c r="D87" s="2340"/>
      <c r="K87" s="798"/>
      <c r="L87" s="798"/>
    </row>
    <row r="88" spans="1:12" s="964" customFormat="1">
      <c r="A88" s="2339"/>
      <c r="D88" s="2340"/>
      <c r="K88" s="798"/>
      <c r="L88" s="798"/>
    </row>
    <row r="89" spans="1:12" s="964" customFormat="1">
      <c r="A89" s="2339"/>
      <c r="D89" s="2340"/>
      <c r="K89" s="798"/>
      <c r="L89" s="798"/>
    </row>
    <row r="90" spans="1:12" s="964" customFormat="1">
      <c r="A90" s="2339"/>
      <c r="D90" s="2340"/>
      <c r="K90" s="798"/>
      <c r="L90" s="798"/>
    </row>
    <row r="91" spans="1:12" s="964" customFormat="1">
      <c r="A91" s="2339"/>
      <c r="D91" s="2340"/>
      <c r="K91" s="798"/>
      <c r="L91" s="798"/>
    </row>
    <row r="92" spans="1:12" s="964" customFormat="1">
      <c r="A92" s="2339"/>
      <c r="D92" s="2340"/>
      <c r="K92" s="798"/>
      <c r="L92" s="798"/>
    </row>
    <row r="93" spans="1:12" s="964" customFormat="1">
      <c r="A93" s="2339"/>
      <c r="D93" s="2340"/>
      <c r="K93" s="798"/>
      <c r="L93" s="798"/>
    </row>
    <row r="94" spans="1:12" s="964" customFormat="1">
      <c r="A94" s="2339"/>
      <c r="D94" s="2340"/>
      <c r="K94" s="798"/>
      <c r="L94" s="798"/>
    </row>
    <row r="95" spans="1:12" s="964" customFormat="1">
      <c r="A95" s="2339"/>
      <c r="D95" s="2340"/>
      <c r="K95" s="798"/>
      <c r="L95" s="798"/>
    </row>
    <row r="96" spans="1:12" s="964" customFormat="1">
      <c r="A96" s="2339"/>
      <c r="D96" s="2340"/>
      <c r="K96" s="798"/>
      <c r="L96" s="798"/>
    </row>
    <row r="97" spans="1:12" s="964" customFormat="1">
      <c r="A97" s="2339"/>
      <c r="D97" s="2340"/>
      <c r="K97" s="798"/>
      <c r="L97" s="798"/>
    </row>
    <row r="98" spans="1:12" s="964" customFormat="1">
      <c r="A98" s="2339"/>
      <c r="D98" s="2340"/>
      <c r="K98" s="798"/>
      <c r="L98" s="798"/>
    </row>
    <row r="99" spans="1:12" s="964" customFormat="1">
      <c r="A99" s="2339"/>
      <c r="D99" s="2340"/>
      <c r="K99" s="798"/>
      <c r="L99" s="798"/>
    </row>
    <row r="100" spans="1:12" s="964" customFormat="1">
      <c r="A100" s="2339"/>
      <c r="D100" s="2340"/>
      <c r="K100" s="798"/>
      <c r="L100" s="798"/>
    </row>
    <row r="101" spans="1:12" s="964" customFormat="1">
      <c r="A101" s="2339"/>
      <c r="D101" s="2340"/>
      <c r="K101" s="798"/>
      <c r="L101" s="798"/>
    </row>
    <row r="102" spans="1:12" s="964" customFormat="1">
      <c r="A102" s="2339"/>
      <c r="D102" s="2340"/>
      <c r="K102" s="798"/>
      <c r="L102" s="798"/>
    </row>
    <row r="103" spans="1:12" s="964" customFormat="1">
      <c r="A103" s="2339"/>
      <c r="D103" s="2340"/>
      <c r="K103" s="798"/>
      <c r="L103" s="798"/>
    </row>
    <row r="104" spans="1:12" s="964" customFormat="1">
      <c r="A104" s="2339"/>
      <c r="D104" s="2340"/>
      <c r="K104" s="798"/>
      <c r="L104" s="798"/>
    </row>
    <row r="105" spans="1:12" s="964" customFormat="1">
      <c r="A105" s="2339"/>
      <c r="D105" s="2340"/>
      <c r="K105" s="798"/>
      <c r="L105" s="798"/>
    </row>
    <row r="106" spans="1:12" s="964" customFormat="1">
      <c r="A106" s="2339"/>
      <c r="D106" s="2340"/>
      <c r="K106" s="798"/>
      <c r="L106" s="798"/>
    </row>
    <row r="107" spans="1:12" s="964" customFormat="1">
      <c r="A107" s="2339"/>
      <c r="D107" s="2340"/>
      <c r="K107" s="798"/>
      <c r="L107" s="798"/>
    </row>
    <row r="108" spans="1:12" s="964" customFormat="1">
      <c r="A108" s="2339"/>
      <c r="D108" s="2340"/>
      <c r="K108" s="798"/>
      <c r="L108" s="798"/>
    </row>
    <row r="109" spans="1:12" s="964" customFormat="1">
      <c r="A109" s="2339"/>
      <c r="D109" s="2340"/>
      <c r="K109" s="798"/>
      <c r="L109" s="798"/>
    </row>
    <row r="110" spans="1:12" s="964" customFormat="1">
      <c r="A110" s="2339"/>
      <c r="D110" s="2340"/>
      <c r="K110" s="798"/>
      <c r="L110" s="798"/>
    </row>
    <row r="111" spans="1:12" s="964" customFormat="1">
      <c r="A111" s="2339"/>
      <c r="D111" s="2340"/>
      <c r="K111" s="798"/>
      <c r="L111" s="798"/>
    </row>
    <row r="112" spans="1:12" s="964" customFormat="1">
      <c r="A112" s="2339"/>
      <c r="D112" s="2340"/>
      <c r="K112" s="798"/>
      <c r="L112" s="798"/>
    </row>
    <row r="113" spans="1:12" s="964" customFormat="1">
      <c r="A113" s="2339"/>
      <c r="D113" s="2340"/>
      <c r="K113" s="798"/>
      <c r="L113" s="798"/>
    </row>
    <row r="114" spans="1:12" s="964" customFormat="1">
      <c r="A114" s="2339"/>
      <c r="D114" s="2340"/>
      <c r="K114" s="798"/>
      <c r="L114" s="798"/>
    </row>
    <row r="115" spans="1:12" s="964" customFormat="1">
      <c r="A115" s="2339"/>
      <c r="D115" s="2340"/>
      <c r="K115" s="798"/>
      <c r="L115" s="798"/>
    </row>
    <row r="116" spans="1:12" s="964" customFormat="1">
      <c r="A116" s="2339"/>
      <c r="D116" s="2340"/>
      <c r="K116" s="798"/>
      <c r="L116" s="798"/>
    </row>
    <row r="117" spans="1:12" s="964" customFormat="1">
      <c r="A117" s="2339"/>
      <c r="D117" s="2340"/>
      <c r="K117" s="798"/>
      <c r="L117" s="798"/>
    </row>
    <row r="118" spans="1:12" s="964" customFormat="1">
      <c r="A118" s="2339"/>
      <c r="D118" s="2340"/>
      <c r="K118" s="798"/>
      <c r="L118" s="798"/>
    </row>
    <row r="119" spans="1:12" s="964" customFormat="1">
      <c r="A119" s="2339"/>
      <c r="D119" s="2340"/>
      <c r="K119" s="798"/>
      <c r="L119" s="798"/>
    </row>
    <row r="120" spans="1:12" s="964" customFormat="1">
      <c r="A120" s="2339"/>
      <c r="D120" s="2340"/>
      <c r="K120" s="798"/>
      <c r="L120" s="798"/>
    </row>
    <row r="121" spans="1:12" s="964" customFormat="1">
      <c r="A121" s="2339"/>
      <c r="D121" s="2340"/>
      <c r="K121" s="798"/>
      <c r="L121" s="798"/>
    </row>
    <row r="122" spans="1:12" s="964" customFormat="1">
      <c r="A122" s="2339"/>
      <c r="D122" s="2340"/>
      <c r="K122" s="798"/>
      <c r="L122" s="798"/>
    </row>
    <row r="123" spans="1:12" s="964" customFormat="1">
      <c r="A123" s="2339"/>
      <c r="D123" s="2340"/>
      <c r="K123" s="798"/>
      <c r="L123" s="798"/>
    </row>
    <row r="124" spans="1:12" s="964" customFormat="1">
      <c r="A124" s="2339"/>
      <c r="D124" s="2340"/>
      <c r="K124" s="798"/>
      <c r="L124" s="798"/>
    </row>
    <row r="125" spans="1:12" s="964" customFormat="1">
      <c r="A125" s="2339"/>
      <c r="D125" s="2340"/>
      <c r="K125" s="798"/>
      <c r="L125" s="798"/>
    </row>
    <row r="126" spans="1:12" s="964" customFormat="1">
      <c r="A126" s="2339"/>
      <c r="D126" s="2340"/>
      <c r="K126" s="798"/>
      <c r="L126" s="798"/>
    </row>
    <row r="127" spans="1:12" s="964" customFormat="1">
      <c r="A127" s="2339"/>
      <c r="D127" s="2340"/>
      <c r="K127" s="798"/>
      <c r="L127" s="798"/>
    </row>
    <row r="128" spans="1:12" s="964" customFormat="1">
      <c r="A128" s="2339"/>
      <c r="D128" s="2340"/>
      <c r="K128" s="798"/>
      <c r="L128" s="798"/>
    </row>
    <row r="129" spans="1:12" s="964" customFormat="1">
      <c r="A129" s="2339"/>
      <c r="D129" s="2340"/>
      <c r="K129" s="798"/>
      <c r="L129" s="798"/>
    </row>
    <row r="130" spans="1:12" s="964" customFormat="1">
      <c r="A130" s="2339"/>
      <c r="D130" s="2340"/>
      <c r="K130" s="798"/>
      <c r="L130" s="798"/>
    </row>
    <row r="131" spans="1:12" s="964" customFormat="1">
      <c r="A131" s="2339"/>
      <c r="D131" s="2340"/>
      <c r="K131" s="798"/>
      <c r="L131" s="798"/>
    </row>
    <row r="132" spans="1:12" s="964" customFormat="1">
      <c r="A132" s="2339"/>
      <c r="D132" s="2340"/>
      <c r="K132" s="798"/>
      <c r="L132" s="798"/>
    </row>
    <row r="133" spans="1:12" s="964" customFormat="1">
      <c r="A133" s="2339"/>
      <c r="D133" s="2340"/>
      <c r="K133" s="798"/>
      <c r="L133" s="798"/>
    </row>
    <row r="134" spans="1:12" s="2272" customFormat="1">
      <c r="A134" s="2341"/>
      <c r="D134" s="2342"/>
      <c r="K134" s="27"/>
      <c r="L134" s="27"/>
    </row>
    <row r="135" spans="1:12" s="2272" customFormat="1">
      <c r="A135" s="2341"/>
      <c r="D135" s="2342"/>
      <c r="K135" s="27"/>
      <c r="L135" s="27"/>
    </row>
    <row r="136" spans="1:12" s="2272" customFormat="1">
      <c r="A136" s="2341"/>
      <c r="D136" s="2342"/>
      <c r="K136" s="27"/>
      <c r="L136" s="27"/>
    </row>
    <row r="137" spans="1:12" s="2272" customFormat="1">
      <c r="A137" s="2341"/>
      <c r="D137" s="2342"/>
      <c r="K137" s="27"/>
      <c r="L137" s="27"/>
    </row>
    <row r="138" spans="1:12" s="2272" customFormat="1">
      <c r="A138" s="2341"/>
      <c r="D138" s="2342"/>
      <c r="K138" s="27"/>
      <c r="L138" s="27"/>
    </row>
    <row r="139" spans="1:12" s="2272" customFormat="1">
      <c r="A139" s="2341"/>
      <c r="D139" s="2342"/>
      <c r="K139" s="27"/>
      <c r="L139" s="27"/>
    </row>
    <row r="140" spans="1:12" s="2272" customFormat="1">
      <c r="A140" s="2341"/>
      <c r="D140" s="2342"/>
      <c r="K140" s="27"/>
      <c r="L140" s="27"/>
    </row>
    <row r="141" spans="1:12" s="2272" customFormat="1">
      <c r="A141" s="2341"/>
      <c r="D141" s="2342"/>
      <c r="K141" s="27"/>
      <c r="L141" s="27"/>
    </row>
    <row r="142" spans="1:12" s="2272" customFormat="1">
      <c r="A142" s="2341"/>
      <c r="D142" s="2342"/>
      <c r="K142" s="27"/>
      <c r="L142" s="27"/>
    </row>
    <row r="143" spans="1:12" s="2272" customFormat="1">
      <c r="A143" s="2341"/>
      <c r="D143" s="2342"/>
      <c r="K143" s="27"/>
      <c r="L143" s="27"/>
    </row>
    <row r="144" spans="1:12" s="2272" customFormat="1">
      <c r="A144" s="2341"/>
      <c r="D144" s="2342"/>
      <c r="K144" s="27"/>
      <c r="L144" s="27"/>
    </row>
    <row r="145" spans="1:12" s="2272" customFormat="1">
      <c r="A145" s="2341"/>
      <c r="D145" s="2342"/>
      <c r="K145" s="27"/>
      <c r="L145" s="27"/>
    </row>
    <row r="146" spans="1:12" s="2272" customFormat="1">
      <c r="A146" s="2341"/>
      <c r="D146" s="2342"/>
      <c r="K146" s="27"/>
      <c r="L146" s="27"/>
    </row>
    <row r="147" spans="1:12" s="2272" customFormat="1">
      <c r="A147" s="2341"/>
      <c r="D147" s="2342"/>
      <c r="K147" s="27"/>
      <c r="L147" s="27"/>
    </row>
    <row r="148" spans="1:12" s="2272" customFormat="1">
      <c r="A148" s="2341"/>
      <c r="D148" s="2342"/>
      <c r="K148" s="27"/>
      <c r="L148" s="27"/>
    </row>
    <row r="149" spans="1:12" s="2272" customFormat="1">
      <c r="A149" s="2341"/>
      <c r="D149" s="2342"/>
      <c r="K149" s="27"/>
      <c r="L149" s="27"/>
    </row>
    <row r="150" spans="1:12" s="2272" customFormat="1">
      <c r="A150" s="2341"/>
      <c r="D150" s="2342"/>
      <c r="K150" s="27"/>
      <c r="L150" s="27"/>
    </row>
    <row r="151" spans="1:12" s="2272" customFormat="1">
      <c r="A151" s="2341"/>
      <c r="D151" s="2342"/>
      <c r="K151" s="27"/>
      <c r="L151" s="27"/>
    </row>
    <row r="152" spans="1:12" s="2272" customFormat="1">
      <c r="A152" s="2341"/>
      <c r="D152" s="2342"/>
      <c r="K152" s="27"/>
      <c r="L152" s="27"/>
    </row>
    <row r="153" spans="1:12" s="2272" customFormat="1">
      <c r="A153" s="2341"/>
      <c r="D153" s="2342"/>
      <c r="K153" s="27"/>
      <c r="L153" s="27"/>
    </row>
    <row r="154" spans="1:12" s="2272" customFormat="1">
      <c r="A154" s="2341"/>
      <c r="D154" s="2342"/>
      <c r="K154" s="27"/>
      <c r="L154" s="27"/>
    </row>
    <row r="155" spans="1:12" s="2272" customFormat="1">
      <c r="A155" s="2341"/>
      <c r="D155" s="2342"/>
      <c r="K155" s="27"/>
      <c r="L155" s="27"/>
    </row>
    <row r="156" spans="1:12" s="2272" customFormat="1">
      <c r="A156" s="2341"/>
      <c r="D156" s="2342"/>
      <c r="K156" s="27"/>
      <c r="L156" s="27"/>
    </row>
    <row r="157" spans="1:12" s="2272" customFormat="1">
      <c r="A157" s="2341"/>
      <c r="D157" s="2342"/>
      <c r="K157" s="27"/>
      <c r="L157" s="27"/>
    </row>
    <row r="158" spans="1:12" s="2272" customFormat="1">
      <c r="A158" s="2341"/>
      <c r="D158" s="2342"/>
      <c r="K158" s="27"/>
      <c r="L158" s="27"/>
    </row>
    <row r="159" spans="1:12" s="2272" customFormat="1">
      <c r="A159" s="2341"/>
      <c r="D159" s="2342"/>
      <c r="K159" s="27"/>
      <c r="L159" s="27"/>
    </row>
    <row r="160" spans="1:12" s="2272" customFormat="1">
      <c r="A160" s="2341"/>
      <c r="D160" s="2342"/>
      <c r="K160" s="27"/>
      <c r="L160" s="27"/>
    </row>
    <row r="161" spans="1:12" s="2272" customFormat="1">
      <c r="A161" s="2341"/>
      <c r="D161" s="2342"/>
      <c r="K161" s="27"/>
      <c r="L161" s="27"/>
    </row>
    <row r="162" spans="1:12" s="2272" customFormat="1">
      <c r="A162" s="2341"/>
      <c r="D162" s="2342"/>
      <c r="K162" s="27"/>
      <c r="L162" s="27"/>
    </row>
    <row r="163" spans="1:12" s="2272" customFormat="1">
      <c r="A163" s="2341"/>
      <c r="D163" s="2342"/>
      <c r="K163" s="27"/>
      <c r="L163" s="27"/>
    </row>
    <row r="164" spans="1:12" s="2272" customFormat="1">
      <c r="A164" s="2341"/>
      <c r="D164" s="2342"/>
      <c r="K164" s="27"/>
      <c r="L164" s="27"/>
    </row>
    <row r="165" spans="1:12" s="2272" customFormat="1">
      <c r="A165" s="2341"/>
      <c r="D165" s="2342"/>
      <c r="K165" s="27"/>
      <c r="L165" s="27"/>
    </row>
    <row r="166" spans="1:12" s="2272" customFormat="1">
      <c r="A166" s="2341"/>
      <c r="D166" s="2342"/>
      <c r="K166" s="27"/>
      <c r="L166" s="27"/>
    </row>
    <row r="167" spans="1:12" s="2272" customFormat="1">
      <c r="A167" s="2341"/>
      <c r="D167" s="2342"/>
      <c r="K167" s="27"/>
      <c r="L167" s="27"/>
    </row>
    <row r="168" spans="1:12" s="2272" customFormat="1">
      <c r="A168" s="2341"/>
      <c r="D168" s="2342"/>
      <c r="K168" s="27"/>
      <c r="L168" s="27"/>
    </row>
    <row r="169" spans="1:12" s="2272" customFormat="1">
      <c r="A169" s="2341"/>
      <c r="D169" s="2342"/>
      <c r="K169" s="27"/>
      <c r="L169" s="27"/>
    </row>
    <row r="170" spans="1:12" s="2272" customFormat="1">
      <c r="A170" s="2341"/>
      <c r="D170" s="2342"/>
      <c r="K170" s="27"/>
      <c r="L170" s="27"/>
    </row>
    <row r="171" spans="1:12" s="2272" customFormat="1">
      <c r="A171" s="2341"/>
      <c r="D171" s="2342"/>
      <c r="K171" s="27"/>
      <c r="L171" s="27"/>
    </row>
    <row r="172" spans="1:12" s="2272" customFormat="1">
      <c r="A172" s="2341"/>
      <c r="D172" s="2342"/>
      <c r="K172" s="27"/>
      <c r="L172" s="27"/>
    </row>
    <row r="173" spans="1:12" s="2272" customFormat="1">
      <c r="A173" s="2341"/>
      <c r="D173" s="2342"/>
      <c r="K173" s="27"/>
      <c r="L173" s="27"/>
    </row>
    <row r="174" spans="1:12" s="2272" customFormat="1">
      <c r="A174" s="2341"/>
      <c r="D174" s="2342"/>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N8" sqref="N8"/>
    </sheetView>
  </sheetViews>
  <sheetFormatPr defaultColWidth="9" defaultRowHeight="13.8"/>
  <cols>
    <col min="1" max="1" width="9.44140625" style="2367" customWidth="1"/>
    <col min="2" max="2" width="24.44140625" style="2413" customWidth="1"/>
    <col min="3" max="3" width="24.44140625" style="2412" customWidth="1"/>
    <col min="4" max="4" width="2.6640625" style="2412" customWidth="1"/>
    <col min="5" max="5" width="5.88671875" style="2412" customWidth="1"/>
    <col min="6" max="6" width="27" style="2413" customWidth="1"/>
    <col min="7" max="7" width="27" style="2414" customWidth="1"/>
    <col min="8" max="8" width="11.88671875" style="2392" customWidth="1"/>
    <col min="9" max="9" width="16.77734375" style="2393" customWidth="1"/>
    <col min="10" max="10" width="2.6640625" style="2392" customWidth="1"/>
    <col min="11" max="11" width="11.88671875" style="2392" customWidth="1"/>
    <col min="12" max="12" width="16.77734375" style="2393" customWidth="1"/>
    <col min="13" max="13" width="2.6640625" style="2392" customWidth="1"/>
    <col min="14" max="14" width="11.88671875" style="2392" customWidth="1"/>
    <col min="15" max="15" width="16.77734375" style="2393" customWidth="1"/>
    <col min="16" max="16" width="2.6640625" style="2392" customWidth="1"/>
    <col min="17" max="17" width="11.88671875" style="2392" customWidth="1"/>
    <col min="18" max="18" width="16.77734375" style="2394" customWidth="1"/>
    <col min="19" max="29" width="9" style="2366"/>
    <col min="30" max="16384" width="9" style="2367"/>
  </cols>
  <sheetData>
    <row r="1" spans="1:29" s="2360" customFormat="1" ht="18" thickBot="1">
      <c r="A1" s="3057" t="s">
        <v>2080</v>
      </c>
      <c r="B1" s="3058"/>
      <c r="C1" s="3058"/>
      <c r="D1" s="3058"/>
      <c r="E1" s="3058"/>
      <c r="F1" s="3058"/>
      <c r="G1" s="3058"/>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 thickBot="1">
      <c r="A2" s="2361"/>
      <c r="B2" s="2362"/>
      <c r="C2" s="2363" t="s">
        <v>2081</v>
      </c>
      <c r="D2" s="2364"/>
      <c r="E2" s="2365"/>
      <c r="F2" s="2284"/>
      <c r="G2" s="2363" t="s">
        <v>2082</v>
      </c>
      <c r="H2" s="2366"/>
      <c r="I2" s="2366"/>
      <c r="J2" s="2366"/>
      <c r="K2" s="2366"/>
      <c r="L2" s="2366"/>
      <c r="M2" s="2366"/>
      <c r="N2" s="2366"/>
      <c r="O2" s="2366"/>
      <c r="P2" s="2366"/>
      <c r="Q2" s="2366"/>
      <c r="R2" s="2366"/>
    </row>
    <row r="3" spans="1:29" ht="43.2">
      <c r="A3" s="415" t="s">
        <v>2083</v>
      </c>
      <c r="B3" s="1268" t="s">
        <v>2084</v>
      </c>
      <c r="C3" s="2956" t="s">
        <v>3082</v>
      </c>
      <c r="D3" s="2368"/>
      <c r="E3" s="431" t="s">
        <v>2083</v>
      </c>
      <c r="F3" s="2369" t="s">
        <v>2085</v>
      </c>
      <c r="G3" s="2370" t="s">
        <v>2086</v>
      </c>
      <c r="H3" s="2366"/>
      <c r="I3" s="2366"/>
      <c r="J3" s="2366"/>
      <c r="K3" s="2366"/>
      <c r="L3" s="2366"/>
      <c r="M3" s="2366"/>
      <c r="N3" s="2366"/>
      <c r="O3" s="2366"/>
      <c r="P3" s="2366"/>
      <c r="Q3" s="2366"/>
      <c r="R3" s="2366"/>
    </row>
    <row r="4" spans="1:29" ht="43.2">
      <c r="A4" s="431"/>
      <c r="B4" s="1795" t="s">
        <v>2087</v>
      </c>
      <c r="C4" s="2957" t="s">
        <v>3083</v>
      </c>
      <c r="D4" s="2368"/>
      <c r="E4" s="2371"/>
      <c r="F4" s="42" t="s">
        <v>2088</v>
      </c>
      <c r="G4" s="2372" t="s">
        <v>2089</v>
      </c>
      <c r="H4" s="2366"/>
      <c r="I4" s="2366"/>
      <c r="J4" s="2366"/>
      <c r="K4" s="2366"/>
      <c r="L4" s="2366"/>
      <c r="M4" s="2366"/>
      <c r="N4" s="2366"/>
      <c r="O4" s="2366"/>
      <c r="P4" s="2366"/>
      <c r="Q4" s="2366"/>
      <c r="R4" s="2366"/>
    </row>
    <row r="5" spans="1:29" ht="28.8">
      <c r="A5" s="431"/>
      <c r="B5" s="1795" t="s">
        <v>2090</v>
      </c>
      <c r="C5" s="2957" t="s">
        <v>3084</v>
      </c>
      <c r="D5" s="2368"/>
      <c r="E5" s="2371"/>
      <c r="F5" s="1795" t="s">
        <v>2091</v>
      </c>
      <c r="G5" s="2372" t="s">
        <v>2092</v>
      </c>
      <c r="H5" s="2366"/>
      <c r="I5" s="2366"/>
      <c r="J5" s="2366"/>
      <c r="K5" s="2366"/>
      <c r="L5" s="2366"/>
      <c r="M5" s="2366"/>
      <c r="N5" s="2366"/>
      <c r="O5" s="2366"/>
      <c r="P5" s="2366"/>
      <c r="Q5" s="2366"/>
      <c r="R5" s="2366"/>
    </row>
    <row r="6" spans="1:29" ht="28.8">
      <c r="A6" s="431"/>
      <c r="B6" s="1795" t="s">
        <v>2093</v>
      </c>
      <c r="C6" s="2958" t="s">
        <v>3082</v>
      </c>
      <c r="D6" s="2368"/>
      <c r="E6" s="2371"/>
      <c r="F6" s="1795" t="s">
        <v>2094</v>
      </c>
      <c r="G6" s="2372" t="s">
        <v>2095</v>
      </c>
      <c r="H6" s="2366"/>
      <c r="I6" s="2366"/>
      <c r="J6" s="2366"/>
      <c r="K6" s="2366"/>
      <c r="L6" s="2366"/>
      <c r="M6" s="2366"/>
      <c r="N6" s="2366"/>
      <c r="O6" s="2366"/>
      <c r="P6" s="2366"/>
      <c r="Q6" s="2366"/>
      <c r="R6" s="2366"/>
    </row>
    <row r="7" spans="1:29" ht="43.8" thickBot="1">
      <c r="A7" s="431"/>
      <c r="B7" s="1795" t="s">
        <v>2091</v>
      </c>
      <c r="C7" s="2958" t="s">
        <v>3082</v>
      </c>
      <c r="D7" s="2373"/>
      <c r="E7" s="2374"/>
      <c r="F7" s="2375" t="s">
        <v>2096</v>
      </c>
      <c r="G7" s="2376" t="s">
        <v>2097</v>
      </c>
      <c r="H7" s="2366"/>
      <c r="I7" s="2366"/>
      <c r="J7" s="2366"/>
      <c r="K7" s="2366"/>
      <c r="L7" s="2366"/>
      <c r="M7" s="2366"/>
      <c r="N7" s="2366"/>
      <c r="O7" s="2366"/>
      <c r="P7" s="2366"/>
      <c r="Q7" s="2366"/>
      <c r="R7" s="2366"/>
    </row>
    <row r="8" spans="1:29" ht="14.4">
      <c r="A8" s="431"/>
      <c r="B8" s="1795" t="s">
        <v>2094</v>
      </c>
      <c r="C8" s="2958" t="s">
        <v>3085</v>
      </c>
      <c r="D8" s="2373"/>
      <c r="E8" s="2373"/>
      <c r="F8" s="1133"/>
      <c r="G8" s="1133"/>
      <c r="H8" s="2366"/>
      <c r="I8" s="2366"/>
      <c r="J8" s="2366"/>
      <c r="K8" s="2366"/>
      <c r="L8" s="2366"/>
      <c r="M8" s="2366"/>
      <c r="N8" s="2366"/>
      <c r="O8" s="2366"/>
      <c r="P8" s="2366"/>
      <c r="Q8" s="2366"/>
      <c r="R8" s="2366"/>
    </row>
    <row r="9" spans="1:29" ht="14.4">
      <c r="A9" s="431"/>
      <c r="B9" s="1795" t="s">
        <v>2098</v>
      </c>
      <c r="C9" s="2957" t="s">
        <v>3083</v>
      </c>
      <c r="D9" s="2368"/>
      <c r="E9" s="2373"/>
      <c r="F9" s="1133"/>
      <c r="G9" s="1133"/>
      <c r="H9" s="2366"/>
      <c r="I9" s="2366"/>
      <c r="J9" s="2366"/>
      <c r="K9" s="2366"/>
      <c r="L9" s="2366"/>
      <c r="M9" s="2366"/>
      <c r="N9" s="2366"/>
      <c r="O9" s="2366"/>
      <c r="P9" s="2366"/>
      <c r="Q9" s="2366"/>
      <c r="R9" s="2366"/>
    </row>
    <row r="10" spans="1:29" s="117" customFormat="1" ht="15" thickBot="1">
      <c r="A10" s="2377"/>
      <c r="B10" s="2378" t="s">
        <v>2099</v>
      </c>
      <c r="C10" s="2379"/>
      <c r="D10" s="2368"/>
      <c r="E10" s="2368"/>
      <c r="F10" s="1133"/>
      <c r="G10" s="1133"/>
      <c r="H10" s="2380"/>
      <c r="I10" s="2381"/>
      <c r="J10" s="2382"/>
      <c r="K10" s="2380"/>
      <c r="L10" s="2381"/>
      <c r="M10" s="2382"/>
      <c r="N10" s="2380"/>
      <c r="O10" s="2381"/>
      <c r="P10" s="2382"/>
      <c r="Q10" s="2380"/>
      <c r="R10" s="2381"/>
      <c r="S10" s="2366"/>
      <c r="T10" s="2366"/>
      <c r="U10" s="2366"/>
      <c r="V10" s="2366"/>
      <c r="W10" s="2366"/>
      <c r="X10" s="2366"/>
      <c r="Y10" s="2366"/>
      <c r="Z10" s="2366"/>
      <c r="AA10" s="2366"/>
      <c r="AB10" s="2366"/>
      <c r="AC10" s="2366"/>
    </row>
    <row r="11" spans="1:29" s="117" customFormat="1">
      <c r="A11" s="2383"/>
      <c r="B11" s="2373"/>
      <c r="C11" s="2368"/>
      <c r="D11" s="2368"/>
      <c r="E11" s="2368"/>
      <c r="F11" s="2373"/>
      <c r="G11" s="1151"/>
      <c r="H11" s="2380"/>
      <c r="I11" s="2381"/>
      <c r="J11" s="2382"/>
      <c r="K11" s="2380"/>
      <c r="L11" s="2381"/>
      <c r="M11" s="2382"/>
      <c r="N11" s="2380"/>
      <c r="O11" s="2381"/>
      <c r="P11" s="2382"/>
      <c r="Q11" s="2380"/>
      <c r="R11" s="2381"/>
      <c r="S11" s="2366"/>
      <c r="T11" s="2366"/>
      <c r="U11" s="2366"/>
      <c r="V11" s="2366"/>
      <c r="W11" s="2366"/>
      <c r="X11" s="2366"/>
      <c r="Y11" s="2366"/>
      <c r="Z11" s="2366"/>
      <c r="AA11" s="2366"/>
      <c r="AB11" s="2366"/>
      <c r="AC11" s="2366"/>
    </row>
    <row r="12" spans="1:29" s="2360" customFormat="1" ht="17.399999999999999">
      <c r="A12" s="2383"/>
      <c r="B12" s="2373"/>
      <c r="C12" s="2368"/>
      <c r="D12" s="2384"/>
      <c r="E12" s="2368"/>
      <c r="F12" s="2373"/>
      <c r="G12" s="1151"/>
      <c r="H12" s="2385"/>
      <c r="I12" s="2386"/>
      <c r="J12" s="2385"/>
      <c r="K12" s="2385"/>
      <c r="L12" s="2387"/>
      <c r="M12" s="2385"/>
      <c r="N12" s="2388"/>
      <c r="O12" s="2389"/>
      <c r="P12" s="2388"/>
      <c r="Q12" s="2388"/>
      <c r="R12" s="2358"/>
      <c r="S12" s="2359"/>
      <c r="T12" s="2359"/>
      <c r="U12" s="2359"/>
      <c r="V12" s="2359"/>
      <c r="W12" s="2359"/>
      <c r="X12" s="2359"/>
      <c r="Y12" s="2359"/>
      <c r="Z12" s="2359"/>
      <c r="AA12" s="2359"/>
      <c r="AB12" s="2359"/>
      <c r="AC12" s="2359"/>
    </row>
    <row r="13" spans="1:29" ht="18" thickBot="1">
      <c r="A13" s="2390" t="s">
        <v>2100</v>
      </c>
      <c r="B13" s="2384"/>
      <c r="C13" s="2384"/>
      <c r="D13" s="2391"/>
      <c r="E13" s="2384"/>
      <c r="F13" s="2384"/>
      <c r="G13" s="2384"/>
    </row>
    <row r="14" spans="1:29" ht="15" thickBot="1">
      <c r="A14" s="2395"/>
      <c r="B14" s="2396"/>
      <c r="C14" s="2397" t="s">
        <v>2101</v>
      </c>
      <c r="D14" s="2368"/>
      <c r="E14" s="2398"/>
      <c r="F14" s="2398"/>
      <c r="G14" s="2363" t="s">
        <v>2102</v>
      </c>
    </row>
    <row r="15" spans="1:29" ht="41.4">
      <c r="A15" s="68" t="s">
        <v>2103</v>
      </c>
      <c r="B15" s="1267" t="s">
        <v>2084</v>
      </c>
      <c r="C15" s="2399" t="str">
        <f>C3</f>
        <v>较好</v>
      </c>
      <c r="D15" s="2368"/>
      <c r="E15" s="2400" t="s">
        <v>2104</v>
      </c>
      <c r="F15" s="1267" t="s">
        <v>2105</v>
      </c>
      <c r="G15" s="135" t="str">
        <f>G3</f>
        <v>估价对象位于XX开发区，园区建设成熟度XX，产业集聚程度XX</v>
      </c>
    </row>
    <row r="16" spans="1:29" ht="41.4">
      <c r="A16" s="645"/>
      <c r="B16" s="2401" t="s">
        <v>2087</v>
      </c>
      <c r="C16" s="2402" t="str">
        <f>C4</f>
        <v>较好</v>
      </c>
      <c r="D16" s="2368"/>
      <c r="E16" s="2403"/>
      <c r="F16" s="2404" t="s">
        <v>2088</v>
      </c>
      <c r="G16" s="136" t="str">
        <f>G4</f>
        <v>估价对象周边道路状况、公共交通通达情况、停车便捷程度，综合评价交通便捷度较好</v>
      </c>
    </row>
    <row r="17" spans="1:18" ht="14.4">
      <c r="A17" s="645"/>
      <c r="B17" s="2401" t="s">
        <v>2090</v>
      </c>
      <c r="C17" s="2402" t="str">
        <f>C5</f>
        <v>一般</v>
      </c>
      <c r="D17" s="2373"/>
      <c r="E17" s="2403"/>
      <c r="F17" s="2404" t="s">
        <v>2106</v>
      </c>
      <c r="G17" s="1569"/>
    </row>
    <row r="18" spans="1:18" ht="41.4">
      <c r="A18" s="645"/>
      <c r="B18" s="2404" t="s">
        <v>2093</v>
      </c>
      <c r="C18" s="136" t="str">
        <f>C6</f>
        <v>较好</v>
      </c>
      <c r="D18" s="2373"/>
      <c r="E18" s="2403"/>
      <c r="F18" s="2404" t="s">
        <v>2096</v>
      </c>
      <c r="G18" s="136" t="str">
        <f>G7</f>
        <v>该园区内是否有污染型企业，绿化情况，卫生条件，整体环境状况判断</v>
      </c>
    </row>
    <row r="19" spans="1:18" ht="27.6">
      <c r="A19" s="645"/>
      <c r="B19" s="2404" t="s">
        <v>2107</v>
      </c>
      <c r="C19" s="1569"/>
      <c r="D19" s="2368"/>
      <c r="E19" s="2403"/>
      <c r="F19" s="1795" t="s">
        <v>2091</v>
      </c>
      <c r="G19" s="136" t="str">
        <f>G5</f>
        <v>估价对象所在区域公共配套设施齐备情况</v>
      </c>
    </row>
    <row r="20" spans="1:18" ht="27.6">
      <c r="A20" s="645"/>
      <c r="B20" s="2404" t="s">
        <v>2108</v>
      </c>
      <c r="C20" s="2402" t="str">
        <f>C9</f>
        <v>较好</v>
      </c>
      <c r="D20" s="2373"/>
      <c r="E20" s="2403"/>
      <c r="F20" s="1795" t="s">
        <v>2109</v>
      </c>
      <c r="G20" s="136" t="str">
        <f>G6</f>
        <v>估价对象所在区域基础设施水平</v>
      </c>
    </row>
    <row r="21" spans="1:18" ht="14.4">
      <c r="A21" s="645"/>
      <c r="B21" s="1795" t="s">
        <v>2091</v>
      </c>
      <c r="C21" s="136" t="str">
        <f>C7</f>
        <v>较好</v>
      </c>
      <c r="D21" s="2368"/>
      <c r="E21" s="2403"/>
      <c r="F21" s="2404" t="s">
        <v>2110</v>
      </c>
      <c r="G21" s="2405"/>
    </row>
    <row r="22" spans="1:18" ht="13.5" customHeight="1">
      <c r="A22" s="645"/>
      <c r="B22" s="1795" t="s">
        <v>2094</v>
      </c>
      <c r="C22" s="136" t="str">
        <f>C8</f>
        <v>六通</v>
      </c>
      <c r="D22" s="2368"/>
      <c r="E22" s="2403"/>
      <c r="F22" s="2404" t="s">
        <v>2099</v>
      </c>
      <c r="G22" s="1569"/>
    </row>
    <row r="23" spans="1:18" s="2366" customFormat="1" ht="15" thickBot="1">
      <c r="A23" s="645"/>
      <c r="B23" s="2404" t="s">
        <v>2110</v>
      </c>
      <c r="C23" s="2405"/>
      <c r="D23" s="2392"/>
      <c r="E23" s="2406"/>
      <c r="F23" s="2407" t="s">
        <v>2111</v>
      </c>
      <c r="G23" s="2408"/>
      <c r="H23" s="2392"/>
      <c r="I23" s="2393"/>
      <c r="J23" s="2392"/>
      <c r="K23" s="2392"/>
      <c r="L23" s="2393"/>
      <c r="M23" s="2392"/>
      <c r="N23" s="2392"/>
      <c r="O23" s="2393"/>
      <c r="P23" s="2392"/>
      <c r="Q23" s="2392"/>
      <c r="R23" s="2394"/>
    </row>
    <row r="24" spans="1:18" s="2366" customFormat="1" ht="15" thickBot="1">
      <c r="A24" s="2409"/>
      <c r="B24" s="2407" t="s">
        <v>2112</v>
      </c>
      <c r="C24" s="137">
        <f>C10</f>
        <v>0</v>
      </c>
      <c r="D24" s="2392"/>
      <c r="E24" s="2410"/>
      <c r="F24" s="2410"/>
      <c r="G24" s="2411"/>
      <c r="H24" s="2392"/>
      <c r="I24" s="2393"/>
      <c r="J24" s="2392"/>
      <c r="K24" s="2392"/>
      <c r="L24" s="2393"/>
      <c r="M24" s="2392"/>
      <c r="N24" s="2392"/>
      <c r="O24" s="2393"/>
      <c r="P24" s="2392"/>
      <c r="Q24" s="2392"/>
      <c r="R24" s="2394"/>
    </row>
    <row r="25" spans="1:18" s="2366" customFormat="1">
      <c r="B25" s="2392"/>
      <c r="C25" s="2392"/>
      <c r="D25" s="2392"/>
      <c r="H25" s="2392"/>
      <c r="I25" s="2393"/>
      <c r="J25" s="2392"/>
      <c r="K25" s="2392"/>
      <c r="L25" s="2393"/>
      <c r="M25" s="2392"/>
      <c r="N25" s="2392"/>
      <c r="O25" s="2393"/>
      <c r="P25" s="2392"/>
      <c r="Q25" s="2392"/>
      <c r="R25" s="2394"/>
    </row>
    <row r="26" spans="1:18" s="2366" customFormat="1">
      <c r="B26" s="2392"/>
      <c r="C26" s="2392"/>
      <c r="D26" s="2392"/>
      <c r="H26" s="2392"/>
      <c r="I26" s="2393"/>
      <c r="J26" s="2392"/>
      <c r="K26" s="2392"/>
      <c r="L26" s="2393"/>
      <c r="M26" s="2392"/>
      <c r="N26" s="2392"/>
      <c r="O26" s="2393"/>
      <c r="P26" s="2392"/>
      <c r="Q26" s="2392"/>
      <c r="R26" s="2394"/>
    </row>
    <row r="27" spans="1:18" s="2366" customFormat="1">
      <c r="B27" s="2392"/>
      <c r="C27" s="2392"/>
      <c r="D27" s="2392"/>
      <c r="H27" s="2392"/>
      <c r="I27" s="2393"/>
      <c r="J27" s="2392"/>
      <c r="K27" s="2392"/>
      <c r="L27" s="2393"/>
      <c r="M27" s="2392"/>
      <c r="N27" s="2392"/>
      <c r="O27" s="2393"/>
      <c r="P27" s="2392"/>
      <c r="Q27" s="2392"/>
      <c r="R27" s="2394"/>
    </row>
    <row r="28" spans="1:18" s="2366" customFormat="1">
      <c r="B28" s="2392"/>
      <c r="C28" s="2392"/>
      <c r="D28" s="2392"/>
      <c r="H28" s="2392"/>
      <c r="I28" s="2393"/>
      <c r="J28" s="2392"/>
      <c r="K28" s="2392"/>
      <c r="L28" s="2393"/>
      <c r="M28" s="2392"/>
      <c r="N28" s="2392"/>
      <c r="O28" s="2393"/>
      <c r="P28" s="2392"/>
      <c r="Q28" s="2392"/>
      <c r="R28" s="2394"/>
    </row>
    <row r="29" spans="1:18" s="2366" customFormat="1">
      <c r="B29" s="2392"/>
      <c r="C29" s="2392"/>
      <c r="D29" s="2392"/>
      <c r="H29" s="2392"/>
      <c r="I29" s="2393"/>
      <c r="J29" s="2392"/>
      <c r="K29" s="2392"/>
      <c r="L29" s="2393"/>
      <c r="M29" s="2392"/>
      <c r="N29" s="2392"/>
      <c r="O29" s="2393"/>
      <c r="P29" s="2392"/>
      <c r="Q29" s="2392"/>
      <c r="R29" s="2394"/>
    </row>
    <row r="30" spans="1:18" s="2366" customFormat="1">
      <c r="B30" s="2392"/>
      <c r="C30" s="2392"/>
      <c r="D30" s="2392"/>
      <c r="H30" s="2392"/>
      <c r="I30" s="2393"/>
      <c r="J30" s="2392"/>
      <c r="K30" s="2392"/>
      <c r="L30" s="2393"/>
      <c r="M30" s="2392"/>
      <c r="N30" s="2392"/>
      <c r="O30" s="2393"/>
      <c r="P30" s="2392"/>
      <c r="Q30" s="2392"/>
      <c r="R30" s="2394"/>
    </row>
    <row r="31" spans="1:18" s="2366" customFormat="1">
      <c r="B31" s="2392"/>
      <c r="C31" s="2392"/>
      <c r="D31" s="2392"/>
      <c r="H31" s="2392"/>
      <c r="I31" s="2393"/>
      <c r="J31" s="2392"/>
      <c r="K31" s="2392"/>
      <c r="L31" s="2393"/>
      <c r="M31" s="2392"/>
      <c r="N31" s="2392"/>
      <c r="O31" s="2393"/>
      <c r="P31" s="2392"/>
      <c r="Q31" s="2392"/>
      <c r="R31" s="2394"/>
    </row>
    <row r="32" spans="1:18" s="2366" customFormat="1">
      <c r="B32" s="2392"/>
      <c r="C32" s="2392"/>
      <c r="D32" s="2392"/>
      <c r="H32" s="2392"/>
      <c r="I32" s="2393"/>
      <c r="J32" s="2392"/>
      <c r="K32" s="2392"/>
      <c r="L32" s="2393"/>
      <c r="M32" s="2392"/>
      <c r="N32" s="2392"/>
      <c r="O32" s="2393"/>
      <c r="P32" s="2392"/>
      <c r="Q32" s="2392"/>
      <c r="R32" s="2394"/>
    </row>
    <row r="33" spans="2:18" s="2366" customFormat="1">
      <c r="B33" s="2392"/>
      <c r="C33" s="2392"/>
      <c r="D33" s="2392"/>
      <c r="H33" s="2392"/>
      <c r="I33" s="2393"/>
      <c r="J33" s="2392"/>
      <c r="K33" s="2392"/>
      <c r="L33" s="2393"/>
      <c r="M33" s="2392"/>
      <c r="N33" s="2392"/>
      <c r="O33" s="2393"/>
      <c r="P33" s="2392"/>
      <c r="Q33" s="2392"/>
      <c r="R33" s="2394"/>
    </row>
    <row r="34" spans="2:18" s="2366" customFormat="1">
      <c r="B34" s="2392"/>
      <c r="C34" s="2392"/>
      <c r="D34" s="2392"/>
      <c r="H34" s="2392"/>
      <c r="I34" s="2393"/>
      <c r="J34" s="2392"/>
      <c r="K34" s="2392"/>
      <c r="L34" s="2393"/>
      <c r="M34" s="2392"/>
      <c r="N34" s="2392"/>
      <c r="O34" s="2393"/>
      <c r="P34" s="2392"/>
      <c r="Q34" s="2392"/>
      <c r="R34" s="2394"/>
    </row>
    <row r="35" spans="2:18" s="2366" customFormat="1">
      <c r="B35" s="2392"/>
      <c r="C35" s="2392"/>
      <c r="D35" s="2392"/>
      <c r="H35" s="2392"/>
      <c r="I35" s="2393"/>
      <c r="J35" s="2392"/>
      <c r="K35" s="2392"/>
      <c r="L35" s="2393"/>
      <c r="M35" s="2392"/>
      <c r="N35" s="2392"/>
      <c r="O35" s="2393"/>
      <c r="P35" s="2392"/>
      <c r="Q35" s="2392"/>
      <c r="R35" s="2394"/>
    </row>
    <row r="36" spans="2:18" s="2366" customFormat="1">
      <c r="B36" s="2392"/>
      <c r="C36" s="2392"/>
      <c r="D36" s="2392"/>
      <c r="H36" s="2392"/>
      <c r="I36" s="2393"/>
      <c r="J36" s="2392"/>
      <c r="K36" s="2392"/>
      <c r="L36" s="2393"/>
      <c r="M36" s="2392"/>
      <c r="N36" s="2392"/>
      <c r="O36" s="2393"/>
      <c r="P36" s="2392"/>
      <c r="Q36" s="2392"/>
      <c r="R36" s="2394"/>
    </row>
    <row r="37" spans="2:18" s="2366" customFormat="1">
      <c r="B37" s="2392"/>
      <c r="C37" s="2392"/>
      <c r="D37" s="2392"/>
      <c r="H37" s="2392"/>
      <c r="I37" s="2393"/>
      <c r="J37" s="2392"/>
      <c r="K37" s="2392"/>
      <c r="L37" s="2393"/>
      <c r="M37" s="2392"/>
      <c r="N37" s="2392"/>
      <c r="O37" s="2393"/>
      <c r="P37" s="2392"/>
      <c r="Q37" s="2392"/>
      <c r="R37" s="2394"/>
    </row>
    <row r="38" spans="2:18" s="2366" customFormat="1">
      <c r="B38" s="2392"/>
      <c r="C38" s="2392"/>
      <c r="D38" s="2392"/>
      <c r="E38" s="2392"/>
      <c r="F38" s="2392"/>
      <c r="G38" s="2393"/>
      <c r="H38" s="2392"/>
      <c r="I38" s="2393"/>
      <c r="J38" s="2392"/>
      <c r="K38" s="2392"/>
      <c r="L38" s="2393"/>
      <c r="M38" s="2392"/>
      <c r="N38" s="2392"/>
      <c r="O38" s="2393"/>
      <c r="P38" s="2392"/>
      <c r="Q38" s="2392"/>
      <c r="R38" s="2394"/>
    </row>
    <row r="39" spans="2:18" s="2366" customFormat="1">
      <c r="B39" s="2392"/>
      <c r="C39" s="2392"/>
      <c r="D39" s="2392"/>
      <c r="E39" s="2392"/>
      <c r="F39" s="2392"/>
      <c r="G39" s="2393"/>
      <c r="H39" s="2392"/>
      <c r="I39" s="2393"/>
      <c r="J39" s="2392"/>
      <c r="K39" s="2392"/>
      <c r="L39" s="2393"/>
      <c r="M39" s="2392"/>
      <c r="N39" s="2392"/>
      <c r="O39" s="2393"/>
      <c r="P39" s="2392"/>
      <c r="Q39" s="2392"/>
      <c r="R39" s="2394"/>
    </row>
    <row r="40" spans="2:18" s="2366" customFormat="1">
      <c r="B40" s="2392"/>
      <c r="C40" s="2392"/>
      <c r="D40" s="2392"/>
      <c r="E40" s="2392"/>
      <c r="F40" s="2392"/>
      <c r="G40" s="2393"/>
      <c r="H40" s="2392"/>
      <c r="I40" s="2393"/>
      <c r="J40" s="2392"/>
      <c r="K40" s="2392"/>
      <c r="L40" s="2393"/>
      <c r="M40" s="2392"/>
      <c r="N40" s="2392"/>
      <c r="O40" s="2393"/>
      <c r="P40" s="2392"/>
      <c r="Q40" s="2392"/>
      <c r="R40" s="2394"/>
    </row>
    <row r="41" spans="2:18" s="2366" customFormat="1">
      <c r="B41" s="2392"/>
      <c r="C41" s="2392"/>
      <c r="D41" s="2392"/>
      <c r="E41" s="2392"/>
      <c r="F41" s="2392"/>
      <c r="G41" s="2393"/>
      <c r="H41" s="2392"/>
      <c r="I41" s="2393"/>
      <c r="J41" s="2392"/>
      <c r="K41" s="2392"/>
      <c r="L41" s="2393"/>
      <c r="M41" s="2392"/>
      <c r="N41" s="2392"/>
      <c r="O41" s="2393"/>
      <c r="P41" s="2392"/>
      <c r="Q41" s="2392"/>
      <c r="R41" s="2394"/>
    </row>
    <row r="42" spans="2:18" s="2366" customFormat="1">
      <c r="B42" s="2392"/>
      <c r="C42" s="2392"/>
      <c r="D42" s="2392"/>
      <c r="E42" s="2392"/>
      <c r="F42" s="2392"/>
      <c r="G42" s="2393"/>
      <c r="H42" s="2392"/>
      <c r="I42" s="2393"/>
      <c r="J42" s="2392"/>
      <c r="K42" s="2392"/>
      <c r="L42" s="2393"/>
      <c r="M42" s="2392"/>
      <c r="N42" s="2392"/>
      <c r="O42" s="2393"/>
      <c r="P42" s="2392"/>
      <c r="Q42" s="2392"/>
      <c r="R42" s="2394"/>
    </row>
    <row r="43" spans="2:18" s="2366" customFormat="1">
      <c r="B43" s="2392"/>
      <c r="C43" s="2392"/>
      <c r="D43" s="2392"/>
      <c r="E43" s="2392"/>
      <c r="F43" s="2392"/>
      <c r="G43" s="2393"/>
      <c r="H43" s="2392"/>
      <c r="I43" s="2393"/>
      <c r="J43" s="2392"/>
      <c r="K43" s="2392"/>
      <c r="L43" s="2393"/>
      <c r="M43" s="2392"/>
      <c r="N43" s="2392"/>
      <c r="O43" s="2393"/>
      <c r="P43" s="2392"/>
      <c r="Q43" s="2392"/>
      <c r="R43" s="2394"/>
    </row>
    <row r="44" spans="2:18" s="2366" customFormat="1">
      <c r="B44" s="2392"/>
      <c r="C44" s="2392"/>
      <c r="D44" s="2392"/>
      <c r="E44" s="2392"/>
      <c r="F44" s="2392"/>
      <c r="G44" s="2393"/>
      <c r="H44" s="2392"/>
      <c r="I44" s="2393"/>
      <c r="J44" s="2392"/>
      <c r="K44" s="2392"/>
      <c r="L44" s="2393"/>
      <c r="M44" s="2392"/>
      <c r="N44" s="2392"/>
      <c r="O44" s="2393"/>
      <c r="P44" s="2392"/>
      <c r="Q44" s="2392"/>
      <c r="R44" s="2394"/>
    </row>
    <row r="45" spans="2:18" s="2366" customFormat="1">
      <c r="B45" s="2392"/>
      <c r="C45" s="2392"/>
      <c r="D45" s="2392"/>
      <c r="E45" s="2392"/>
      <c r="F45" s="2392"/>
      <c r="G45" s="2393"/>
      <c r="H45" s="2392"/>
      <c r="I45" s="2393"/>
      <c r="J45" s="2392"/>
      <c r="K45" s="2392"/>
      <c r="L45" s="2393"/>
      <c r="M45" s="2392"/>
      <c r="N45" s="2392"/>
      <c r="O45" s="2393"/>
      <c r="P45" s="2392"/>
      <c r="Q45" s="2392"/>
      <c r="R45" s="2394"/>
    </row>
    <row r="46" spans="2:18" s="2366" customFormat="1">
      <c r="B46" s="2392"/>
      <c r="C46" s="2392"/>
      <c r="D46" s="2392"/>
      <c r="E46" s="2392"/>
      <c r="F46" s="2392"/>
      <c r="G46" s="2393"/>
      <c r="H46" s="2392"/>
      <c r="I46" s="2393"/>
      <c r="J46" s="2392"/>
      <c r="K46" s="2392"/>
      <c r="L46" s="2393"/>
      <c r="M46" s="2392"/>
      <c r="N46" s="2392"/>
      <c r="O46" s="2393"/>
      <c r="P46" s="2392"/>
      <c r="Q46" s="2392"/>
      <c r="R46" s="2394"/>
    </row>
    <row r="47" spans="2:18" s="2366" customFormat="1">
      <c r="B47" s="2392"/>
      <c r="C47" s="2392"/>
      <c r="D47" s="2392"/>
      <c r="E47" s="2392"/>
      <c r="F47" s="2392"/>
      <c r="G47" s="2393"/>
      <c r="H47" s="2392"/>
      <c r="I47" s="2393"/>
      <c r="J47" s="2392"/>
      <c r="K47" s="2392"/>
      <c r="L47" s="2393"/>
      <c r="M47" s="2392"/>
      <c r="N47" s="2392"/>
      <c r="O47" s="2393"/>
      <c r="P47" s="2392"/>
      <c r="Q47" s="2392"/>
      <c r="R47" s="2394"/>
    </row>
    <row r="48" spans="2:18" s="2366" customFormat="1">
      <c r="B48" s="2392"/>
      <c r="C48" s="2392"/>
      <c r="D48" s="2392"/>
      <c r="E48" s="2392"/>
      <c r="F48" s="2392"/>
      <c r="G48" s="2393"/>
      <c r="H48" s="2392"/>
      <c r="I48" s="2393"/>
      <c r="J48" s="2392"/>
      <c r="K48" s="2392"/>
      <c r="L48" s="2393"/>
      <c r="M48" s="2392"/>
      <c r="N48" s="2392"/>
      <c r="O48" s="2393"/>
      <c r="P48" s="2392"/>
      <c r="Q48" s="2392"/>
      <c r="R48" s="2394"/>
    </row>
    <row r="49" spans="2:18" s="2366" customFormat="1">
      <c r="B49" s="2392"/>
      <c r="C49" s="2392"/>
      <c r="D49" s="2392"/>
      <c r="E49" s="2392"/>
      <c r="F49" s="2392"/>
      <c r="G49" s="2393"/>
      <c r="H49" s="2392"/>
      <c r="I49" s="2393"/>
      <c r="J49" s="2392"/>
      <c r="K49" s="2392"/>
      <c r="L49" s="2393"/>
      <c r="M49" s="2392"/>
      <c r="N49" s="2392"/>
      <c r="O49" s="2393"/>
      <c r="P49" s="2392"/>
      <c r="Q49" s="2392"/>
      <c r="R49" s="2394"/>
    </row>
    <row r="50" spans="2:18" s="2366" customFormat="1">
      <c r="B50" s="2392"/>
      <c r="C50" s="2392"/>
      <c r="D50" s="2392"/>
      <c r="E50" s="2392"/>
      <c r="F50" s="2392"/>
      <c r="G50" s="2393"/>
      <c r="H50" s="2392"/>
      <c r="I50" s="2393"/>
      <c r="J50" s="2392"/>
      <c r="K50" s="2392"/>
      <c r="L50" s="2393"/>
      <c r="M50" s="2392"/>
      <c r="N50" s="2392"/>
      <c r="O50" s="2393"/>
      <c r="P50" s="2392"/>
      <c r="Q50" s="2392"/>
      <c r="R50" s="2394"/>
    </row>
    <row r="51" spans="2:18" s="2366" customFormat="1">
      <c r="B51" s="2392"/>
      <c r="C51" s="2392"/>
      <c r="D51" s="2392"/>
      <c r="E51" s="2392"/>
      <c r="F51" s="2392"/>
      <c r="G51" s="2393"/>
      <c r="H51" s="2392"/>
      <c r="I51" s="2393"/>
      <c r="J51" s="2392"/>
      <c r="K51" s="2392"/>
      <c r="L51" s="2393"/>
      <c r="M51" s="2392"/>
      <c r="N51" s="2392"/>
      <c r="O51" s="2393"/>
      <c r="P51" s="2392"/>
      <c r="Q51" s="2392"/>
      <c r="R51" s="2394"/>
    </row>
    <row r="52" spans="2:18" s="2366" customFormat="1">
      <c r="B52" s="2392"/>
      <c r="C52" s="2392"/>
      <c r="D52" s="2392"/>
      <c r="E52" s="2392"/>
      <c r="F52" s="2392"/>
      <c r="G52" s="2393"/>
      <c r="H52" s="2392"/>
      <c r="I52" s="2393"/>
      <c r="J52" s="2392"/>
      <c r="K52" s="2392"/>
      <c r="L52" s="2393"/>
      <c r="M52" s="2392"/>
      <c r="N52" s="2392"/>
      <c r="O52" s="2393"/>
      <c r="P52" s="2392"/>
      <c r="Q52" s="2392"/>
      <c r="R52" s="2394"/>
    </row>
    <row r="53" spans="2:18" s="2366" customFormat="1">
      <c r="B53" s="2392"/>
      <c r="C53" s="2392"/>
      <c r="D53" s="2392"/>
      <c r="E53" s="2392"/>
      <c r="F53" s="2392"/>
      <c r="G53" s="2393"/>
      <c r="H53" s="2392"/>
      <c r="I53" s="2393"/>
      <c r="J53" s="2392"/>
      <c r="K53" s="2392"/>
      <c r="L53" s="2393"/>
      <c r="M53" s="2392"/>
      <c r="N53" s="2392"/>
      <c r="O53" s="2393"/>
      <c r="P53" s="2392"/>
      <c r="Q53" s="2392"/>
      <c r="R53" s="2394"/>
    </row>
    <row r="54" spans="2:18" s="2366" customFormat="1">
      <c r="B54" s="2392"/>
      <c r="C54" s="2392"/>
      <c r="D54" s="2392"/>
      <c r="E54" s="2392"/>
      <c r="F54" s="2392"/>
      <c r="G54" s="2393"/>
      <c r="H54" s="2392"/>
      <c r="I54" s="2393"/>
      <c r="J54" s="2392"/>
      <c r="K54" s="2392"/>
      <c r="L54" s="2393"/>
      <c r="M54" s="2392"/>
      <c r="N54" s="2392"/>
      <c r="O54" s="2393"/>
      <c r="P54" s="2392"/>
      <c r="Q54" s="2392"/>
      <c r="R54" s="2394"/>
    </row>
    <row r="55" spans="2:18" s="2366" customFormat="1">
      <c r="B55" s="2392"/>
      <c r="C55" s="2392"/>
      <c r="D55" s="2392"/>
      <c r="E55" s="2392"/>
      <c r="F55" s="2392"/>
      <c r="G55" s="2393"/>
      <c r="H55" s="2392"/>
      <c r="I55" s="2393"/>
      <c r="J55" s="2392"/>
      <c r="K55" s="2392"/>
      <c r="L55" s="2393"/>
      <c r="M55" s="2392"/>
      <c r="N55" s="2392"/>
      <c r="O55" s="2393"/>
      <c r="P55" s="2392"/>
      <c r="Q55" s="2392"/>
      <c r="R55" s="2394"/>
    </row>
    <row r="56" spans="2:18" s="2366" customFormat="1">
      <c r="B56" s="2392"/>
      <c r="C56" s="2392"/>
      <c r="D56" s="2392"/>
      <c r="E56" s="2392"/>
      <c r="F56" s="2392"/>
      <c r="G56" s="2393"/>
      <c r="H56" s="2392"/>
      <c r="I56" s="2393"/>
      <c r="J56" s="2392"/>
      <c r="K56" s="2392"/>
      <c r="L56" s="2393"/>
      <c r="M56" s="2392"/>
      <c r="N56" s="2392"/>
      <c r="O56" s="2393"/>
      <c r="P56" s="2392"/>
      <c r="Q56" s="2392"/>
      <c r="R56" s="2394"/>
    </row>
    <row r="57" spans="2:18" s="2366" customFormat="1">
      <c r="B57" s="2392"/>
      <c r="C57" s="2392"/>
      <c r="D57" s="2392"/>
      <c r="E57" s="2392"/>
      <c r="F57" s="2392"/>
      <c r="G57" s="2393"/>
      <c r="H57" s="2392"/>
      <c r="I57" s="2393"/>
      <c r="J57" s="2392"/>
      <c r="K57" s="2392"/>
      <c r="L57" s="2393"/>
      <c r="M57" s="2392"/>
      <c r="N57" s="2392"/>
      <c r="O57" s="2393"/>
      <c r="P57" s="2392"/>
      <c r="Q57" s="2392"/>
      <c r="R57" s="2394"/>
    </row>
    <row r="58" spans="2:18" s="2366" customFormat="1">
      <c r="B58" s="2392"/>
      <c r="C58" s="2392"/>
      <c r="D58" s="2392"/>
      <c r="E58" s="2392"/>
      <c r="F58" s="2392"/>
      <c r="G58" s="2393"/>
      <c r="H58" s="2392"/>
      <c r="I58" s="2393"/>
      <c r="J58" s="2392"/>
      <c r="K58" s="2392"/>
      <c r="L58" s="2393"/>
      <c r="M58" s="2392"/>
      <c r="N58" s="2392"/>
      <c r="O58" s="2393"/>
      <c r="P58" s="2392"/>
      <c r="Q58" s="2392"/>
      <c r="R58" s="2394"/>
    </row>
    <row r="59" spans="2:18" s="2366" customFormat="1">
      <c r="B59" s="2392"/>
      <c r="C59" s="2392"/>
      <c r="D59" s="2392"/>
      <c r="E59" s="2392"/>
      <c r="F59" s="2392"/>
      <c r="G59" s="2393"/>
      <c r="H59" s="2392"/>
      <c r="I59" s="2393"/>
      <c r="J59" s="2392"/>
      <c r="K59" s="2392"/>
      <c r="L59" s="2393"/>
      <c r="M59" s="2392"/>
      <c r="N59" s="2392"/>
      <c r="O59" s="2393"/>
      <c r="P59" s="2392"/>
      <c r="Q59" s="2392"/>
      <c r="R59" s="2394"/>
    </row>
    <row r="60" spans="2:18" s="2366" customFormat="1">
      <c r="B60" s="2392"/>
      <c r="C60" s="2392"/>
      <c r="D60" s="2392"/>
      <c r="E60" s="2392"/>
      <c r="F60" s="2392"/>
      <c r="G60" s="2393"/>
      <c r="H60" s="2392"/>
      <c r="I60" s="2393"/>
      <c r="J60" s="2392"/>
      <c r="K60" s="2392"/>
      <c r="L60" s="2393"/>
      <c r="M60" s="2392"/>
      <c r="N60" s="2392"/>
      <c r="O60" s="2393"/>
      <c r="P60" s="2392"/>
      <c r="Q60" s="2392"/>
      <c r="R60" s="2394"/>
    </row>
    <row r="61" spans="2:18" s="2366" customFormat="1">
      <c r="B61" s="2392"/>
      <c r="C61" s="2392"/>
      <c r="D61" s="2392"/>
      <c r="E61" s="2392"/>
      <c r="F61" s="2392"/>
      <c r="G61" s="2393"/>
      <c r="H61" s="2392"/>
      <c r="I61" s="2393"/>
      <c r="J61" s="2392"/>
      <c r="K61" s="2392"/>
      <c r="L61" s="2393"/>
      <c r="M61" s="2392"/>
      <c r="N61" s="2392"/>
      <c r="O61" s="2393"/>
      <c r="P61" s="2392"/>
      <c r="Q61" s="2392"/>
      <c r="R61" s="2394"/>
    </row>
    <row r="62" spans="2:18" s="2366" customFormat="1">
      <c r="B62" s="2392"/>
      <c r="C62" s="2392"/>
      <c r="D62" s="2392"/>
      <c r="E62" s="2392"/>
      <c r="F62" s="2392"/>
      <c r="G62" s="2393"/>
      <c r="H62" s="2392"/>
      <c r="I62" s="2393"/>
      <c r="J62" s="2392"/>
      <c r="K62" s="2392"/>
      <c r="L62" s="2393"/>
      <c r="M62" s="2392"/>
      <c r="N62" s="2392"/>
      <c r="O62" s="2393"/>
      <c r="P62" s="2392"/>
      <c r="Q62" s="2392"/>
      <c r="R62" s="2394"/>
    </row>
    <row r="63" spans="2:18" s="2366" customFormat="1">
      <c r="B63" s="2392"/>
      <c r="C63" s="2392"/>
      <c r="D63" s="2392"/>
      <c r="E63" s="2392"/>
      <c r="F63" s="2392"/>
      <c r="G63" s="2393"/>
      <c r="H63" s="2392"/>
      <c r="I63" s="2393"/>
      <c r="J63" s="2392"/>
      <c r="K63" s="2392"/>
      <c r="L63" s="2393"/>
      <c r="M63" s="2392"/>
      <c r="N63" s="2392"/>
      <c r="O63" s="2393"/>
      <c r="P63" s="2392"/>
      <c r="Q63" s="2392"/>
      <c r="R63" s="2394"/>
    </row>
    <row r="64" spans="2:18" s="2366" customFormat="1">
      <c r="B64" s="2392"/>
      <c r="C64" s="2392"/>
      <c r="D64" s="2392"/>
      <c r="E64" s="2392"/>
      <c r="F64" s="2392"/>
      <c r="G64" s="2393"/>
      <c r="H64" s="2392"/>
      <c r="I64" s="2393"/>
      <c r="J64" s="2392"/>
      <c r="K64" s="2392"/>
      <c r="L64" s="2393"/>
      <c r="M64" s="2392"/>
      <c r="N64" s="2392"/>
      <c r="O64" s="2393"/>
      <c r="P64" s="2392"/>
      <c r="Q64" s="2392"/>
      <c r="R64" s="2394"/>
    </row>
    <row r="65" spans="2:18" s="2366" customFormat="1">
      <c r="B65" s="2392"/>
      <c r="C65" s="2392"/>
      <c r="D65" s="2392"/>
      <c r="E65" s="2392"/>
      <c r="F65" s="2392"/>
      <c r="G65" s="2393"/>
      <c r="H65" s="2392"/>
      <c r="I65" s="2393"/>
      <c r="J65" s="2392"/>
      <c r="K65" s="2392"/>
      <c r="L65" s="2393"/>
      <c r="M65" s="2392"/>
      <c r="N65" s="2392"/>
      <c r="O65" s="2393"/>
      <c r="P65" s="2392"/>
      <c r="Q65" s="2392"/>
      <c r="R65" s="2394"/>
    </row>
    <row r="66" spans="2:18" s="2366" customFormat="1">
      <c r="B66" s="2392"/>
      <c r="C66" s="2392"/>
      <c r="D66" s="2392"/>
      <c r="E66" s="2392"/>
      <c r="F66" s="2392"/>
      <c r="G66" s="2393"/>
      <c r="H66" s="2392"/>
      <c r="I66" s="2393"/>
      <c r="J66" s="2392"/>
      <c r="K66" s="2392"/>
      <c r="L66" s="2393"/>
      <c r="M66" s="2392"/>
      <c r="N66" s="2392"/>
      <c r="O66" s="2393"/>
      <c r="P66" s="2392"/>
      <c r="Q66" s="2392"/>
      <c r="R66" s="2394"/>
    </row>
    <row r="67" spans="2:18" s="2366" customFormat="1">
      <c r="B67" s="2392"/>
      <c r="C67" s="2392"/>
      <c r="D67" s="2392"/>
      <c r="E67" s="2392"/>
      <c r="F67" s="2392"/>
      <c r="G67" s="2393"/>
      <c r="H67" s="2392"/>
      <c r="I67" s="2393"/>
      <c r="J67" s="2392"/>
      <c r="K67" s="2392"/>
      <c r="L67" s="2393"/>
      <c r="M67" s="2392"/>
      <c r="N67" s="2392"/>
      <c r="O67" s="2393"/>
      <c r="P67" s="2392"/>
      <c r="Q67" s="2392"/>
      <c r="R67" s="2394"/>
    </row>
    <row r="68" spans="2:18" s="2366" customFormat="1">
      <c r="B68" s="2392"/>
      <c r="C68" s="2392"/>
      <c r="D68" s="2392"/>
      <c r="E68" s="2392"/>
      <c r="F68" s="2392"/>
      <c r="G68" s="2393"/>
      <c r="H68" s="2392"/>
      <c r="I68" s="2393"/>
      <c r="J68" s="2392"/>
      <c r="K68" s="2392"/>
      <c r="L68" s="2393"/>
      <c r="M68" s="2392"/>
      <c r="N68" s="2392"/>
      <c r="O68" s="2393"/>
      <c r="P68" s="2392"/>
      <c r="Q68" s="2392"/>
      <c r="R68" s="2394"/>
    </row>
    <row r="69" spans="2:18" s="2366" customFormat="1">
      <c r="B69" s="2392"/>
      <c r="C69" s="2392"/>
      <c r="D69" s="2392"/>
      <c r="E69" s="2392"/>
      <c r="F69" s="2392"/>
      <c r="G69" s="2393"/>
      <c r="H69" s="2392"/>
      <c r="I69" s="2393"/>
      <c r="J69" s="2392"/>
      <c r="K69" s="2392"/>
      <c r="L69" s="2393"/>
      <c r="M69" s="2392"/>
      <c r="N69" s="2392"/>
      <c r="O69" s="2393"/>
      <c r="P69" s="2392"/>
      <c r="Q69" s="2392"/>
      <c r="R69" s="2394"/>
    </row>
    <row r="70" spans="2:18" s="2366" customFormat="1">
      <c r="B70" s="2392"/>
      <c r="C70" s="2392"/>
      <c r="D70" s="2392"/>
      <c r="E70" s="2392"/>
      <c r="F70" s="2392"/>
      <c r="G70" s="2393"/>
      <c r="H70" s="2392"/>
      <c r="I70" s="2393"/>
      <c r="J70" s="2392"/>
      <c r="K70" s="2392"/>
      <c r="L70" s="2393"/>
      <c r="M70" s="2392"/>
      <c r="N70" s="2392"/>
      <c r="O70" s="2393"/>
      <c r="P70" s="2392"/>
      <c r="Q70" s="2392"/>
      <c r="R70" s="2394"/>
    </row>
    <row r="71" spans="2:18" s="2366" customFormat="1">
      <c r="B71" s="2392"/>
      <c r="C71" s="2392"/>
      <c r="D71" s="2392"/>
      <c r="E71" s="2392"/>
      <c r="F71" s="2392"/>
      <c r="G71" s="2393"/>
      <c r="H71" s="2392"/>
      <c r="I71" s="2393"/>
      <c r="J71" s="2392"/>
      <c r="K71" s="2392"/>
      <c r="L71" s="2393"/>
      <c r="M71" s="2392"/>
      <c r="N71" s="2392"/>
      <c r="O71" s="2393"/>
      <c r="P71" s="2392"/>
      <c r="Q71" s="2392"/>
      <c r="R71" s="2394"/>
    </row>
    <row r="72" spans="2:18" s="2366" customFormat="1">
      <c r="B72" s="2392"/>
      <c r="C72" s="2392"/>
      <c r="D72" s="2392"/>
      <c r="E72" s="2392"/>
      <c r="F72" s="2392"/>
      <c r="G72" s="2393"/>
      <c r="H72" s="2392"/>
      <c r="I72" s="2393"/>
      <c r="J72" s="2392"/>
      <c r="K72" s="2392"/>
      <c r="L72" s="2393"/>
      <c r="M72" s="2392"/>
      <c r="N72" s="2392"/>
      <c r="O72" s="2393"/>
      <c r="P72" s="2392"/>
      <c r="Q72" s="2392"/>
      <c r="R72" s="2394"/>
    </row>
    <row r="73" spans="2:18" s="2366" customFormat="1">
      <c r="B73" s="2392"/>
      <c r="C73" s="2392"/>
      <c r="D73" s="2392"/>
      <c r="E73" s="2392"/>
      <c r="F73" s="2392"/>
      <c r="G73" s="2393"/>
      <c r="H73" s="2392"/>
      <c r="I73" s="2393"/>
      <c r="J73" s="2392"/>
      <c r="K73" s="2392"/>
      <c r="L73" s="2393"/>
      <c r="M73" s="2392"/>
      <c r="N73" s="2392"/>
      <c r="O73" s="2393"/>
      <c r="P73" s="2392"/>
      <c r="Q73" s="2392"/>
      <c r="R73" s="2394"/>
    </row>
    <row r="74" spans="2:18" s="2366" customFormat="1">
      <c r="B74" s="2392"/>
      <c r="C74" s="2392"/>
      <c r="D74" s="2392"/>
      <c r="E74" s="2392"/>
      <c r="F74" s="2392"/>
      <c r="G74" s="2393"/>
      <c r="H74" s="2392"/>
      <c r="I74" s="2393"/>
      <c r="J74" s="2392"/>
      <c r="K74" s="2392"/>
      <c r="L74" s="2393"/>
      <c r="M74" s="2392"/>
      <c r="N74" s="2392"/>
      <c r="O74" s="2393"/>
      <c r="P74" s="2392"/>
      <c r="Q74" s="2392"/>
      <c r="R74" s="2394"/>
    </row>
    <row r="75" spans="2:18" s="2366" customFormat="1">
      <c r="B75" s="2392"/>
      <c r="C75" s="2392"/>
      <c r="D75" s="2392"/>
      <c r="E75" s="2392"/>
      <c r="F75" s="2392"/>
      <c r="G75" s="2393"/>
      <c r="H75" s="2392"/>
      <c r="I75" s="2393"/>
      <c r="J75" s="2392"/>
      <c r="K75" s="2392"/>
      <c r="L75" s="2393"/>
      <c r="M75" s="2392"/>
      <c r="N75" s="2392"/>
      <c r="O75" s="2393"/>
      <c r="P75" s="2392"/>
      <c r="Q75" s="2392"/>
      <c r="R75" s="2394"/>
    </row>
    <row r="76" spans="2:18" s="2366" customFormat="1">
      <c r="B76" s="2392"/>
      <c r="C76" s="2392"/>
      <c r="D76" s="2392"/>
      <c r="E76" s="2392"/>
      <c r="F76" s="2392"/>
      <c r="G76" s="2393"/>
      <c r="H76" s="2392"/>
      <c r="I76" s="2393"/>
      <c r="J76" s="2392"/>
      <c r="K76" s="2392"/>
      <c r="L76" s="2393"/>
      <c r="M76" s="2392"/>
      <c r="N76" s="2392"/>
      <c r="O76" s="2393"/>
      <c r="P76" s="2392"/>
      <c r="Q76" s="2392"/>
      <c r="R76" s="2394"/>
    </row>
    <row r="77" spans="2:18" s="2366" customFormat="1">
      <c r="B77" s="2392"/>
      <c r="C77" s="2392"/>
      <c r="D77" s="2392"/>
      <c r="E77" s="2392"/>
      <c r="F77" s="2392"/>
      <c r="G77" s="2393"/>
      <c r="H77" s="2392"/>
      <c r="I77" s="2393"/>
      <c r="J77" s="2392"/>
      <c r="K77" s="2392"/>
      <c r="L77" s="2393"/>
      <c r="M77" s="2392"/>
      <c r="N77" s="2392"/>
      <c r="O77" s="2393"/>
      <c r="P77" s="2392"/>
      <c r="Q77" s="2392"/>
      <c r="R77" s="2394"/>
    </row>
    <row r="78" spans="2:18" s="2366" customFormat="1">
      <c r="B78" s="2392"/>
      <c r="C78" s="2392"/>
      <c r="D78" s="2392"/>
      <c r="E78" s="2392"/>
      <c r="F78" s="2392"/>
      <c r="G78" s="2393"/>
      <c r="H78" s="2392"/>
      <c r="I78" s="2393"/>
      <c r="J78" s="2392"/>
      <c r="K78" s="2392"/>
      <c r="L78" s="2393"/>
      <c r="M78" s="2392"/>
      <c r="N78" s="2392"/>
      <c r="O78" s="2393"/>
      <c r="P78" s="2392"/>
      <c r="Q78" s="2392"/>
      <c r="R78" s="2394"/>
    </row>
    <row r="79" spans="2:18" s="2366" customFormat="1">
      <c r="B79" s="2392"/>
      <c r="C79" s="2392"/>
      <c r="D79" s="2392"/>
      <c r="E79" s="2392"/>
      <c r="F79" s="2392"/>
      <c r="G79" s="2393"/>
      <c r="H79" s="2392"/>
      <c r="I79" s="2393"/>
      <c r="J79" s="2392"/>
      <c r="K79" s="2392"/>
      <c r="L79" s="2393"/>
      <c r="M79" s="2392"/>
      <c r="N79" s="2392"/>
      <c r="O79" s="2393"/>
      <c r="P79" s="2392"/>
      <c r="Q79" s="2392"/>
      <c r="R79" s="2394"/>
    </row>
    <row r="80" spans="2:18" s="2366" customFormat="1">
      <c r="B80" s="2392"/>
      <c r="C80" s="2392"/>
      <c r="D80" s="2392"/>
      <c r="E80" s="2392"/>
      <c r="F80" s="2392"/>
      <c r="G80" s="2393"/>
      <c r="H80" s="2392"/>
      <c r="I80" s="2393"/>
      <c r="J80" s="2392"/>
      <c r="K80" s="2392"/>
      <c r="L80" s="2393"/>
      <c r="M80" s="2392"/>
      <c r="N80" s="2392"/>
      <c r="O80" s="2393"/>
      <c r="P80" s="2392"/>
      <c r="Q80" s="2392"/>
      <c r="R80" s="2394"/>
    </row>
    <row r="81" spans="2:18" s="2366" customFormat="1">
      <c r="B81" s="2392"/>
      <c r="C81" s="2392"/>
      <c r="D81" s="2392"/>
      <c r="E81" s="2392"/>
      <c r="F81" s="2392"/>
      <c r="G81" s="2393"/>
      <c r="H81" s="2392"/>
      <c r="I81" s="2393"/>
      <c r="J81" s="2392"/>
      <c r="K81" s="2392"/>
      <c r="L81" s="2393"/>
      <c r="M81" s="2392"/>
      <c r="N81" s="2392"/>
      <c r="O81" s="2393"/>
      <c r="P81" s="2392"/>
      <c r="Q81" s="2392"/>
      <c r="R81" s="2394"/>
    </row>
    <row r="82" spans="2:18" s="2366" customFormat="1">
      <c r="B82" s="2392"/>
      <c r="C82" s="2392"/>
      <c r="D82" s="2392"/>
      <c r="E82" s="2392"/>
      <c r="F82" s="2392"/>
      <c r="G82" s="2393"/>
      <c r="H82" s="2392"/>
      <c r="I82" s="2393"/>
      <c r="J82" s="2392"/>
      <c r="K82" s="2392"/>
      <c r="L82" s="2393"/>
      <c r="M82" s="2392"/>
      <c r="N82" s="2392"/>
      <c r="O82" s="2393"/>
      <c r="P82" s="2392"/>
      <c r="Q82" s="2392"/>
      <c r="R82" s="2394"/>
    </row>
    <row r="83" spans="2:18" s="2366" customFormat="1">
      <c r="B83" s="2392"/>
      <c r="C83" s="2392"/>
      <c r="D83" s="2392"/>
      <c r="E83" s="2392"/>
      <c r="F83" s="2392"/>
      <c r="G83" s="2393"/>
      <c r="H83" s="2392"/>
      <c r="I83" s="2393"/>
      <c r="J83" s="2392"/>
      <c r="K83" s="2392"/>
      <c r="L83" s="2393"/>
      <c r="M83" s="2392"/>
      <c r="N83" s="2392"/>
      <c r="O83" s="2393"/>
      <c r="P83" s="2392"/>
      <c r="Q83" s="2392"/>
      <c r="R83" s="2394"/>
    </row>
    <row r="84" spans="2:18" s="2366" customFormat="1">
      <c r="B84" s="2392"/>
      <c r="C84" s="2392"/>
      <c r="D84" s="2392"/>
      <c r="E84" s="2392"/>
      <c r="F84" s="2392"/>
      <c r="G84" s="2393"/>
      <c r="H84" s="2392"/>
      <c r="I84" s="2393"/>
      <c r="J84" s="2392"/>
      <c r="K84" s="2392"/>
      <c r="L84" s="2393"/>
      <c r="M84" s="2392"/>
      <c r="N84" s="2392"/>
      <c r="O84" s="2393"/>
      <c r="P84" s="2392"/>
      <c r="Q84" s="2392"/>
      <c r="R84" s="2394"/>
    </row>
    <row r="85" spans="2:18" s="2366" customFormat="1">
      <c r="B85" s="2392"/>
      <c r="C85" s="2392"/>
      <c r="D85" s="2392"/>
      <c r="E85" s="2392"/>
      <c r="F85" s="2392"/>
      <c r="G85" s="2393"/>
      <c r="H85" s="2392"/>
      <c r="I85" s="2393"/>
      <c r="J85" s="2392"/>
      <c r="K85" s="2392"/>
      <c r="L85" s="2393"/>
      <c r="M85" s="2392"/>
      <c r="N85" s="2392"/>
      <c r="O85" s="2393"/>
      <c r="P85" s="2392"/>
      <c r="Q85" s="2392"/>
      <c r="R85" s="2394"/>
    </row>
    <row r="86" spans="2:18" s="2366" customFormat="1">
      <c r="B86" s="2392"/>
      <c r="C86" s="2392"/>
      <c r="D86" s="2392"/>
      <c r="E86" s="2392"/>
      <c r="F86" s="2392"/>
      <c r="G86" s="2393"/>
      <c r="H86" s="2392"/>
      <c r="I86" s="2393"/>
      <c r="J86" s="2392"/>
      <c r="K86" s="2392"/>
      <c r="L86" s="2393"/>
      <c r="M86" s="2392"/>
      <c r="N86" s="2392"/>
      <c r="O86" s="2393"/>
      <c r="P86" s="2392"/>
      <c r="Q86" s="2392"/>
      <c r="R86" s="2394"/>
    </row>
    <row r="87" spans="2:18" s="2366" customFormat="1">
      <c r="B87" s="2392"/>
      <c r="C87" s="2392"/>
      <c r="D87" s="2392"/>
      <c r="E87" s="2392"/>
      <c r="F87" s="2392"/>
      <c r="G87" s="2393"/>
      <c r="H87" s="2392"/>
      <c r="I87" s="2393"/>
      <c r="J87" s="2392"/>
      <c r="K87" s="2392"/>
      <c r="L87" s="2393"/>
      <c r="M87" s="2392"/>
      <c r="N87" s="2392"/>
      <c r="O87" s="2393"/>
      <c r="P87" s="2392"/>
      <c r="Q87" s="2392"/>
      <c r="R87" s="2394"/>
    </row>
    <row r="88" spans="2:18" s="2366" customFormat="1">
      <c r="B88" s="2392"/>
      <c r="C88" s="2392"/>
      <c r="D88" s="2392"/>
      <c r="E88" s="2392"/>
      <c r="F88" s="2392"/>
      <c r="G88" s="2393"/>
      <c r="H88" s="2392"/>
      <c r="I88" s="2393"/>
      <c r="J88" s="2392"/>
      <c r="K88" s="2392"/>
      <c r="L88" s="2393"/>
      <c r="M88" s="2392"/>
      <c r="N88" s="2392"/>
      <c r="O88" s="2393"/>
      <c r="P88" s="2392"/>
      <c r="Q88" s="2392"/>
      <c r="R88" s="2394"/>
    </row>
    <row r="89" spans="2:18" s="2366" customFormat="1">
      <c r="B89" s="2392"/>
      <c r="C89" s="2392"/>
      <c r="D89" s="2392"/>
      <c r="E89" s="2392"/>
      <c r="F89" s="2392"/>
      <c r="G89" s="2393"/>
      <c r="H89" s="2392"/>
      <c r="I89" s="2393"/>
      <c r="J89" s="2392"/>
      <c r="K89" s="2392"/>
      <c r="L89" s="2393"/>
      <c r="M89" s="2392"/>
      <c r="N89" s="2392"/>
      <c r="O89" s="2393"/>
      <c r="P89" s="2392"/>
      <c r="Q89" s="2392"/>
      <c r="R89" s="2394"/>
    </row>
    <row r="90" spans="2:18" s="2366" customFormat="1">
      <c r="B90" s="2392"/>
      <c r="C90" s="2392"/>
      <c r="D90" s="2392"/>
      <c r="E90" s="2392"/>
      <c r="F90" s="2392"/>
      <c r="G90" s="2393"/>
      <c r="H90" s="2392"/>
      <c r="I90" s="2393"/>
      <c r="J90" s="2392"/>
      <c r="K90" s="2392"/>
      <c r="L90" s="2393"/>
      <c r="M90" s="2392"/>
      <c r="N90" s="2392"/>
      <c r="O90" s="2393"/>
      <c r="P90" s="2392"/>
      <c r="Q90" s="2392"/>
      <c r="R90" s="2394"/>
    </row>
    <row r="91" spans="2:18" s="2366" customFormat="1">
      <c r="B91" s="2392"/>
      <c r="C91" s="2392"/>
      <c r="D91" s="2392"/>
      <c r="E91" s="2392"/>
      <c r="F91" s="2392"/>
      <c r="G91" s="2393"/>
      <c r="H91" s="2392"/>
      <c r="I91" s="2393"/>
      <c r="J91" s="2392"/>
      <c r="K91" s="2392"/>
      <c r="L91" s="2393"/>
      <c r="M91" s="2392"/>
      <c r="N91" s="2392"/>
      <c r="O91" s="2393"/>
      <c r="P91" s="2392"/>
      <c r="Q91" s="2392"/>
      <c r="R91" s="2394"/>
    </row>
    <row r="92" spans="2:18" s="2366" customFormat="1">
      <c r="B92" s="2392"/>
      <c r="C92" s="2392"/>
      <c r="D92" s="2392"/>
      <c r="E92" s="2392"/>
      <c r="F92" s="2392"/>
      <c r="G92" s="2393"/>
      <c r="H92" s="2392"/>
      <c r="I92" s="2393"/>
      <c r="J92" s="2392"/>
      <c r="K92" s="2392"/>
      <c r="L92" s="2393"/>
      <c r="M92" s="2392"/>
      <c r="N92" s="2392"/>
      <c r="O92" s="2393"/>
      <c r="P92" s="2392"/>
      <c r="Q92" s="2392"/>
      <c r="R92" s="2394"/>
    </row>
    <row r="93" spans="2:18" s="2366" customFormat="1">
      <c r="B93" s="2392"/>
      <c r="C93" s="2392"/>
      <c r="D93" s="2392"/>
      <c r="E93" s="2392"/>
      <c r="F93" s="2392"/>
      <c r="G93" s="2393"/>
      <c r="H93" s="2392"/>
      <c r="I93" s="2393"/>
      <c r="J93" s="2392"/>
      <c r="K93" s="2392"/>
      <c r="L93" s="2393"/>
      <c r="M93" s="2392"/>
      <c r="N93" s="2392"/>
      <c r="O93" s="2393"/>
      <c r="P93" s="2392"/>
      <c r="Q93" s="2392"/>
      <c r="R93" s="2394"/>
    </row>
    <row r="94" spans="2:18" s="2366" customFormat="1">
      <c r="B94" s="2392"/>
      <c r="C94" s="2392"/>
      <c r="D94" s="2392"/>
      <c r="E94" s="2392"/>
      <c r="F94" s="2392"/>
      <c r="G94" s="2393"/>
      <c r="H94" s="2392"/>
      <c r="I94" s="2393"/>
      <c r="J94" s="2392"/>
      <c r="K94" s="2392"/>
      <c r="L94" s="2393"/>
      <c r="M94" s="2392"/>
      <c r="N94" s="2392"/>
      <c r="O94" s="2393"/>
      <c r="P94" s="2392"/>
      <c r="Q94" s="2392"/>
      <c r="R94" s="2394"/>
    </row>
    <row r="95" spans="2:18" s="2366" customFormat="1">
      <c r="B95" s="2392"/>
      <c r="C95" s="2392"/>
      <c r="D95" s="2392"/>
      <c r="E95" s="2392"/>
      <c r="F95" s="2392"/>
      <c r="G95" s="2393"/>
      <c r="H95" s="2392"/>
      <c r="I95" s="2393"/>
      <c r="J95" s="2392"/>
      <c r="K95" s="2392"/>
      <c r="L95" s="2393"/>
      <c r="M95" s="2392"/>
      <c r="N95" s="2392"/>
      <c r="O95" s="2393"/>
      <c r="P95" s="2392"/>
      <c r="Q95" s="2392"/>
      <c r="R95" s="2394"/>
    </row>
    <row r="96" spans="2:18" s="2366" customFormat="1">
      <c r="B96" s="2392"/>
      <c r="C96" s="2392"/>
      <c r="D96" s="2392"/>
      <c r="E96" s="2392"/>
      <c r="F96" s="2392"/>
      <c r="G96" s="2393"/>
      <c r="H96" s="2392"/>
      <c r="I96" s="2393"/>
      <c r="J96" s="2392"/>
      <c r="K96" s="2392"/>
      <c r="L96" s="2393"/>
      <c r="M96" s="2392"/>
      <c r="N96" s="2392"/>
      <c r="O96" s="2393"/>
      <c r="P96" s="2392"/>
      <c r="Q96" s="2392"/>
      <c r="R96" s="2394"/>
    </row>
    <row r="97" spans="2:18" s="2366" customFormat="1">
      <c r="B97" s="2392"/>
      <c r="C97" s="2392"/>
      <c r="D97" s="2392"/>
      <c r="E97" s="2392"/>
      <c r="F97" s="2392"/>
      <c r="G97" s="2393"/>
      <c r="H97" s="2392"/>
      <c r="I97" s="2393"/>
      <c r="J97" s="2392"/>
      <c r="K97" s="2392"/>
      <c r="L97" s="2393"/>
      <c r="M97" s="2392"/>
      <c r="N97" s="2392"/>
      <c r="O97" s="2393"/>
      <c r="P97" s="2392"/>
      <c r="Q97" s="2392"/>
      <c r="R97" s="2394"/>
    </row>
    <row r="98" spans="2:18" s="2366" customFormat="1">
      <c r="B98" s="2392"/>
      <c r="C98" s="2392"/>
      <c r="D98" s="2392"/>
      <c r="E98" s="2392"/>
      <c r="F98" s="2392"/>
      <c r="G98" s="2393"/>
      <c r="H98" s="2392"/>
      <c r="I98" s="2393"/>
      <c r="J98" s="2392"/>
      <c r="K98" s="2392"/>
      <c r="L98" s="2393"/>
      <c r="M98" s="2392"/>
      <c r="N98" s="2392"/>
      <c r="O98" s="2393"/>
      <c r="P98" s="2392"/>
      <c r="Q98" s="2392"/>
      <c r="R98" s="2394"/>
    </row>
    <row r="99" spans="2:18" s="2366" customFormat="1">
      <c r="B99" s="2392"/>
      <c r="C99" s="2392"/>
      <c r="D99" s="2392"/>
      <c r="E99" s="2392"/>
      <c r="F99" s="2392"/>
      <c r="G99" s="2393"/>
      <c r="H99" s="2392"/>
      <c r="I99" s="2393"/>
      <c r="J99" s="2392"/>
      <c r="K99" s="2392"/>
      <c r="L99" s="2393"/>
      <c r="M99" s="2392"/>
      <c r="N99" s="2392"/>
      <c r="O99" s="2393"/>
      <c r="P99" s="2392"/>
      <c r="Q99" s="2392"/>
      <c r="R99" s="2394"/>
    </row>
    <row r="100" spans="2:18" s="2366" customFormat="1">
      <c r="B100" s="2392"/>
      <c r="C100" s="2392"/>
      <c r="D100" s="2392"/>
      <c r="E100" s="2392"/>
      <c r="F100" s="2392"/>
      <c r="G100" s="2393"/>
      <c r="H100" s="2392"/>
      <c r="I100" s="2393"/>
      <c r="J100" s="2392"/>
      <c r="K100" s="2392"/>
      <c r="L100" s="2393"/>
      <c r="M100" s="2392"/>
      <c r="N100" s="2392"/>
      <c r="O100" s="2393"/>
      <c r="P100" s="2392"/>
      <c r="Q100" s="2392"/>
      <c r="R100" s="2394"/>
    </row>
    <row r="101" spans="2:18" s="2366" customFormat="1">
      <c r="B101" s="2392"/>
      <c r="C101" s="2392"/>
      <c r="D101" s="2392"/>
      <c r="E101" s="2392"/>
      <c r="F101" s="2392"/>
      <c r="G101" s="2393"/>
      <c r="H101" s="2392"/>
      <c r="I101" s="2393"/>
      <c r="J101" s="2392"/>
      <c r="K101" s="2392"/>
      <c r="L101" s="2393"/>
      <c r="M101" s="2392"/>
      <c r="N101" s="2392"/>
      <c r="O101" s="2393"/>
      <c r="P101" s="2392"/>
      <c r="Q101" s="2392"/>
      <c r="R101" s="2394"/>
    </row>
    <row r="102" spans="2:18" s="2366" customFormat="1">
      <c r="B102" s="2392"/>
      <c r="C102" s="2392"/>
      <c r="D102" s="2392"/>
      <c r="E102" s="2392"/>
      <c r="F102" s="2392"/>
      <c r="G102" s="2393"/>
      <c r="H102" s="2392"/>
      <c r="I102" s="2393"/>
      <c r="J102" s="2392"/>
      <c r="K102" s="2392"/>
      <c r="L102" s="2393"/>
      <c r="M102" s="2392"/>
      <c r="N102" s="2392"/>
      <c r="O102" s="2393"/>
      <c r="P102" s="2392"/>
      <c r="Q102" s="2392"/>
      <c r="R102" s="2394"/>
    </row>
    <row r="103" spans="2:18" s="2366" customFormat="1">
      <c r="B103" s="2392"/>
      <c r="C103" s="2392"/>
      <c r="D103" s="2392"/>
      <c r="E103" s="2392"/>
      <c r="F103" s="2392"/>
      <c r="G103" s="2393"/>
      <c r="H103" s="2392"/>
      <c r="I103" s="2393"/>
      <c r="J103" s="2392"/>
      <c r="K103" s="2392"/>
      <c r="L103" s="2393"/>
      <c r="M103" s="2392"/>
      <c r="N103" s="2392"/>
      <c r="O103" s="2393"/>
      <c r="P103" s="2392"/>
      <c r="Q103" s="2392"/>
      <c r="R103" s="2394"/>
    </row>
    <row r="104" spans="2:18" s="2366" customFormat="1">
      <c r="B104" s="2392"/>
      <c r="C104" s="2392"/>
      <c r="D104" s="2392"/>
      <c r="E104" s="2392"/>
      <c r="F104" s="2392"/>
      <c r="G104" s="2393"/>
      <c r="H104" s="2392"/>
      <c r="I104" s="2393"/>
      <c r="J104" s="2392"/>
      <c r="K104" s="2392"/>
      <c r="L104" s="2393"/>
      <c r="M104" s="2392"/>
      <c r="N104" s="2392"/>
      <c r="O104" s="2393"/>
      <c r="P104" s="2392"/>
      <c r="Q104" s="2392"/>
      <c r="R104" s="2394"/>
    </row>
    <row r="105" spans="2:18" s="2366" customFormat="1">
      <c r="B105" s="2392"/>
      <c r="C105" s="2392"/>
      <c r="D105" s="2392"/>
      <c r="E105" s="2392"/>
      <c r="F105" s="2392"/>
      <c r="G105" s="2393"/>
      <c r="H105" s="2392"/>
      <c r="I105" s="2393"/>
      <c r="J105" s="2392"/>
      <c r="K105" s="2392"/>
      <c r="L105" s="2393"/>
      <c r="M105" s="2392"/>
      <c r="N105" s="2392"/>
      <c r="O105" s="2393"/>
      <c r="P105" s="2392"/>
      <c r="Q105" s="2392"/>
      <c r="R105" s="2394"/>
    </row>
    <row r="106" spans="2:18" s="2366" customFormat="1">
      <c r="B106" s="2392"/>
      <c r="C106" s="2392"/>
      <c r="D106" s="2392"/>
      <c r="E106" s="2392"/>
      <c r="F106" s="2392"/>
      <c r="G106" s="2393"/>
      <c r="H106" s="2392"/>
      <c r="I106" s="2393"/>
      <c r="J106" s="2392"/>
      <c r="K106" s="2392"/>
      <c r="L106" s="2393"/>
      <c r="M106" s="2392"/>
      <c r="N106" s="2392"/>
      <c r="O106" s="2393"/>
      <c r="P106" s="2392"/>
      <c r="Q106" s="2392"/>
      <c r="R106" s="2394"/>
    </row>
    <row r="107" spans="2:18" s="2366" customFormat="1">
      <c r="B107" s="2392"/>
      <c r="C107" s="2392"/>
      <c r="D107" s="2392"/>
      <c r="E107" s="2392"/>
      <c r="F107" s="2392"/>
      <c r="G107" s="2393"/>
      <c r="H107" s="2392"/>
      <c r="I107" s="2393"/>
      <c r="J107" s="2392"/>
      <c r="K107" s="2392"/>
      <c r="L107" s="2393"/>
      <c r="M107" s="2392"/>
      <c r="N107" s="2392"/>
      <c r="O107" s="2393"/>
      <c r="P107" s="2392"/>
      <c r="Q107" s="2392"/>
      <c r="R107" s="2394"/>
    </row>
    <row r="108" spans="2:18" s="2366" customFormat="1">
      <c r="B108" s="2392"/>
      <c r="C108" s="2392"/>
      <c r="D108" s="2392"/>
      <c r="E108" s="2392"/>
      <c r="F108" s="2392"/>
      <c r="G108" s="2393"/>
      <c r="H108" s="2392"/>
      <c r="I108" s="2393"/>
      <c r="J108" s="2392"/>
      <c r="K108" s="2392"/>
      <c r="L108" s="2393"/>
      <c r="M108" s="2392"/>
      <c r="N108" s="2392"/>
      <c r="O108" s="2393"/>
      <c r="P108" s="2392"/>
      <c r="Q108" s="2392"/>
      <c r="R108" s="2394"/>
    </row>
    <row r="109" spans="2:18" s="2366" customFormat="1">
      <c r="B109" s="2392"/>
      <c r="C109" s="2392"/>
      <c r="D109" s="2392"/>
      <c r="E109" s="2392"/>
      <c r="F109" s="2392"/>
      <c r="G109" s="2393"/>
      <c r="H109" s="2392"/>
      <c r="I109" s="2393"/>
      <c r="J109" s="2392"/>
      <c r="K109" s="2392"/>
      <c r="L109" s="2393"/>
      <c r="M109" s="2392"/>
      <c r="N109" s="2392"/>
      <c r="O109" s="2393"/>
      <c r="P109" s="2392"/>
      <c r="Q109" s="2392"/>
      <c r="R109" s="2394"/>
    </row>
    <row r="110" spans="2:18" s="2366" customFormat="1">
      <c r="B110" s="2392"/>
      <c r="C110" s="2392"/>
      <c r="D110" s="2392"/>
      <c r="E110" s="2392"/>
      <c r="F110" s="2392"/>
      <c r="G110" s="2393"/>
      <c r="H110" s="2392"/>
      <c r="I110" s="2393"/>
      <c r="J110" s="2392"/>
      <c r="K110" s="2392"/>
      <c r="L110" s="2393"/>
      <c r="M110" s="2392"/>
      <c r="N110" s="2392"/>
      <c r="O110" s="2393"/>
      <c r="P110" s="2392"/>
      <c r="Q110" s="2392"/>
      <c r="R110" s="2394"/>
    </row>
    <row r="111" spans="2:18" s="2366" customFormat="1">
      <c r="B111" s="2392"/>
      <c r="C111" s="2392"/>
      <c r="D111" s="2392"/>
      <c r="E111" s="2392"/>
      <c r="F111" s="2392"/>
      <c r="G111" s="2393"/>
      <c r="H111" s="2392"/>
      <c r="I111" s="2393"/>
      <c r="J111" s="2392"/>
      <c r="K111" s="2392"/>
      <c r="L111" s="2393"/>
      <c r="M111" s="2392"/>
      <c r="N111" s="2392"/>
      <c r="O111" s="2393"/>
      <c r="P111" s="2392"/>
      <c r="Q111" s="2392"/>
      <c r="R111" s="2394"/>
    </row>
    <row r="112" spans="2:18" s="2366" customFormat="1">
      <c r="B112" s="2392"/>
      <c r="C112" s="2392"/>
      <c r="D112" s="2392"/>
      <c r="E112" s="2392"/>
      <c r="F112" s="2392"/>
      <c r="G112" s="2393"/>
      <c r="H112" s="2392"/>
      <c r="I112" s="2393"/>
      <c r="J112" s="2392"/>
      <c r="K112" s="2392"/>
      <c r="L112" s="2393"/>
      <c r="M112" s="2392"/>
      <c r="N112" s="2392"/>
      <c r="O112" s="2393"/>
      <c r="P112" s="2392"/>
      <c r="Q112" s="2392"/>
      <c r="R112" s="2394"/>
    </row>
    <row r="113" spans="2:18" s="2366" customFormat="1">
      <c r="B113" s="2392"/>
      <c r="C113" s="2392"/>
      <c r="D113" s="2392"/>
      <c r="E113" s="2392"/>
      <c r="F113" s="2392"/>
      <c r="G113" s="2393"/>
      <c r="H113" s="2392"/>
      <c r="I113" s="2393"/>
      <c r="J113" s="2392"/>
      <c r="K113" s="2392"/>
      <c r="L113" s="2393"/>
      <c r="M113" s="2392"/>
      <c r="N113" s="2392"/>
      <c r="O113" s="2393"/>
      <c r="P113" s="2392"/>
      <c r="Q113" s="2392"/>
      <c r="R113" s="2394"/>
    </row>
    <row r="114" spans="2:18" s="2366" customFormat="1">
      <c r="B114" s="2392"/>
      <c r="C114" s="2392"/>
      <c r="D114" s="2392"/>
      <c r="E114" s="2392"/>
      <c r="F114" s="2392"/>
      <c r="G114" s="2393"/>
      <c r="H114" s="2392"/>
      <c r="I114" s="2393"/>
      <c r="J114" s="2392"/>
      <c r="K114" s="2392"/>
      <c r="L114" s="2393"/>
      <c r="M114" s="2392"/>
      <c r="N114" s="2392"/>
      <c r="O114" s="2393"/>
      <c r="P114" s="2392"/>
      <c r="Q114" s="2392"/>
      <c r="R114" s="2394"/>
    </row>
    <row r="115" spans="2:18" s="2366" customFormat="1">
      <c r="B115" s="2392"/>
      <c r="C115" s="2392"/>
      <c r="D115" s="2392"/>
      <c r="E115" s="2392"/>
      <c r="F115" s="2392"/>
      <c r="G115" s="2393"/>
      <c r="H115" s="2392"/>
      <c r="I115" s="2393"/>
      <c r="J115" s="2392"/>
      <c r="K115" s="2392"/>
      <c r="L115" s="2393"/>
      <c r="M115" s="2392"/>
      <c r="N115" s="2392"/>
      <c r="O115" s="2393"/>
      <c r="P115" s="2392"/>
      <c r="Q115" s="2392"/>
      <c r="R115" s="2394"/>
    </row>
    <row r="116" spans="2:18" s="2366" customFormat="1">
      <c r="B116" s="2392"/>
      <c r="C116" s="2392"/>
      <c r="D116" s="2392"/>
      <c r="E116" s="2392"/>
      <c r="F116" s="2392"/>
      <c r="G116" s="2393"/>
      <c r="H116" s="2392"/>
      <c r="I116" s="2393"/>
      <c r="J116" s="2392"/>
      <c r="K116" s="2392"/>
      <c r="L116" s="2393"/>
      <c r="M116" s="2392"/>
      <c r="N116" s="2392"/>
      <c r="O116" s="2393"/>
      <c r="P116" s="2392"/>
      <c r="Q116" s="2392"/>
      <c r="R116" s="2394"/>
    </row>
    <row r="117" spans="2:18" s="2366" customFormat="1">
      <c r="B117" s="2392"/>
      <c r="C117" s="2392"/>
      <c r="D117" s="2392"/>
      <c r="E117" s="2392"/>
      <c r="F117" s="2392"/>
      <c r="G117" s="2393"/>
      <c r="H117" s="2392"/>
      <c r="I117" s="2393"/>
      <c r="J117" s="2392"/>
      <c r="K117" s="2392"/>
      <c r="L117" s="2393"/>
      <c r="M117" s="2392"/>
      <c r="N117" s="2392"/>
      <c r="O117" s="2393"/>
      <c r="P117" s="2392"/>
      <c r="Q117" s="2392"/>
      <c r="R117" s="2394"/>
    </row>
    <row r="118" spans="2:18" s="2366" customFormat="1">
      <c r="B118" s="2392"/>
      <c r="C118" s="2392"/>
      <c r="D118" s="2392"/>
      <c r="E118" s="2392"/>
      <c r="F118" s="2392"/>
      <c r="G118" s="2393"/>
      <c r="H118" s="2392"/>
      <c r="I118" s="2393"/>
      <c r="J118" s="2392"/>
      <c r="K118" s="2392"/>
      <c r="L118" s="2393"/>
      <c r="M118" s="2392"/>
      <c r="N118" s="2392"/>
      <c r="O118" s="2393"/>
      <c r="P118" s="2392"/>
      <c r="Q118" s="2392"/>
      <c r="R118" s="2394"/>
    </row>
    <row r="119" spans="2:18" s="2366" customFormat="1">
      <c r="B119" s="2392"/>
      <c r="C119" s="2392"/>
      <c r="D119" s="2392"/>
      <c r="E119" s="2392"/>
      <c r="F119" s="2392"/>
      <c r="G119" s="2393"/>
      <c r="H119" s="2392"/>
      <c r="I119" s="2393"/>
      <c r="J119" s="2392"/>
      <c r="K119" s="2392"/>
      <c r="L119" s="2393"/>
      <c r="M119" s="2392"/>
      <c r="N119" s="2392"/>
      <c r="O119" s="2393"/>
      <c r="P119" s="2392"/>
      <c r="Q119" s="2392"/>
      <c r="R119" s="2394"/>
    </row>
    <row r="120" spans="2:18" s="2366" customFormat="1">
      <c r="B120" s="2392"/>
      <c r="C120" s="2392"/>
      <c r="D120" s="2392"/>
      <c r="E120" s="2392"/>
      <c r="F120" s="2392"/>
      <c r="G120" s="2393"/>
      <c r="H120" s="2392"/>
      <c r="I120" s="2393"/>
      <c r="J120" s="2392"/>
      <c r="K120" s="2392"/>
      <c r="L120" s="2393"/>
      <c r="M120" s="2392"/>
      <c r="N120" s="2392"/>
      <c r="O120" s="2393"/>
      <c r="P120" s="2392"/>
      <c r="Q120" s="2392"/>
      <c r="R120" s="2394"/>
    </row>
    <row r="121" spans="2:18" s="2366" customFormat="1">
      <c r="B121" s="2392"/>
      <c r="C121" s="2392"/>
      <c r="D121" s="2392"/>
      <c r="E121" s="2392"/>
      <c r="F121" s="2392"/>
      <c r="G121" s="2393"/>
      <c r="H121" s="2392"/>
      <c r="I121" s="2393"/>
      <c r="J121" s="2392"/>
      <c r="K121" s="2392"/>
      <c r="L121" s="2393"/>
      <c r="M121" s="2392"/>
      <c r="N121" s="2392"/>
      <c r="O121" s="2393"/>
      <c r="P121" s="2392"/>
      <c r="Q121" s="2392"/>
      <c r="R121" s="2394"/>
    </row>
    <row r="122" spans="2:18" s="2366" customFormat="1">
      <c r="B122" s="2392"/>
      <c r="C122" s="2392"/>
      <c r="D122" s="2392"/>
      <c r="E122" s="2392"/>
      <c r="F122" s="2392"/>
      <c r="G122" s="2393"/>
      <c r="H122" s="2392"/>
      <c r="I122" s="2393"/>
      <c r="J122" s="2392"/>
      <c r="K122" s="2392"/>
      <c r="L122" s="2393"/>
      <c r="M122" s="2392"/>
      <c r="N122" s="2392"/>
      <c r="O122" s="2393"/>
      <c r="P122" s="2392"/>
      <c r="Q122" s="2392"/>
      <c r="R122" s="2394"/>
    </row>
    <row r="123" spans="2:18" s="2366" customFormat="1">
      <c r="B123" s="2392"/>
      <c r="C123" s="2392"/>
      <c r="D123" s="2392"/>
      <c r="E123" s="2392"/>
      <c r="F123" s="2392"/>
      <c r="G123" s="2393"/>
      <c r="H123" s="2392"/>
      <c r="I123" s="2393"/>
      <c r="J123" s="2392"/>
      <c r="K123" s="2392"/>
      <c r="L123" s="2393"/>
      <c r="M123" s="2392"/>
      <c r="N123" s="2392"/>
      <c r="O123" s="2393"/>
      <c r="P123" s="2392"/>
      <c r="Q123" s="2392"/>
      <c r="R123" s="2394"/>
    </row>
    <row r="124" spans="2:18" s="2366" customFormat="1">
      <c r="B124" s="2392"/>
      <c r="C124" s="2392"/>
      <c r="D124" s="2392"/>
      <c r="E124" s="2392"/>
      <c r="F124" s="2392"/>
      <c r="G124" s="2393"/>
      <c r="H124" s="2392"/>
      <c r="I124" s="2393"/>
      <c r="J124" s="2392"/>
      <c r="K124" s="2392"/>
      <c r="L124" s="2393"/>
      <c r="M124" s="2392"/>
      <c r="N124" s="2392"/>
      <c r="O124" s="2393"/>
      <c r="P124" s="2392"/>
      <c r="Q124" s="2392"/>
      <c r="R124" s="2394"/>
    </row>
    <row r="125" spans="2:18" s="2366" customFormat="1">
      <c r="B125" s="2392"/>
      <c r="C125" s="2392"/>
      <c r="D125" s="2392"/>
      <c r="E125" s="2392"/>
      <c r="F125" s="2392"/>
      <c r="G125" s="2393"/>
      <c r="H125" s="2392"/>
      <c r="I125" s="2393"/>
      <c r="J125" s="2392"/>
      <c r="K125" s="2392"/>
      <c r="L125" s="2393"/>
      <c r="M125" s="2392"/>
      <c r="N125" s="2392"/>
      <c r="O125" s="2393"/>
      <c r="P125" s="2392"/>
      <c r="Q125" s="2392"/>
      <c r="R125" s="2394"/>
    </row>
    <row r="126" spans="2:18" s="2366" customFormat="1">
      <c r="B126" s="2392"/>
      <c r="C126" s="2392"/>
      <c r="D126" s="2392"/>
      <c r="E126" s="2392"/>
      <c r="F126" s="2392"/>
      <c r="G126" s="2393"/>
      <c r="H126" s="2392"/>
      <c r="I126" s="2393"/>
      <c r="J126" s="2392"/>
      <c r="K126" s="2392"/>
      <c r="L126" s="2393"/>
      <c r="M126" s="2392"/>
      <c r="N126" s="2392"/>
      <c r="O126" s="2393"/>
      <c r="P126" s="2392"/>
      <c r="Q126" s="2392"/>
      <c r="R126" s="2394"/>
    </row>
    <row r="127" spans="2:18" s="2366" customFormat="1">
      <c r="B127" s="2392"/>
      <c r="C127" s="2392"/>
      <c r="D127" s="2392"/>
      <c r="E127" s="2392"/>
      <c r="F127" s="2392"/>
      <c r="G127" s="2393"/>
      <c r="H127" s="2392"/>
      <c r="I127" s="2393"/>
      <c r="J127" s="2392"/>
      <c r="K127" s="2392"/>
      <c r="L127" s="2393"/>
      <c r="M127" s="2392"/>
      <c r="N127" s="2392"/>
      <c r="O127" s="2393"/>
      <c r="P127" s="2392"/>
      <c r="Q127" s="2392"/>
      <c r="R127" s="2394"/>
    </row>
    <row r="128" spans="2:18" s="2366" customFormat="1">
      <c r="B128" s="2392"/>
      <c r="C128" s="2392"/>
      <c r="D128" s="2392"/>
      <c r="E128" s="2392"/>
      <c r="F128" s="2392"/>
      <c r="G128" s="2393"/>
      <c r="H128" s="2392"/>
      <c r="I128" s="2393"/>
      <c r="J128" s="2392"/>
      <c r="K128" s="2392"/>
      <c r="L128" s="2393"/>
      <c r="M128" s="2392"/>
      <c r="N128" s="2392"/>
      <c r="O128" s="2393"/>
      <c r="P128" s="2392"/>
      <c r="Q128" s="2392"/>
      <c r="R128" s="2394"/>
    </row>
    <row r="129" spans="2:18" s="2366" customFormat="1">
      <c r="B129" s="2392"/>
      <c r="C129" s="2392"/>
      <c r="D129" s="2392"/>
      <c r="E129" s="2392"/>
      <c r="F129" s="2392"/>
      <c r="G129" s="2393"/>
      <c r="H129" s="2392"/>
      <c r="I129" s="2393"/>
      <c r="J129" s="2392"/>
      <c r="K129" s="2392"/>
      <c r="L129" s="2393"/>
      <c r="M129" s="2392"/>
      <c r="N129" s="2392"/>
      <c r="O129" s="2393"/>
      <c r="P129" s="2392"/>
      <c r="Q129" s="2392"/>
      <c r="R129" s="2394"/>
    </row>
    <row r="130" spans="2:18" s="2366" customFormat="1">
      <c r="B130" s="2392"/>
      <c r="C130" s="2392"/>
      <c r="D130" s="2392"/>
      <c r="E130" s="2392"/>
      <c r="F130" s="2392"/>
      <c r="G130" s="2393"/>
      <c r="H130" s="2392"/>
      <c r="I130" s="2393"/>
      <c r="J130" s="2392"/>
      <c r="K130" s="2392"/>
      <c r="L130" s="2393"/>
      <c r="M130" s="2392"/>
      <c r="N130" s="2392"/>
      <c r="O130" s="2393"/>
      <c r="P130" s="2392"/>
      <c r="Q130" s="2392"/>
      <c r="R130" s="2394"/>
    </row>
    <row r="131" spans="2:18" s="2366" customFormat="1">
      <c r="B131" s="2392"/>
      <c r="C131" s="2392"/>
      <c r="D131" s="2392"/>
      <c r="E131" s="2392"/>
      <c r="F131" s="2392"/>
      <c r="G131" s="2393"/>
      <c r="H131" s="2392"/>
      <c r="I131" s="2393"/>
      <c r="J131" s="2392"/>
      <c r="K131" s="2392"/>
      <c r="L131" s="2393"/>
      <c r="M131" s="2392"/>
      <c r="N131" s="2392"/>
      <c r="O131" s="2393"/>
      <c r="P131" s="2392"/>
      <c r="Q131" s="2392"/>
      <c r="R131" s="2394"/>
    </row>
    <row r="132" spans="2:18" s="2366" customFormat="1">
      <c r="B132" s="2392"/>
      <c r="C132" s="2392"/>
      <c r="D132" s="2392"/>
      <c r="E132" s="2392"/>
      <c r="F132" s="2392"/>
      <c r="G132" s="2393"/>
      <c r="H132" s="2392"/>
      <c r="I132" s="2393"/>
      <c r="J132" s="2392"/>
      <c r="K132" s="2392"/>
      <c r="L132" s="2393"/>
      <c r="M132" s="2392"/>
      <c r="N132" s="2392"/>
      <c r="O132" s="2393"/>
      <c r="P132" s="2392"/>
      <c r="Q132" s="2392"/>
      <c r="R132" s="2394"/>
    </row>
    <row r="133" spans="2:18" s="2366" customFormat="1">
      <c r="B133" s="2392"/>
      <c r="C133" s="2392"/>
      <c r="D133" s="2392"/>
      <c r="E133" s="2392"/>
      <c r="F133" s="2392"/>
      <c r="G133" s="2393"/>
      <c r="H133" s="2392"/>
      <c r="I133" s="2393"/>
      <c r="J133" s="2392"/>
      <c r="K133" s="2392"/>
      <c r="L133" s="2393"/>
      <c r="M133" s="2392"/>
      <c r="N133" s="2392"/>
      <c r="O133" s="2393"/>
      <c r="P133" s="2392"/>
      <c r="Q133" s="2392"/>
      <c r="R133" s="2394"/>
    </row>
    <row r="134" spans="2:18" s="2366" customFormat="1">
      <c r="B134" s="2392"/>
      <c r="C134" s="2392"/>
      <c r="D134" s="2392"/>
      <c r="E134" s="2392"/>
      <c r="F134" s="2392"/>
      <c r="G134" s="2393"/>
      <c r="H134" s="2392"/>
      <c r="I134" s="2393"/>
      <c r="J134" s="2392"/>
      <c r="K134" s="2392"/>
      <c r="L134" s="2393"/>
      <c r="M134" s="2392"/>
      <c r="N134" s="2392"/>
      <c r="O134" s="2393"/>
      <c r="P134" s="2392"/>
      <c r="Q134" s="2392"/>
      <c r="R134" s="2394"/>
    </row>
    <row r="135" spans="2:18" s="2366" customFormat="1">
      <c r="B135" s="2392"/>
      <c r="C135" s="2392"/>
      <c r="D135" s="2392"/>
      <c r="E135" s="2392"/>
      <c r="F135" s="2392"/>
      <c r="G135" s="2393"/>
      <c r="H135" s="2392"/>
      <c r="I135" s="2393"/>
      <c r="J135" s="2392"/>
      <c r="K135" s="2392"/>
      <c r="L135" s="2393"/>
      <c r="M135" s="2392"/>
      <c r="N135" s="2392"/>
      <c r="O135" s="2393"/>
      <c r="P135" s="2392"/>
      <c r="Q135" s="2392"/>
      <c r="R135" s="2394"/>
    </row>
    <row r="136" spans="2:18" s="2366" customFormat="1">
      <c r="B136" s="2392"/>
      <c r="C136" s="2392"/>
      <c r="D136" s="2392"/>
      <c r="E136" s="2392"/>
      <c r="F136" s="2392"/>
      <c r="G136" s="2393"/>
      <c r="H136" s="2392"/>
      <c r="I136" s="2393"/>
      <c r="J136" s="2392"/>
      <c r="K136" s="2392"/>
      <c r="L136" s="2393"/>
      <c r="M136" s="2392"/>
      <c r="N136" s="2392"/>
      <c r="O136" s="2393"/>
      <c r="P136" s="2392"/>
      <c r="Q136" s="2392"/>
      <c r="R136" s="2394"/>
    </row>
    <row r="137" spans="2:18" s="2366" customFormat="1">
      <c r="B137" s="2392"/>
      <c r="C137" s="2392"/>
      <c r="D137" s="2392"/>
      <c r="E137" s="2392"/>
      <c r="F137" s="2392"/>
      <c r="G137" s="2393"/>
      <c r="H137" s="2392"/>
      <c r="I137" s="2393"/>
      <c r="J137" s="2392"/>
      <c r="K137" s="2392"/>
      <c r="L137" s="2393"/>
      <c r="M137" s="2392"/>
      <c r="N137" s="2392"/>
      <c r="O137" s="2393"/>
      <c r="P137" s="2392"/>
      <c r="Q137" s="2392"/>
      <c r="R137" s="2394"/>
    </row>
    <row r="138" spans="2:18" s="2366" customFormat="1">
      <c r="B138" s="2392"/>
      <c r="C138" s="2392"/>
      <c r="D138" s="2392"/>
      <c r="E138" s="2392"/>
      <c r="F138" s="2392"/>
      <c r="G138" s="2393"/>
      <c r="H138" s="2392"/>
      <c r="I138" s="2393"/>
      <c r="J138" s="2392"/>
      <c r="K138" s="2392"/>
      <c r="L138" s="2393"/>
      <c r="M138" s="2392"/>
      <c r="N138" s="2392"/>
      <c r="O138" s="2393"/>
      <c r="P138" s="2392"/>
      <c r="Q138" s="2392"/>
      <c r="R138" s="2394"/>
    </row>
    <row r="139" spans="2:18" s="2366" customFormat="1">
      <c r="B139" s="2392"/>
      <c r="C139" s="2392"/>
      <c r="D139" s="2392"/>
      <c r="E139" s="2392"/>
      <c r="F139" s="2392"/>
      <c r="G139" s="2393"/>
      <c r="H139" s="2392"/>
      <c r="I139" s="2393"/>
      <c r="J139" s="2392"/>
      <c r="K139" s="2392"/>
      <c r="L139" s="2393"/>
      <c r="M139" s="2392"/>
      <c r="N139" s="2392"/>
      <c r="O139" s="2393"/>
      <c r="P139" s="2392"/>
      <c r="Q139" s="2392"/>
      <c r="R139" s="2394"/>
    </row>
    <row r="140" spans="2:18" s="2366" customFormat="1">
      <c r="B140" s="2392"/>
      <c r="C140" s="2392"/>
      <c r="D140" s="2392"/>
      <c r="E140" s="2392"/>
      <c r="F140" s="2392"/>
      <c r="G140" s="2393"/>
      <c r="H140" s="2392"/>
      <c r="I140" s="2393"/>
      <c r="J140" s="2392"/>
      <c r="K140" s="2392"/>
      <c r="L140" s="2393"/>
      <c r="M140" s="2392"/>
      <c r="N140" s="2392"/>
      <c r="O140" s="2393"/>
      <c r="P140" s="2392"/>
      <c r="Q140" s="2392"/>
      <c r="R140" s="2394"/>
    </row>
    <row r="141" spans="2:18" s="2366" customFormat="1">
      <c r="B141" s="2392"/>
      <c r="C141" s="2392"/>
      <c r="D141" s="2392"/>
      <c r="E141" s="2392"/>
      <c r="F141" s="2392"/>
      <c r="G141" s="2393"/>
      <c r="H141" s="2392"/>
      <c r="I141" s="2393"/>
      <c r="J141" s="2392"/>
      <c r="K141" s="2392"/>
      <c r="L141" s="2393"/>
      <c r="M141" s="2392"/>
      <c r="N141" s="2392"/>
      <c r="O141" s="2393"/>
      <c r="P141" s="2392"/>
      <c r="Q141" s="2392"/>
      <c r="R141" s="2394"/>
    </row>
    <row r="142" spans="2:18" s="2366" customFormat="1">
      <c r="B142" s="2392"/>
      <c r="C142" s="2392"/>
      <c r="D142" s="2392"/>
      <c r="E142" s="2392"/>
      <c r="F142" s="2392"/>
      <c r="G142" s="2393"/>
      <c r="H142" s="2392"/>
      <c r="I142" s="2393"/>
      <c r="J142" s="2392"/>
      <c r="K142" s="2392"/>
      <c r="L142" s="2393"/>
      <c r="M142" s="2392"/>
      <c r="N142" s="2392"/>
      <c r="O142" s="2393"/>
      <c r="P142" s="2392"/>
      <c r="Q142" s="2392"/>
      <c r="R142" s="2394"/>
    </row>
    <row r="143" spans="2:18" s="2366" customFormat="1">
      <c r="B143" s="2392"/>
      <c r="C143" s="2392"/>
      <c r="D143" s="2392"/>
      <c r="E143" s="2392"/>
      <c r="F143" s="2392"/>
      <c r="G143" s="2393"/>
      <c r="H143" s="2392"/>
      <c r="I143" s="2393"/>
      <c r="J143" s="2392"/>
      <c r="K143" s="2392"/>
      <c r="L143" s="2393"/>
      <c r="M143" s="2392"/>
      <c r="N143" s="2392"/>
      <c r="O143" s="2393"/>
      <c r="P143" s="2392"/>
      <c r="Q143" s="2392"/>
      <c r="R143" s="2394"/>
    </row>
    <row r="144" spans="2:18" s="2366" customFormat="1">
      <c r="B144" s="2392"/>
      <c r="C144" s="2392"/>
      <c r="D144" s="2392"/>
      <c r="E144" s="2392"/>
      <c r="F144" s="2392"/>
      <c r="G144" s="2393"/>
      <c r="H144" s="2392"/>
      <c r="I144" s="2393"/>
      <c r="J144" s="2392"/>
      <c r="K144" s="2392"/>
      <c r="L144" s="2393"/>
      <c r="M144" s="2392"/>
      <c r="N144" s="2392"/>
      <c r="O144" s="2393"/>
      <c r="P144" s="2392"/>
      <c r="Q144" s="2392"/>
      <c r="R144" s="2394"/>
    </row>
    <row r="145" spans="2:18" s="2366" customFormat="1">
      <c r="B145" s="2392"/>
      <c r="C145" s="2392"/>
      <c r="D145" s="2392"/>
      <c r="E145" s="2392"/>
      <c r="F145" s="2392"/>
      <c r="G145" s="2393"/>
      <c r="H145" s="2392"/>
      <c r="I145" s="2393"/>
      <c r="J145" s="2392"/>
      <c r="K145" s="2392"/>
      <c r="L145" s="2393"/>
      <c r="M145" s="2392"/>
      <c r="N145" s="2392"/>
      <c r="O145" s="2393"/>
      <c r="P145" s="2392"/>
      <c r="Q145" s="2392"/>
      <c r="R145" s="2394"/>
    </row>
    <row r="146" spans="2:18" s="2366" customFormat="1">
      <c r="B146" s="2392"/>
      <c r="C146" s="2392"/>
      <c r="D146" s="2392"/>
      <c r="E146" s="2392"/>
      <c r="F146" s="2392"/>
      <c r="G146" s="2393"/>
      <c r="H146" s="2392"/>
      <c r="I146" s="2393"/>
      <c r="J146" s="2392"/>
      <c r="K146" s="2392"/>
      <c r="L146" s="2393"/>
      <c r="M146" s="2392"/>
      <c r="N146" s="2392"/>
      <c r="O146" s="2393"/>
      <c r="P146" s="2392"/>
      <c r="Q146" s="2392"/>
      <c r="R146" s="2394"/>
    </row>
    <row r="147" spans="2:18" s="2366" customFormat="1">
      <c r="B147" s="2392"/>
      <c r="C147" s="2392"/>
      <c r="D147" s="2392"/>
      <c r="E147" s="2392"/>
      <c r="F147" s="2392"/>
      <c r="G147" s="2393"/>
      <c r="H147" s="2392"/>
      <c r="I147" s="2393"/>
      <c r="J147" s="2392"/>
      <c r="K147" s="2392"/>
      <c r="L147" s="2393"/>
      <c r="M147" s="2392"/>
      <c r="N147" s="2392"/>
      <c r="O147" s="2393"/>
      <c r="P147" s="2392"/>
      <c r="Q147" s="2392"/>
      <c r="R147" s="2394"/>
    </row>
    <row r="148" spans="2:18" s="2366" customFormat="1">
      <c r="B148" s="2392"/>
      <c r="C148" s="2392"/>
      <c r="D148" s="2392"/>
      <c r="E148" s="2392"/>
      <c r="F148" s="2392"/>
      <c r="G148" s="2393"/>
      <c r="H148" s="2392"/>
      <c r="I148" s="2393"/>
      <c r="J148" s="2392"/>
      <c r="K148" s="2392"/>
      <c r="L148" s="2393"/>
      <c r="M148" s="2392"/>
      <c r="N148" s="2392"/>
      <c r="O148" s="2393"/>
      <c r="P148" s="2392"/>
      <c r="Q148" s="2392"/>
      <c r="R148" s="2394"/>
    </row>
    <row r="149" spans="2:18" s="2366" customFormat="1">
      <c r="B149" s="2392"/>
      <c r="C149" s="2392"/>
      <c r="D149" s="2392"/>
      <c r="E149" s="2392"/>
      <c r="F149" s="2392"/>
      <c r="G149" s="2393"/>
      <c r="H149" s="2392"/>
      <c r="I149" s="2393"/>
      <c r="J149" s="2392"/>
      <c r="K149" s="2392"/>
      <c r="L149" s="2393"/>
      <c r="M149" s="2392"/>
      <c r="N149" s="2392"/>
      <c r="O149" s="2393"/>
      <c r="P149" s="2392"/>
      <c r="Q149" s="2392"/>
      <c r="R149" s="2394"/>
    </row>
    <row r="150" spans="2:18" s="2366" customFormat="1">
      <c r="B150" s="2392"/>
      <c r="C150" s="2392"/>
      <c r="D150" s="2392"/>
      <c r="E150" s="2392"/>
      <c r="F150" s="2392"/>
      <c r="G150" s="2393"/>
      <c r="H150" s="2392"/>
      <c r="I150" s="2393"/>
      <c r="J150" s="2392"/>
      <c r="K150" s="2392"/>
      <c r="L150" s="2393"/>
      <c r="M150" s="2392"/>
      <c r="N150" s="2392"/>
      <c r="O150" s="2393"/>
      <c r="P150" s="2392"/>
      <c r="Q150" s="2392"/>
      <c r="R150" s="2394"/>
    </row>
    <row r="151" spans="2:18" s="2366" customFormat="1">
      <c r="B151" s="2392"/>
      <c r="C151" s="2392"/>
      <c r="D151" s="2392"/>
      <c r="E151" s="2392"/>
      <c r="F151" s="2392"/>
      <c r="G151" s="2393"/>
      <c r="H151" s="2392"/>
      <c r="I151" s="2393"/>
      <c r="J151" s="2392"/>
      <c r="K151" s="2392"/>
      <c r="L151" s="2393"/>
      <c r="M151" s="2392"/>
      <c r="N151" s="2392"/>
      <c r="O151" s="2393"/>
      <c r="P151" s="2392"/>
      <c r="Q151" s="2392"/>
      <c r="R151" s="2394"/>
    </row>
    <row r="152" spans="2:18" s="2366" customFormat="1">
      <c r="B152" s="2392"/>
      <c r="C152" s="2392"/>
      <c r="D152" s="2392"/>
      <c r="E152" s="2392"/>
      <c r="F152" s="2392"/>
      <c r="G152" s="2393"/>
      <c r="H152" s="2392"/>
      <c r="I152" s="2393"/>
      <c r="J152" s="2392"/>
      <c r="K152" s="2392"/>
      <c r="L152" s="2393"/>
      <c r="M152" s="2392"/>
      <c r="N152" s="2392"/>
      <c r="O152" s="2393"/>
      <c r="P152" s="2392"/>
      <c r="Q152" s="2392"/>
      <c r="R152" s="2394"/>
    </row>
    <row r="153" spans="2:18" s="2366" customFormat="1">
      <c r="B153" s="2392"/>
      <c r="C153" s="2392"/>
      <c r="D153" s="2392"/>
      <c r="E153" s="2392"/>
      <c r="F153" s="2392"/>
      <c r="G153" s="2393"/>
      <c r="H153" s="2392"/>
      <c r="I153" s="2393"/>
      <c r="J153" s="2392"/>
      <c r="K153" s="2392"/>
      <c r="L153" s="2393"/>
      <c r="M153" s="2392"/>
      <c r="N153" s="2392"/>
      <c r="O153" s="2393"/>
      <c r="P153" s="2392"/>
      <c r="Q153" s="2392"/>
      <c r="R153" s="2394"/>
    </row>
    <row r="154" spans="2:18" s="2366" customFormat="1">
      <c r="B154" s="2392"/>
      <c r="C154" s="2392"/>
      <c r="D154" s="2392"/>
      <c r="E154" s="2392"/>
      <c r="F154" s="2392"/>
      <c r="G154" s="2393"/>
      <c r="H154" s="2392"/>
      <c r="I154" s="2393"/>
      <c r="J154" s="2392"/>
      <c r="K154" s="2392"/>
      <c r="L154" s="2393"/>
      <c r="M154" s="2392"/>
      <c r="N154" s="2392"/>
      <c r="O154" s="2393"/>
      <c r="P154" s="2392"/>
      <c r="Q154" s="2392"/>
      <c r="R154" s="2394"/>
    </row>
    <row r="155" spans="2:18" s="2366" customFormat="1">
      <c r="B155" s="2392"/>
      <c r="C155" s="2392"/>
      <c r="D155" s="2392"/>
      <c r="E155" s="2392"/>
      <c r="F155" s="2392"/>
      <c r="G155" s="2393"/>
      <c r="H155" s="2392"/>
      <c r="I155" s="2393"/>
      <c r="J155" s="2392"/>
      <c r="K155" s="2392"/>
      <c r="L155" s="2393"/>
      <c r="M155" s="2392"/>
      <c r="N155" s="2392"/>
      <c r="O155" s="2393"/>
      <c r="P155" s="2392"/>
      <c r="Q155" s="2392"/>
      <c r="R155" s="2394"/>
    </row>
    <row r="156" spans="2:18" s="2366" customFormat="1">
      <c r="B156" s="2392"/>
      <c r="C156" s="2392"/>
      <c r="D156" s="2392"/>
      <c r="E156" s="2392"/>
      <c r="F156" s="2392"/>
      <c r="G156" s="2393"/>
      <c r="H156" s="2392"/>
      <c r="I156" s="2393"/>
      <c r="J156" s="2392"/>
      <c r="K156" s="2392"/>
      <c r="L156" s="2393"/>
      <c r="M156" s="2392"/>
      <c r="N156" s="2392"/>
      <c r="O156" s="2393"/>
      <c r="P156" s="2392"/>
      <c r="Q156" s="2392"/>
      <c r="R156" s="2394"/>
    </row>
    <row r="157" spans="2:18" s="2366" customFormat="1">
      <c r="B157" s="2392"/>
      <c r="C157" s="2392"/>
      <c r="D157" s="2392"/>
      <c r="E157" s="2392"/>
      <c r="F157" s="2392"/>
      <c r="G157" s="2393"/>
      <c r="H157" s="2392"/>
      <c r="I157" s="2393"/>
      <c r="J157" s="2392"/>
      <c r="K157" s="2392"/>
      <c r="L157" s="2393"/>
      <c r="M157" s="2392"/>
      <c r="N157" s="2392"/>
      <c r="O157" s="2393"/>
      <c r="P157" s="2392"/>
      <c r="Q157" s="2392"/>
      <c r="R157" s="2394"/>
    </row>
    <row r="158" spans="2:18" s="2366" customFormat="1">
      <c r="B158" s="2392"/>
      <c r="C158" s="2392"/>
      <c r="D158" s="2392"/>
      <c r="E158" s="2392"/>
      <c r="F158" s="2392"/>
      <c r="G158" s="2393"/>
      <c r="H158" s="2392"/>
      <c r="I158" s="2393"/>
      <c r="J158" s="2392"/>
      <c r="K158" s="2392"/>
      <c r="L158" s="2393"/>
      <c r="M158" s="2392"/>
      <c r="N158" s="2392"/>
      <c r="O158" s="2393"/>
      <c r="P158" s="2392"/>
      <c r="Q158" s="2392"/>
      <c r="R158" s="2394"/>
    </row>
    <row r="159" spans="2:18" s="2366" customFormat="1">
      <c r="B159" s="2392"/>
      <c r="C159" s="2392"/>
      <c r="D159" s="2392"/>
      <c r="E159" s="2392"/>
      <c r="F159" s="2392"/>
      <c r="G159" s="2393"/>
      <c r="H159" s="2392"/>
      <c r="I159" s="2393"/>
      <c r="J159" s="2392"/>
      <c r="K159" s="2392"/>
      <c r="L159" s="2393"/>
      <c r="M159" s="2392"/>
      <c r="N159" s="2392"/>
      <c r="O159" s="2393"/>
      <c r="P159" s="2392"/>
      <c r="Q159" s="2392"/>
      <c r="R159" s="2394"/>
    </row>
    <row r="160" spans="2:18" s="2366" customFormat="1">
      <c r="B160" s="2392"/>
      <c r="C160" s="2392"/>
      <c r="D160" s="2392"/>
      <c r="E160" s="2392"/>
      <c r="F160" s="2392"/>
      <c r="G160" s="2393"/>
      <c r="H160" s="2392"/>
      <c r="I160" s="2393"/>
      <c r="J160" s="2392"/>
      <c r="K160" s="2392"/>
      <c r="L160" s="2393"/>
      <c r="M160" s="2392"/>
      <c r="N160" s="2392"/>
      <c r="O160" s="2393"/>
      <c r="P160" s="2392"/>
      <c r="Q160" s="2392"/>
      <c r="R160" s="2394"/>
    </row>
    <row r="161" spans="2:18" s="2366" customFormat="1">
      <c r="B161" s="2392"/>
      <c r="C161" s="2392"/>
      <c r="D161" s="2392"/>
      <c r="E161" s="2392"/>
      <c r="F161" s="2392"/>
      <c r="G161" s="2393"/>
      <c r="H161" s="2392"/>
      <c r="I161" s="2393"/>
      <c r="J161" s="2392"/>
      <c r="K161" s="2392"/>
      <c r="L161" s="2393"/>
      <c r="M161" s="2392"/>
      <c r="N161" s="2392"/>
      <c r="O161" s="2393"/>
      <c r="P161" s="2392"/>
      <c r="Q161" s="2392"/>
      <c r="R161" s="2394"/>
    </row>
    <row r="162" spans="2:18" s="2366" customFormat="1">
      <c r="B162" s="2392"/>
      <c r="C162" s="2392"/>
      <c r="D162" s="2392"/>
      <c r="E162" s="2392"/>
      <c r="F162" s="2392"/>
      <c r="G162" s="2393"/>
      <c r="H162" s="2392"/>
      <c r="I162" s="2393"/>
      <c r="J162" s="2392"/>
      <c r="K162" s="2392"/>
      <c r="L162" s="2393"/>
      <c r="M162" s="2392"/>
      <c r="N162" s="2392"/>
      <c r="O162" s="2393"/>
      <c r="P162" s="2392"/>
      <c r="Q162" s="2392"/>
      <c r="R162" s="2394"/>
    </row>
    <row r="163" spans="2:18" s="2366" customFormat="1">
      <c r="B163" s="2392"/>
      <c r="C163" s="2392"/>
      <c r="D163" s="2392"/>
      <c r="E163" s="2392"/>
      <c r="F163" s="2392"/>
      <c r="G163" s="2393"/>
      <c r="H163" s="2392"/>
      <c r="I163" s="2393"/>
      <c r="J163" s="2392"/>
      <c r="K163" s="2392"/>
      <c r="L163" s="2393"/>
      <c r="M163" s="2392"/>
      <c r="N163" s="2392"/>
      <c r="O163" s="2393"/>
      <c r="P163" s="2392"/>
      <c r="Q163" s="2392"/>
      <c r="R163" s="2394"/>
    </row>
    <row r="164" spans="2:18" s="2366" customFormat="1">
      <c r="B164" s="2392"/>
      <c r="C164" s="2392"/>
      <c r="D164" s="2392"/>
      <c r="E164" s="2392"/>
      <c r="F164" s="2392"/>
      <c r="G164" s="2393"/>
      <c r="H164" s="2392"/>
      <c r="I164" s="2393"/>
      <c r="J164" s="2392"/>
      <c r="K164" s="2392"/>
      <c r="L164" s="2393"/>
      <c r="M164" s="2392"/>
      <c r="N164" s="2392"/>
      <c r="O164" s="2393"/>
      <c r="P164" s="2392"/>
      <c r="Q164" s="2392"/>
      <c r="R164" s="2394"/>
    </row>
    <row r="165" spans="2:18" s="2366" customFormat="1">
      <c r="B165" s="2392"/>
      <c r="C165" s="2392"/>
      <c r="D165" s="2392"/>
      <c r="E165" s="2392"/>
      <c r="F165" s="2392"/>
      <c r="G165" s="2393"/>
      <c r="H165" s="2392"/>
      <c r="I165" s="2393"/>
      <c r="J165" s="2392"/>
      <c r="K165" s="2392"/>
      <c r="L165" s="2393"/>
      <c r="M165" s="2392"/>
      <c r="N165" s="2392"/>
      <c r="O165" s="2393"/>
      <c r="P165" s="2392"/>
      <c r="Q165" s="2392"/>
      <c r="R165" s="2394"/>
    </row>
    <row r="166" spans="2:18" s="2366" customFormat="1">
      <c r="B166" s="2392"/>
      <c r="C166" s="2392"/>
      <c r="D166" s="2392"/>
      <c r="E166" s="2392"/>
      <c r="F166" s="2392"/>
      <c r="G166" s="2393"/>
      <c r="H166" s="2392"/>
      <c r="I166" s="2393"/>
      <c r="J166" s="2392"/>
      <c r="K166" s="2392"/>
      <c r="L166" s="2393"/>
      <c r="M166" s="2392"/>
      <c r="N166" s="2392"/>
      <c r="O166" s="2393"/>
      <c r="P166" s="2392"/>
      <c r="Q166" s="2392"/>
      <c r="R166" s="2394"/>
    </row>
    <row r="167" spans="2:18" s="2366" customFormat="1">
      <c r="B167" s="2392"/>
      <c r="C167" s="2392"/>
      <c r="D167" s="2392"/>
      <c r="E167" s="2392"/>
      <c r="F167" s="2392"/>
      <c r="G167" s="2393"/>
      <c r="H167" s="2392"/>
      <c r="I167" s="2393"/>
      <c r="J167" s="2392"/>
      <c r="K167" s="2392"/>
      <c r="L167" s="2393"/>
      <c r="M167" s="2392"/>
      <c r="N167" s="2392"/>
      <c r="O167" s="2393"/>
      <c r="P167" s="2392"/>
      <c r="Q167" s="2392"/>
      <c r="R167" s="2394"/>
    </row>
    <row r="168" spans="2:18" s="2366" customFormat="1">
      <c r="B168" s="2392"/>
      <c r="C168" s="2392"/>
      <c r="D168" s="2392"/>
      <c r="E168" s="2392"/>
      <c r="F168" s="2392"/>
      <c r="G168" s="2393"/>
      <c r="H168" s="2392"/>
      <c r="I168" s="2393"/>
      <c r="J168" s="2392"/>
      <c r="K168" s="2392"/>
      <c r="L168" s="2393"/>
      <c r="M168" s="2392"/>
      <c r="N168" s="2392"/>
      <c r="O168" s="2393"/>
      <c r="P168" s="2392"/>
      <c r="Q168" s="2392"/>
      <c r="R168" s="2394"/>
    </row>
    <row r="169" spans="2:18" s="2366" customFormat="1">
      <c r="B169" s="2392"/>
      <c r="C169" s="2392"/>
      <c r="D169" s="2392"/>
      <c r="E169" s="2392"/>
      <c r="F169" s="2392"/>
      <c r="G169" s="2393"/>
      <c r="H169" s="2392"/>
      <c r="I169" s="2393"/>
      <c r="J169" s="2392"/>
      <c r="K169" s="2392"/>
      <c r="L169" s="2393"/>
      <c r="M169" s="2392"/>
      <c r="N169" s="2392"/>
      <c r="O169" s="2393"/>
      <c r="P169" s="2392"/>
      <c r="Q169" s="2392"/>
      <c r="R169" s="2394"/>
    </row>
    <row r="170" spans="2:18" s="2366" customFormat="1">
      <c r="B170" s="2392"/>
      <c r="C170" s="2392"/>
      <c r="D170" s="2392"/>
      <c r="E170" s="2392"/>
      <c r="F170" s="2392"/>
      <c r="G170" s="2393"/>
      <c r="H170" s="2392"/>
      <c r="I170" s="2393"/>
      <c r="J170" s="2392"/>
      <c r="K170" s="2392"/>
      <c r="L170" s="2393"/>
      <c r="M170" s="2392"/>
      <c r="N170" s="2392"/>
      <c r="O170" s="2393"/>
      <c r="P170" s="2392"/>
      <c r="Q170" s="2392"/>
      <c r="R170" s="2394"/>
    </row>
    <row r="171" spans="2:18" s="2366" customFormat="1">
      <c r="B171" s="2392"/>
      <c r="C171" s="2392"/>
      <c r="D171" s="2392"/>
      <c r="E171" s="2392"/>
      <c r="F171" s="2392"/>
      <c r="G171" s="2393"/>
      <c r="H171" s="2392"/>
      <c r="I171" s="2393"/>
      <c r="J171" s="2392"/>
      <c r="K171" s="2392"/>
      <c r="L171" s="2393"/>
      <c r="M171" s="2392"/>
      <c r="N171" s="2392"/>
      <c r="O171" s="2393"/>
      <c r="P171" s="2392"/>
      <c r="Q171" s="2392"/>
      <c r="R171" s="2394"/>
    </row>
    <row r="172" spans="2:18" s="2366" customFormat="1">
      <c r="B172" s="2392"/>
      <c r="C172" s="2392"/>
      <c r="D172" s="2392"/>
      <c r="E172" s="2392"/>
      <c r="F172" s="2392"/>
      <c r="G172" s="2393"/>
      <c r="H172" s="2392"/>
      <c r="I172" s="2393"/>
      <c r="J172" s="2392"/>
      <c r="K172" s="2392"/>
      <c r="L172" s="2393"/>
      <c r="M172" s="2392"/>
      <c r="N172" s="2392"/>
      <c r="O172" s="2393"/>
      <c r="P172" s="2392"/>
      <c r="Q172" s="2392"/>
      <c r="R172" s="2394"/>
    </row>
    <row r="173" spans="2:18" s="2366" customFormat="1">
      <c r="B173" s="2392"/>
      <c r="C173" s="2392"/>
      <c r="D173" s="2392"/>
      <c r="E173" s="2392"/>
      <c r="F173" s="2392"/>
      <c r="G173" s="2393"/>
      <c r="H173" s="2392"/>
      <c r="I173" s="2393"/>
      <c r="J173" s="2392"/>
      <c r="K173" s="2392"/>
      <c r="L173" s="2393"/>
      <c r="M173" s="2392"/>
      <c r="N173" s="2392"/>
      <c r="O173" s="2393"/>
      <c r="P173" s="2392"/>
      <c r="Q173" s="2392"/>
      <c r="R173" s="2394"/>
    </row>
    <row r="174" spans="2:18" s="2366" customFormat="1">
      <c r="B174" s="2392"/>
      <c r="C174" s="2392"/>
      <c r="D174" s="2392"/>
      <c r="E174" s="2392"/>
      <c r="F174" s="2392"/>
      <c r="G174" s="2393"/>
      <c r="H174" s="2392"/>
      <c r="I174" s="2393"/>
      <c r="J174" s="2392"/>
      <c r="K174" s="2392"/>
      <c r="L174" s="2393"/>
      <c r="M174" s="2392"/>
      <c r="N174" s="2392"/>
      <c r="O174" s="2393"/>
      <c r="P174" s="2392"/>
      <c r="Q174" s="2392"/>
      <c r="R174" s="2394"/>
    </row>
    <row r="175" spans="2:18" s="2366" customFormat="1">
      <c r="B175" s="2392"/>
      <c r="C175" s="2392"/>
      <c r="D175" s="2392"/>
      <c r="E175" s="2392"/>
      <c r="F175" s="2392"/>
      <c r="G175" s="2393"/>
      <c r="H175" s="2392"/>
      <c r="I175" s="2393"/>
      <c r="J175" s="2392"/>
      <c r="K175" s="2392"/>
      <c r="L175" s="2393"/>
      <c r="M175" s="2392"/>
      <c r="N175" s="2392"/>
      <c r="O175" s="2393"/>
      <c r="P175" s="2392"/>
      <c r="Q175" s="2392"/>
      <c r="R175" s="2394"/>
    </row>
    <row r="176" spans="2:18" s="2366" customFormat="1">
      <c r="B176" s="2392"/>
      <c r="C176" s="2392"/>
      <c r="D176" s="2392"/>
      <c r="E176" s="2392"/>
      <c r="F176" s="2392"/>
      <c r="G176" s="2393"/>
      <c r="H176" s="2392"/>
      <c r="I176" s="2393"/>
      <c r="J176" s="2392"/>
      <c r="K176" s="2392"/>
      <c r="L176" s="2393"/>
      <c r="M176" s="2392"/>
      <c r="N176" s="2392"/>
      <c r="O176" s="2393"/>
      <c r="P176" s="2392"/>
      <c r="Q176" s="2392"/>
      <c r="R176" s="2394"/>
    </row>
    <row r="177" spans="1:18" s="2366" customFormat="1">
      <c r="B177" s="2392"/>
      <c r="C177" s="2392"/>
      <c r="D177" s="2392"/>
      <c r="E177" s="2392"/>
      <c r="F177" s="2392"/>
      <c r="G177" s="2393"/>
      <c r="H177" s="2392"/>
      <c r="I177" s="2393"/>
      <c r="J177" s="2392"/>
      <c r="K177" s="2392"/>
      <c r="L177" s="2393"/>
      <c r="M177" s="2392"/>
      <c r="N177" s="2392"/>
      <c r="O177" s="2393"/>
      <c r="P177" s="2392"/>
      <c r="Q177" s="2392"/>
      <c r="R177" s="2394"/>
    </row>
    <row r="178" spans="1:18" s="2366" customFormat="1">
      <c r="B178" s="2392"/>
      <c r="C178" s="2392"/>
      <c r="D178" s="2392"/>
      <c r="E178" s="2392"/>
      <c r="F178" s="2392"/>
      <c r="G178" s="2393"/>
      <c r="H178" s="2392"/>
      <c r="I178" s="2393"/>
      <c r="J178" s="2392"/>
      <c r="K178" s="2392"/>
      <c r="L178" s="2393"/>
      <c r="M178" s="2392"/>
      <c r="N178" s="2392"/>
      <c r="O178" s="2393"/>
      <c r="P178" s="2392"/>
      <c r="Q178" s="2392"/>
      <c r="R178" s="2394"/>
    </row>
    <row r="179" spans="1:18" s="2366" customFormat="1">
      <c r="B179" s="2392"/>
      <c r="C179" s="2392"/>
      <c r="D179" s="2392"/>
      <c r="E179" s="2392"/>
      <c r="F179" s="2392"/>
      <c r="G179" s="2393"/>
      <c r="H179" s="2392"/>
      <c r="I179" s="2393"/>
      <c r="J179" s="2392"/>
      <c r="K179" s="2392"/>
      <c r="L179" s="2393"/>
      <c r="M179" s="2392"/>
      <c r="N179" s="2392"/>
      <c r="O179" s="2393"/>
      <c r="P179" s="2392"/>
      <c r="Q179" s="2392"/>
      <c r="R179" s="2394"/>
    </row>
    <row r="180" spans="1:18" s="2366" customFormat="1">
      <c r="B180" s="2392"/>
      <c r="C180" s="2392"/>
      <c r="D180" s="2392"/>
      <c r="E180" s="2392"/>
      <c r="F180" s="2392"/>
      <c r="G180" s="2393"/>
      <c r="H180" s="2392"/>
      <c r="I180" s="2393"/>
      <c r="J180" s="2392"/>
      <c r="K180" s="2392"/>
      <c r="L180" s="2393"/>
      <c r="M180" s="2392"/>
      <c r="N180" s="2392"/>
      <c r="O180" s="2393"/>
      <c r="P180" s="2392"/>
      <c r="Q180" s="2392"/>
      <c r="R180" s="2394"/>
    </row>
    <row r="181" spans="1:18" s="2366" customFormat="1">
      <c r="B181" s="2392"/>
      <c r="C181" s="2392"/>
      <c r="D181" s="2392"/>
      <c r="E181" s="2392"/>
      <c r="F181" s="2392"/>
      <c r="G181" s="2393"/>
      <c r="H181" s="2392"/>
      <c r="I181" s="2393"/>
      <c r="J181" s="2392"/>
      <c r="K181" s="2392"/>
      <c r="L181" s="2393"/>
      <c r="M181" s="2392"/>
      <c r="N181" s="2392"/>
      <c r="O181" s="2393"/>
      <c r="P181" s="2392"/>
      <c r="Q181" s="2392"/>
      <c r="R181" s="2394"/>
    </row>
    <row r="182" spans="1:18" s="2366" customFormat="1">
      <c r="B182" s="2392"/>
      <c r="C182" s="2392"/>
      <c r="D182" s="2392"/>
      <c r="E182" s="2392"/>
      <c r="F182" s="2392"/>
      <c r="G182" s="2393"/>
      <c r="H182" s="2392"/>
      <c r="I182" s="2393"/>
      <c r="J182" s="2392"/>
      <c r="K182" s="2392"/>
      <c r="L182" s="2393"/>
      <c r="M182" s="2392"/>
      <c r="N182" s="2392"/>
      <c r="O182" s="2393"/>
      <c r="P182" s="2392"/>
      <c r="Q182" s="2392"/>
      <c r="R182" s="2394"/>
    </row>
    <row r="183" spans="1:18" s="2366" customFormat="1">
      <c r="B183" s="2392"/>
      <c r="C183" s="2392"/>
      <c r="D183" s="2392"/>
      <c r="E183" s="2392"/>
      <c r="F183" s="2392"/>
      <c r="G183" s="2393"/>
      <c r="H183" s="2392"/>
      <c r="I183" s="2393"/>
      <c r="J183" s="2392"/>
      <c r="K183" s="2392"/>
      <c r="L183" s="2393"/>
      <c r="M183" s="2392"/>
      <c r="N183" s="2392"/>
      <c r="O183" s="2393"/>
      <c r="P183" s="2392"/>
      <c r="Q183" s="2392"/>
      <c r="R183" s="2394"/>
    </row>
    <row r="184" spans="1:18" s="2366" customFormat="1">
      <c r="B184" s="2392"/>
      <c r="C184" s="2392"/>
      <c r="D184" s="2392"/>
      <c r="E184" s="2392"/>
      <c r="F184" s="2392"/>
      <c r="G184" s="2393"/>
      <c r="H184" s="2392"/>
      <c r="I184" s="2393"/>
      <c r="J184" s="2392"/>
      <c r="K184" s="2392"/>
      <c r="L184" s="2393"/>
      <c r="M184" s="2392"/>
      <c r="N184" s="2392"/>
      <c r="O184" s="2393"/>
      <c r="P184" s="2392"/>
      <c r="Q184" s="2392"/>
      <c r="R184" s="2394"/>
    </row>
    <row r="185" spans="1:18" s="2366" customFormat="1">
      <c r="B185" s="2392"/>
      <c r="C185" s="2392"/>
      <c r="D185" s="2392"/>
      <c r="E185" s="2392"/>
      <c r="F185" s="2392"/>
      <c r="G185" s="2393"/>
      <c r="H185" s="2392"/>
      <c r="I185" s="2393"/>
      <c r="J185" s="2392"/>
      <c r="K185" s="2392"/>
      <c r="L185" s="2393"/>
      <c r="M185" s="2392"/>
      <c r="N185" s="2392"/>
      <c r="O185" s="2393"/>
      <c r="P185" s="2392"/>
      <c r="Q185" s="2392"/>
      <c r="R185" s="2394"/>
    </row>
    <row r="186" spans="1:18">
      <c r="A186" s="2366"/>
      <c r="B186" s="2392"/>
      <c r="C186" s="2392"/>
      <c r="E186" s="2392"/>
      <c r="F186" s="2392"/>
      <c r="G186" s="2393"/>
    </row>
    <row r="187" spans="1:18">
      <c r="A187" s="2366"/>
      <c r="B187" s="2392"/>
      <c r="C187" s="2392"/>
      <c r="E187" s="2392"/>
      <c r="F187" s="2392"/>
      <c r="G187" s="2393"/>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4.4"/>
  <cols>
    <col min="1" max="1" width="23.33203125" style="1738" customWidth="1"/>
    <col min="2" max="9" width="15.77734375" style="1738" customWidth="1"/>
    <col min="10" max="16384" width="9" style="1738"/>
  </cols>
  <sheetData>
    <row r="1" spans="1:10" ht="16.2">
      <c r="A1" s="1743" t="s">
        <v>1361</v>
      </c>
      <c r="B1" s="1743">
        <f>SUM(B14:B23)</f>
        <v>76522.880000000005</v>
      </c>
      <c r="C1" s="1742"/>
      <c r="D1" s="1742"/>
      <c r="E1" s="1742"/>
      <c r="F1" s="1742"/>
      <c r="G1" s="1740"/>
    </row>
    <row r="2" spans="1:10" ht="16.2">
      <c r="A2" s="1743" t="s">
        <v>1349</v>
      </c>
      <c r="B2" s="1743">
        <f>SUM(C14:C23)</f>
        <v>0</v>
      </c>
      <c r="C2" s="1742"/>
      <c r="D2" s="1742"/>
      <c r="E2" s="1742"/>
      <c r="F2" s="1742"/>
      <c r="G2" s="1740"/>
    </row>
    <row r="3" spans="1:10" ht="15.6">
      <c r="A3" s="1743" t="s">
        <v>1358</v>
      </c>
      <c r="B3" s="1744">
        <f>项目基本情况!D3</f>
        <v>43692</v>
      </c>
      <c r="C3" s="1742"/>
      <c r="D3" s="1742"/>
      <c r="E3" s="1742"/>
      <c r="F3" s="1742"/>
      <c r="G3" s="1740"/>
    </row>
    <row r="4" spans="1:10" ht="31.2">
      <c r="A4" s="1743" t="s">
        <v>1357</v>
      </c>
      <c r="B4" s="1743" t="s">
        <v>1356</v>
      </c>
      <c r="C4" s="1743" t="s">
        <v>1355</v>
      </c>
      <c r="D4" s="1743" t="s">
        <v>1354</v>
      </c>
      <c r="E4" s="1742"/>
      <c r="F4" s="1740"/>
      <c r="G4" s="1740"/>
    </row>
    <row r="5" spans="1:10" ht="15.6">
      <c r="A5" s="1743" t="s">
        <v>1353</v>
      </c>
      <c r="B5" s="1743">
        <f ca="1">SUM(D14:D23)</f>
        <v>86456</v>
      </c>
      <c r="C5" s="1743">
        <f ca="1">ROUND(B5*10000/$B$1,0)</f>
        <v>11298</v>
      </c>
      <c r="D5" s="1743" t="e">
        <f ca="1">ROUND(B5*10000/$B$2,0)</f>
        <v>#DIV/0!</v>
      </c>
      <c r="E5" s="1742"/>
      <c r="F5" s="1740"/>
      <c r="G5" s="1740"/>
    </row>
    <row r="6" spans="1:10" ht="15.6">
      <c r="A6" s="1743" t="s">
        <v>1352</v>
      </c>
      <c r="B6" s="1743">
        <f ca="1">SUM(G14:G23)</f>
        <v>86456</v>
      </c>
      <c r="C6" s="1743">
        <f ca="1">ROUND(B6*10000/$B$1,0)</f>
        <v>11298</v>
      </c>
      <c r="D6" s="1743" t="e">
        <f ca="1">ROUND(B6*10000/$B$2,0)</f>
        <v>#DIV/0!</v>
      </c>
      <c r="E6" s="1742"/>
      <c r="F6" s="1740"/>
      <c r="G6" s="1740"/>
    </row>
    <row r="7" spans="1:10" ht="15.6">
      <c r="A7" s="1743" t="s">
        <v>1360</v>
      </c>
      <c r="B7" s="1743">
        <f>SUM(H14:H23)</f>
        <v>0</v>
      </c>
      <c r="C7" s="1743">
        <f>ROUND(B7*10000/$B$1,0)</f>
        <v>0</v>
      </c>
      <c r="D7" s="1743" t="e">
        <f>ROUND(B7*10000/$B$2,0)</f>
        <v>#DIV/0!</v>
      </c>
      <c r="E7" s="1742"/>
      <c r="F7" s="1740"/>
      <c r="G7" s="1740"/>
    </row>
    <row r="8" spans="1:10" ht="15.6">
      <c r="A8" s="1743" t="s">
        <v>1281</v>
      </c>
      <c r="B8" s="1743">
        <f>SUM(I14:I23)</f>
        <v>0</v>
      </c>
      <c r="C8" s="1743">
        <f>ROUND(B8*10000/$B$1,0)</f>
        <v>0</v>
      </c>
      <c r="D8" s="1743" t="e">
        <f>ROUND(B8*10000/$B$2,0)</f>
        <v>#DIV/0!</v>
      </c>
      <c r="E8" s="1742"/>
      <c r="F8" s="1740"/>
      <c r="G8" s="1740"/>
    </row>
    <row r="9" spans="1:10" ht="15.6">
      <c r="A9" s="1743" t="s">
        <v>1351</v>
      </c>
      <c r="B9" s="1745"/>
      <c r="C9" s="1742"/>
      <c r="D9" s="1742"/>
      <c r="E9" s="1742"/>
      <c r="F9" s="1740"/>
      <c r="G9" s="1740"/>
    </row>
    <row r="10" spans="1:10" ht="15.6">
      <c r="A10" s="1743" t="s">
        <v>1350</v>
      </c>
      <c r="B10" s="1745"/>
      <c r="C10" s="1742"/>
      <c r="D10" s="1742"/>
      <c r="E10" s="1742"/>
      <c r="F10" s="1740"/>
      <c r="G10" s="1740"/>
    </row>
    <row r="11" spans="1:10" ht="15.6">
      <c r="A11" s="1743" t="s">
        <v>1366</v>
      </c>
      <c r="B11" s="1745"/>
      <c r="C11" s="1742"/>
      <c r="D11" s="1742"/>
      <c r="E11" s="1742"/>
      <c r="F11" s="1740"/>
      <c r="G11" s="1740"/>
    </row>
    <row r="12" spans="1:10" ht="15.6">
      <c r="A12" s="1742"/>
      <c r="B12" s="1742"/>
      <c r="C12" s="1742"/>
      <c r="D12" s="1742"/>
      <c r="E12" s="1742"/>
      <c r="F12" s="1740"/>
      <c r="G12" s="1740"/>
    </row>
    <row r="13" spans="1:10" ht="31.8">
      <c r="A13" s="1748" t="s">
        <v>1365</v>
      </c>
      <c r="B13" s="1741" t="s">
        <v>1362</v>
      </c>
      <c r="C13" s="1741" t="s">
        <v>1364</v>
      </c>
      <c r="D13" s="1741" t="s">
        <v>1363</v>
      </c>
      <c r="E13" s="1743" t="s">
        <v>1355</v>
      </c>
      <c r="F13" s="1743" t="s">
        <v>1354</v>
      </c>
      <c r="G13" s="1741" t="s">
        <v>1348</v>
      </c>
      <c r="H13" s="1741" t="s">
        <v>1359</v>
      </c>
      <c r="I13" s="1741" t="s">
        <v>1347</v>
      </c>
      <c r="J13" s="1740"/>
    </row>
    <row r="14" spans="1:10" ht="15.6">
      <c r="A14" s="1739" t="s">
        <v>1346</v>
      </c>
      <c r="B14" s="1741">
        <f>结果表!B118</f>
        <v>76522.880000000005</v>
      </c>
      <c r="C14" s="1741">
        <f>结果表!C118</f>
        <v>0</v>
      </c>
      <c r="D14" s="1741">
        <f ca="1">结果表!H118</f>
        <v>86456</v>
      </c>
      <c r="E14" s="1741">
        <f ca="1">ROUND(D14*10000/B14,0)</f>
        <v>11298</v>
      </c>
      <c r="F14" s="1741" t="e">
        <f ca="1">ROUND(D14*10000/C14,0)</f>
        <v>#DIV/0!</v>
      </c>
      <c r="G14" s="1741">
        <f ca="1">结果表!D122</f>
        <v>86456</v>
      </c>
      <c r="H14" s="1741" t="str">
        <f>结果表!D124</f>
        <v>——</v>
      </c>
      <c r="I14" s="1741" t="str">
        <f>结果表!D126</f>
        <v>——</v>
      </c>
      <c r="J14" s="1740"/>
    </row>
    <row r="15" spans="1:10" ht="15.6">
      <c r="A15" s="1739" t="s">
        <v>1345</v>
      </c>
      <c r="B15" s="1746"/>
      <c r="C15" s="1746"/>
      <c r="D15" s="1746"/>
      <c r="E15" s="1741" t="e">
        <f t="shared" ref="E15:E23" si="0">ROUND(D15*10000/B15,0)</f>
        <v>#DIV/0!</v>
      </c>
      <c r="F15" s="1741" t="e">
        <f t="shared" ref="F15:F23" si="1">ROUND(D15*10000/C15,0)</f>
        <v>#DIV/0!</v>
      </c>
      <c r="G15" s="1747"/>
      <c r="H15" s="1747"/>
      <c r="I15" s="1746"/>
      <c r="J15" s="1740"/>
    </row>
    <row r="16" spans="1:10" ht="15.6">
      <c r="A16" s="1739" t="s">
        <v>1344</v>
      </c>
      <c r="B16" s="1746"/>
      <c r="C16" s="1746"/>
      <c r="D16" s="1746"/>
      <c r="E16" s="1741" t="e">
        <f t="shared" si="0"/>
        <v>#DIV/0!</v>
      </c>
      <c r="F16" s="1741" t="e">
        <f t="shared" si="1"/>
        <v>#DIV/0!</v>
      </c>
      <c r="G16" s="1747"/>
      <c r="H16" s="1747"/>
      <c r="I16" s="1746"/>
    </row>
    <row r="17" spans="1:9" ht="15.6">
      <c r="A17" s="1739" t="s">
        <v>1343</v>
      </c>
      <c r="B17" s="1746"/>
      <c r="C17" s="1746"/>
      <c r="D17" s="1746"/>
      <c r="E17" s="1741" t="e">
        <f t="shared" si="0"/>
        <v>#DIV/0!</v>
      </c>
      <c r="F17" s="1741" t="e">
        <f t="shared" si="1"/>
        <v>#DIV/0!</v>
      </c>
      <c r="G17" s="1747"/>
      <c r="H17" s="1747"/>
      <c r="I17" s="1746"/>
    </row>
    <row r="18" spans="1:9" ht="15.6">
      <c r="A18" s="1739" t="s">
        <v>1342</v>
      </c>
      <c r="B18" s="1746"/>
      <c r="C18" s="1746"/>
      <c r="D18" s="1746"/>
      <c r="E18" s="1741" t="e">
        <f t="shared" si="0"/>
        <v>#DIV/0!</v>
      </c>
      <c r="F18" s="1741" t="e">
        <f t="shared" si="1"/>
        <v>#DIV/0!</v>
      </c>
      <c r="G18" s="1746"/>
      <c r="H18" s="1746"/>
      <c r="I18" s="1746"/>
    </row>
    <row r="19" spans="1:9" ht="15.6">
      <c r="A19" s="1739" t="s">
        <v>1341</v>
      </c>
      <c r="B19" s="1746"/>
      <c r="C19" s="1746"/>
      <c r="D19" s="1746"/>
      <c r="E19" s="1741" t="e">
        <f t="shared" si="0"/>
        <v>#DIV/0!</v>
      </c>
      <c r="F19" s="1741" t="e">
        <f t="shared" si="1"/>
        <v>#DIV/0!</v>
      </c>
      <c r="G19" s="1746"/>
      <c r="H19" s="1746"/>
      <c r="I19" s="1746"/>
    </row>
    <row r="20" spans="1:9" ht="15.6">
      <c r="A20" s="1739" t="s">
        <v>1340</v>
      </c>
      <c r="B20" s="1746"/>
      <c r="C20" s="1746"/>
      <c r="D20" s="1746"/>
      <c r="E20" s="1741" t="e">
        <f t="shared" si="0"/>
        <v>#DIV/0!</v>
      </c>
      <c r="F20" s="1741" t="e">
        <f t="shared" si="1"/>
        <v>#DIV/0!</v>
      </c>
      <c r="G20" s="1746"/>
      <c r="H20" s="1746"/>
      <c r="I20" s="1746"/>
    </row>
    <row r="21" spans="1:9" ht="15.6">
      <c r="A21" s="1739" t="s">
        <v>1339</v>
      </c>
      <c r="B21" s="1746"/>
      <c r="C21" s="1746"/>
      <c r="D21" s="1746"/>
      <c r="E21" s="1741" t="e">
        <f t="shared" si="0"/>
        <v>#DIV/0!</v>
      </c>
      <c r="F21" s="1741" t="e">
        <f t="shared" si="1"/>
        <v>#DIV/0!</v>
      </c>
      <c r="G21" s="1746"/>
      <c r="H21" s="1746"/>
      <c r="I21" s="1746"/>
    </row>
    <row r="22" spans="1:9" ht="15.6">
      <c r="A22" s="1739" t="s">
        <v>1338</v>
      </c>
      <c r="B22" s="1746"/>
      <c r="C22" s="1746"/>
      <c r="D22" s="1746"/>
      <c r="E22" s="1741" t="e">
        <f t="shared" si="0"/>
        <v>#DIV/0!</v>
      </c>
      <c r="F22" s="1741" t="e">
        <f t="shared" si="1"/>
        <v>#DIV/0!</v>
      </c>
      <c r="G22" s="1746"/>
      <c r="H22" s="1746"/>
      <c r="I22" s="1746"/>
    </row>
    <row r="23" spans="1:9" ht="15.6">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6" sqref="F26"/>
    </sheetView>
  </sheetViews>
  <sheetFormatPr defaultColWidth="12.6640625" defaultRowHeight="21.75" customHeight="1"/>
  <cols>
    <col min="1" max="2" width="12.6640625" style="2421"/>
    <col min="3" max="4" width="12.6640625" style="2421" customWidth="1"/>
    <col min="5" max="9" width="12.6640625" style="2421"/>
    <col min="10" max="11" width="12.6640625" style="795" customWidth="1"/>
    <col min="12" max="12" width="12.6640625" style="795"/>
    <col min="13" max="13" width="14.109375" style="795" bestFit="1" customWidth="1"/>
    <col min="14" max="26" width="12.6640625" style="795"/>
    <col min="27" max="35" width="12.6640625" style="2420"/>
    <col min="36" max="16384" width="12.6640625" style="2421"/>
  </cols>
  <sheetData>
    <row r="1" spans="1:12" ht="21.75" customHeight="1" thickBot="1">
      <c r="A1" s="2223" t="s">
        <v>2113</v>
      </c>
      <c r="B1" s="2415"/>
      <c r="C1" s="2416"/>
      <c r="D1" s="2415"/>
      <c r="E1" s="2415"/>
      <c r="F1" s="2417" t="s">
        <v>2114</v>
      </c>
      <c r="G1" s="2069" t="s">
        <v>3064</v>
      </c>
      <c r="H1" s="2418" t="str">
        <f>IF(G1="现房","——","估价对象范围")</f>
        <v>——</v>
      </c>
      <c r="I1" s="2419"/>
    </row>
    <row r="2" spans="1:12" ht="21.75" customHeight="1" thickBot="1">
      <c r="A2" s="3131" t="str">
        <f>项目基本情况!S2</f>
        <v>山东省青岛市黄岛区开发区汉江路3号万达广场全幢、地下房地产</v>
      </c>
      <c r="B2" s="3132"/>
      <c r="C2" s="3132"/>
      <c r="D2" s="3132"/>
      <c r="E2" s="3132"/>
      <c r="F2" s="3132"/>
      <c r="G2" s="3132"/>
      <c r="H2" s="3132"/>
      <c r="I2" s="3133"/>
    </row>
    <row r="3" spans="1:12" ht="13.2">
      <c r="A3" s="3134" t="s">
        <v>2115</v>
      </c>
      <c r="B3" s="3135"/>
      <c r="C3" s="3135"/>
      <c r="D3" s="3135"/>
      <c r="E3" s="3135"/>
      <c r="F3" s="3135"/>
      <c r="G3" s="3135"/>
      <c r="H3" s="3135"/>
      <c r="I3" s="3135"/>
    </row>
    <row r="4" spans="1:12" ht="14.4">
      <c r="A4" s="2422" t="s">
        <v>2116</v>
      </c>
      <c r="B4" s="2423" t="s">
        <v>2117</v>
      </c>
      <c r="C4" s="2424" t="s">
        <v>3419</v>
      </c>
      <c r="D4" s="2424" t="s">
        <v>3414</v>
      </c>
      <c r="E4" s="3115" t="s">
        <v>2118</v>
      </c>
      <c r="F4" s="3128"/>
      <c r="G4" s="3128"/>
      <c r="H4" s="3128"/>
      <c r="I4" s="3116"/>
      <c r="K4" s="2425" t="str">
        <f>IF(ISNUMBER(FIND("比较法",结果表!C4)),"比较法",IF(ISNUMBER(FIND("成本法",结果表!C4)),"成本法",IF(ISNUMBER(FIND("假设开发法",结果表!C4)),"假设开发法",IF(ISNUMBER(FIND("收益法",结果表!C4)),"收益法","基准地价系数修正法"))))</f>
        <v>成本法</v>
      </c>
      <c r="L4" s="2425" t="str">
        <f>IF(ISNUMBER(FIND("比较法",结果表!D4)),"比较法",IF(ISNUMBER(FIND("成本法",结果表!D4)),"成本法",IF(ISNUMBER(FIND("假设开发法",结果表!D4)),"假设开发法",IF(ISNUMBER(FIND("收益法",结果表!D4)),"收益法","基准地价系数修正法"))))</f>
        <v>收益法</v>
      </c>
    </row>
    <row r="5" spans="1:12" ht="13.2">
      <c r="A5" s="3106" t="s">
        <v>2119</v>
      </c>
      <c r="B5" s="3032">
        <v>25</v>
      </c>
      <c r="C5" s="3136"/>
      <c r="D5" s="3124"/>
      <c r="E5" s="140" t="s">
        <v>2120</v>
      </c>
      <c r="F5" s="2426"/>
      <c r="G5" s="2426"/>
      <c r="H5" s="2426"/>
      <c r="I5" s="1831"/>
    </row>
    <row r="6" spans="1:12" ht="13.2">
      <c r="A6" s="3106"/>
      <c r="B6" s="3032"/>
      <c r="C6" s="3138"/>
      <c r="D6" s="3124"/>
      <c r="E6" s="140" t="s">
        <v>2121</v>
      </c>
      <c r="F6" s="2426"/>
      <c r="G6" s="2426"/>
      <c r="H6" s="2426"/>
      <c r="I6" s="1831"/>
    </row>
    <row r="7" spans="1:12" ht="13.2">
      <c r="A7" s="3106"/>
      <c r="B7" s="3032"/>
      <c r="C7" s="3137"/>
      <c r="D7" s="3124"/>
      <c r="E7" s="140" t="s">
        <v>2122</v>
      </c>
      <c r="F7" s="2426"/>
      <c r="G7" s="2426"/>
      <c r="H7" s="2426"/>
      <c r="I7" s="1831"/>
    </row>
    <row r="8" spans="1:12" ht="13.2">
      <c r="A8" s="3106" t="s">
        <v>2123</v>
      </c>
      <c r="B8" s="3032">
        <v>15</v>
      </c>
      <c r="C8" s="3136"/>
      <c r="D8" s="3124"/>
      <c r="E8" s="140" t="s">
        <v>2124</v>
      </c>
      <c r="F8" s="2426"/>
      <c r="G8" s="2426"/>
      <c r="H8" s="2426"/>
      <c r="I8" s="1831"/>
    </row>
    <row r="9" spans="1:12" ht="13.2">
      <c r="A9" s="3106"/>
      <c r="B9" s="3032"/>
      <c r="C9" s="3137"/>
      <c r="D9" s="3124"/>
      <c r="E9" s="140" t="s">
        <v>2125</v>
      </c>
      <c r="F9" s="2426"/>
      <c r="G9" s="2426"/>
      <c r="H9" s="2426"/>
      <c r="I9" s="1831"/>
    </row>
    <row r="10" spans="1:12" ht="13.2">
      <c r="A10" s="3106" t="s">
        <v>2126</v>
      </c>
      <c r="B10" s="3032">
        <v>15</v>
      </c>
      <c r="C10" s="3136"/>
      <c r="D10" s="3124"/>
      <c r="E10" s="140" t="s">
        <v>2127</v>
      </c>
      <c r="F10" s="2426"/>
      <c r="G10" s="2426"/>
      <c r="H10" s="2426"/>
      <c r="I10" s="1831"/>
    </row>
    <row r="11" spans="1:12" ht="13.2">
      <c r="A11" s="3106"/>
      <c r="B11" s="3032"/>
      <c r="C11" s="3137"/>
      <c r="D11" s="3124"/>
      <c r="E11" s="140" t="s">
        <v>2128</v>
      </c>
      <c r="F11" s="2426"/>
      <c r="G11" s="2426"/>
      <c r="H11" s="2426"/>
      <c r="I11" s="1831"/>
    </row>
    <row r="12" spans="1:12" ht="13.2">
      <c r="A12" s="3106" t="s">
        <v>2129</v>
      </c>
      <c r="B12" s="3032">
        <v>15</v>
      </c>
      <c r="C12" s="3136"/>
      <c r="D12" s="3124"/>
      <c r="E12" s="140" t="s">
        <v>2130</v>
      </c>
      <c r="F12" s="2426"/>
      <c r="G12" s="2426"/>
      <c r="H12" s="2426"/>
      <c r="I12" s="1831"/>
    </row>
    <row r="13" spans="1:12" ht="13.2">
      <c r="A13" s="3106"/>
      <c r="B13" s="3032"/>
      <c r="C13" s="3137"/>
      <c r="D13" s="3124"/>
      <c r="E13" s="140" t="s">
        <v>2131</v>
      </c>
      <c r="F13" s="2426"/>
      <c r="G13" s="2426"/>
      <c r="H13" s="2426"/>
      <c r="I13" s="1831"/>
    </row>
    <row r="14" spans="1:12" ht="13.2">
      <c r="A14" s="3106" t="s">
        <v>2132</v>
      </c>
      <c r="B14" s="3032">
        <v>30</v>
      </c>
      <c r="C14" s="3136">
        <v>7</v>
      </c>
      <c r="D14" s="3124">
        <v>3</v>
      </c>
      <c r="E14" s="140" t="s">
        <v>2133</v>
      </c>
      <c r="F14" s="2426"/>
      <c r="G14" s="2426"/>
      <c r="H14" s="2426"/>
      <c r="I14" s="1831"/>
    </row>
    <row r="15" spans="1:12" ht="13.2">
      <c r="A15" s="3106"/>
      <c r="B15" s="3032"/>
      <c r="C15" s="3138"/>
      <c r="D15" s="3124"/>
      <c r="E15" s="140" t="s">
        <v>2134</v>
      </c>
      <c r="F15" s="2426"/>
      <c r="G15" s="2426"/>
      <c r="H15" s="2426"/>
      <c r="I15" s="1831"/>
    </row>
    <row r="16" spans="1:12" ht="13.2">
      <c r="A16" s="3106"/>
      <c r="B16" s="3032"/>
      <c r="C16" s="3137"/>
      <c r="D16" s="3124"/>
      <c r="E16" s="140" t="s">
        <v>2135</v>
      </c>
      <c r="F16" s="2426"/>
      <c r="G16" s="2426"/>
      <c r="H16" s="2426"/>
      <c r="I16" s="1831"/>
    </row>
    <row r="17" spans="1:35" ht="14.4">
      <c r="A17" s="2427" t="s">
        <v>2136</v>
      </c>
      <c r="B17" s="64"/>
      <c r="C17" s="141">
        <f>SUM(C5:C16)</f>
        <v>7</v>
      </c>
      <c r="D17" s="141">
        <f>SUM(D5:D16)</f>
        <v>3</v>
      </c>
      <c r="E17" s="138"/>
      <c r="F17" s="138"/>
      <c r="G17" s="138"/>
      <c r="H17" s="138"/>
      <c r="I17" s="138"/>
      <c r="K17" s="2425"/>
      <c r="L17" s="2428" t="s">
        <v>2137</v>
      </c>
      <c r="M17" s="2428" t="s">
        <v>2138</v>
      </c>
    </row>
    <row r="18" spans="1:35" ht="15" thickBot="1">
      <c r="A18" s="2429" t="s">
        <v>2139</v>
      </c>
      <c r="B18" s="2430"/>
      <c r="C18" s="142">
        <f>ROUND(C17/SUM(C17:D17),2)</f>
        <v>0.7</v>
      </c>
      <c r="D18" s="142">
        <f>1-C18</f>
        <v>0.30000000000000004</v>
      </c>
      <c r="E18" s="138"/>
      <c r="F18" s="138"/>
      <c r="G18" s="138"/>
      <c r="H18" s="138"/>
      <c r="I18" s="138"/>
      <c r="K18" s="2425" t="s">
        <v>2140</v>
      </c>
      <c r="L18" s="2425">
        <f>IF(C1="",'数据-汇总表'!E3,SUMIF(项目类型,C1,'数据-汇总表'!E17:E26)+SUMIF(项目类型,C1,'数据-汇总表'!I17:I26))</f>
        <v>76522.880000000005</v>
      </c>
      <c r="M18" s="2425">
        <f>IF(C1="",'数据-汇总表'!E3,SUMIF(项目类型,C1,'数据-汇总表'!E17:E26))</f>
        <v>76522.880000000005</v>
      </c>
    </row>
    <row r="19" spans="1:35" ht="14.4">
      <c r="A19" s="2431" t="s">
        <v>2141</v>
      </c>
      <c r="B19" s="2432" t="s">
        <v>2142</v>
      </c>
      <c r="C19" s="143">
        <f ca="1">SUMIF(INDIRECT("'"&amp;C4&amp;"'"&amp;"!A:A"),结果表!B19,INDIRECT("'"&amp;C4&amp;"'"&amp;"!B:B"))</f>
        <v>95015</v>
      </c>
      <c r="D19" s="144">
        <f ca="1">SUMIF(INDIRECT("'"&amp;D4&amp;"'"&amp;"!A:A"),结果表!B19,INDIRECT("'"&amp;D4&amp;"'"&amp;"!B:B"))</f>
        <v>66486</v>
      </c>
      <c r="E19" s="2431" t="s">
        <v>2143</v>
      </c>
      <c r="F19" s="2432" t="s">
        <v>2142</v>
      </c>
      <c r="G19" s="145">
        <f ca="1">ROUND(C19*$C$18+D19*$D$18,0)</f>
        <v>86456</v>
      </c>
      <c r="H19" s="2433" t="s">
        <v>2144</v>
      </c>
      <c r="I19" s="138"/>
      <c r="K19" s="2425" t="s">
        <v>2145</v>
      </c>
      <c r="L19" s="2425">
        <f>IF(C1="",'数据-汇总表'!D3,SUMIF(项目类型,C1,'数据-汇总表'!D17:D26)+SUMIF(项目类型,C1,'数据-汇总表'!H17:H27))</f>
        <v>0</v>
      </c>
      <c r="M19" s="2425">
        <f>IF(C1="",'数据-汇总表'!D3,SUMIF(项目类型,C1,'数据-汇总表'!D17:D26))</f>
        <v>0</v>
      </c>
    </row>
    <row r="20" spans="1:35" ht="14.4">
      <c r="A20" s="2434"/>
      <c r="B20" s="1247" t="s">
        <v>2146</v>
      </c>
      <c r="C20" s="146">
        <f ca="1">SUMIF(INDIRECT("'"&amp;C4&amp;"'"&amp;"!A:A"),结果表!B20,INDIRECT("'"&amp;C4&amp;"'"&amp;"!B:B"))</f>
        <v>12417</v>
      </c>
      <c r="D20" s="147">
        <f ca="1">SUMIF(INDIRECT("'"&amp;D4&amp;"'"&amp;"!A:A"),结果表!B20,INDIRECT("'"&amp;D4&amp;"'"&amp;"!B:B"))</f>
        <v>11585</v>
      </c>
      <c r="E20" s="2434"/>
      <c r="F20" s="1247" t="s">
        <v>2146</v>
      </c>
      <c r="G20" s="148">
        <f ca="1">ROUND(C20*$C$18+D20*$D$18,0)</f>
        <v>12167</v>
      </c>
      <c r="H20" s="980" t="s">
        <v>2147</v>
      </c>
      <c r="I20" s="138"/>
    </row>
    <row r="21" spans="1:35" ht="15" customHeight="1" thickBot="1">
      <c r="A21" s="1000"/>
      <c r="B21" s="2435" t="s">
        <v>2148</v>
      </c>
      <c r="C21" s="789" t="e">
        <f ca="1">ROUND(C19*10000/L19,0)</f>
        <v>#DIV/0!</v>
      </c>
      <c r="D21" s="790" t="e">
        <f ca="1">ROUND(D19*10000/L19,0)</f>
        <v>#DIV/0!</v>
      </c>
      <c r="E21" s="1000"/>
      <c r="F21" s="2435" t="s">
        <v>2148</v>
      </c>
      <c r="G21" s="149" t="e">
        <f ca="1">ROUND(G19*10000/L19,0)</f>
        <v>#DIV/0!</v>
      </c>
      <c r="H21" s="2436" t="s">
        <v>2147</v>
      </c>
      <c r="I21" s="138"/>
    </row>
    <row r="22" spans="1:35" ht="15" thickBot="1">
      <c r="A22" s="2279" t="s">
        <v>2149</v>
      </c>
      <c r="B22" s="2437"/>
      <c r="C22" s="2438"/>
      <c r="D22" s="791">
        <f ca="1">IF(C19&lt;D19,D19/C19-1,C19/D19-1)</f>
        <v>0.42909785518755839</v>
      </c>
      <c r="E22" s="138"/>
      <c r="F22" s="138"/>
      <c r="G22" s="138"/>
      <c r="H22" s="138"/>
      <c r="I22" s="138"/>
    </row>
    <row r="23" spans="1:35" ht="13.8" thickBot="1">
      <c r="A23" s="2415"/>
      <c r="B23" s="2415"/>
      <c r="C23" s="2415"/>
      <c r="D23" s="2415"/>
      <c r="E23" s="138"/>
      <c r="F23" s="138"/>
      <c r="G23" s="138"/>
      <c r="H23" s="138"/>
      <c r="I23" s="138"/>
    </row>
    <row r="24" spans="1:35" ht="14.4">
      <c r="A24" s="3145" t="s">
        <v>2150</v>
      </c>
      <c r="B24" s="2432" t="s">
        <v>2142</v>
      </c>
      <c r="C24" s="145">
        <f>IF(B30=0,0,D30)</f>
        <v>0</v>
      </c>
      <c r="D24" s="2439"/>
      <c r="E24" s="138"/>
      <c r="F24" s="138"/>
      <c r="G24" s="138"/>
      <c r="H24" s="138"/>
      <c r="I24" s="138"/>
    </row>
    <row r="25" spans="1:35" ht="14.4">
      <c r="A25" s="3146"/>
      <c r="B25" s="1247" t="s">
        <v>2146</v>
      </c>
      <c r="C25" s="150">
        <f>IF(B30=0,0,C30)</f>
        <v>0</v>
      </c>
      <c r="D25" s="2440"/>
      <c r="E25" s="138"/>
      <c r="F25" s="138"/>
      <c r="G25" s="138"/>
      <c r="H25" s="138"/>
      <c r="I25" s="138"/>
    </row>
    <row r="26" spans="1:35" ht="13.5" customHeight="1">
      <c r="A26" s="2441" t="s">
        <v>2151</v>
      </c>
      <c r="B26" s="151" t="s">
        <v>2152</v>
      </c>
      <c r="C26" s="151" t="s">
        <v>2153</v>
      </c>
      <c r="D26" s="152" t="s">
        <v>2154</v>
      </c>
      <c r="E26" s="138"/>
      <c r="F26" s="138"/>
      <c r="G26" s="138"/>
      <c r="H26" s="138"/>
      <c r="I26" s="138"/>
    </row>
    <row r="27" spans="1:35" ht="13.8">
      <c r="A27" s="2441"/>
      <c r="B27" s="151">
        <v>0</v>
      </c>
      <c r="C27" s="151">
        <v>0</v>
      </c>
      <c r="D27" s="152">
        <f>ROUND(C27*B27/10000,0)</f>
        <v>0</v>
      </c>
      <c r="E27" s="138"/>
      <c r="F27" s="138"/>
      <c r="G27" s="138"/>
      <c r="H27" s="138"/>
      <c r="I27" s="138"/>
    </row>
    <row r="28" spans="1:35" ht="13.8">
      <c r="A28" s="2441"/>
      <c r="B28" s="151"/>
      <c r="C28" s="151"/>
      <c r="D28" s="152"/>
      <c r="E28" s="138"/>
      <c r="F28" s="138"/>
      <c r="G28" s="138"/>
      <c r="H28" s="138"/>
      <c r="I28" s="138"/>
    </row>
    <row r="29" spans="1:35" ht="13.8">
      <c r="A29" s="2441"/>
      <c r="B29" s="151"/>
      <c r="C29" s="151"/>
      <c r="D29" s="152"/>
      <c r="E29" s="138"/>
      <c r="F29" s="138"/>
      <c r="G29" s="138"/>
      <c r="H29" s="138"/>
      <c r="I29" s="138"/>
    </row>
    <row r="30" spans="1:35" ht="14.4">
      <c r="A30" s="151" t="s">
        <v>2155</v>
      </c>
      <c r="B30" s="151"/>
      <c r="C30" s="151"/>
      <c r="D30" s="151"/>
      <c r="E30" s="2914" t="s">
        <v>3032</v>
      </c>
      <c r="F30" s="138"/>
      <c r="G30" s="138"/>
      <c r="H30" s="138"/>
      <c r="I30" s="138"/>
    </row>
    <row r="31" spans="1:35" s="2443" customFormat="1" ht="14.4" thickBot="1">
      <c r="A31" s="2442"/>
      <c r="B31" s="2442"/>
      <c r="C31" s="2442"/>
      <c r="D31" s="2442"/>
      <c r="E31" s="138"/>
      <c r="F31" s="138"/>
      <c r="G31" s="138"/>
      <c r="H31" s="138"/>
      <c r="I31" s="138"/>
      <c r="J31" s="795"/>
      <c r="K31" s="795"/>
      <c r="L31" s="795"/>
      <c r="M31" s="795"/>
      <c r="N31" s="795"/>
      <c r="O31" s="795"/>
      <c r="P31" s="795"/>
      <c r="Q31" s="795"/>
      <c r="R31" s="795"/>
      <c r="S31" s="795"/>
      <c r="T31" s="795"/>
      <c r="U31" s="795"/>
      <c r="V31" s="795"/>
      <c r="W31" s="795"/>
      <c r="X31" s="795"/>
      <c r="Y31" s="795"/>
      <c r="Z31" s="795"/>
      <c r="AA31" s="2420"/>
      <c r="AB31" s="2420"/>
      <c r="AC31" s="2420"/>
      <c r="AD31" s="2420"/>
      <c r="AE31" s="2420"/>
      <c r="AF31" s="2420"/>
      <c r="AG31" s="2420"/>
      <c r="AH31" s="2420"/>
      <c r="AI31" s="2420"/>
    </row>
    <row r="32" spans="1:35" ht="15" thickBot="1">
      <c r="A32" s="2444" t="s">
        <v>2156</v>
      </c>
      <c r="B32" s="2445"/>
      <c r="C32" s="153">
        <f ca="1">IF(D32="总价",G19-C24,G20-C25)</f>
        <v>86456</v>
      </c>
      <c r="D32" s="2446" t="s">
        <v>2157</v>
      </c>
      <c r="E32" s="138"/>
      <c r="F32" s="138"/>
      <c r="G32" s="138"/>
      <c r="H32" s="138"/>
      <c r="I32" s="138"/>
    </row>
    <row r="33" spans="1:15" ht="14.4">
      <c r="A33" s="957" t="s">
        <v>2158</v>
      </c>
      <c r="B33" s="2447"/>
      <c r="C33" s="2448" t="s">
        <v>3420</v>
      </c>
      <c r="D33" s="2449" t="s">
        <v>3419</v>
      </c>
      <c r="E33" s="2450" t="s">
        <v>2159</v>
      </c>
      <c r="F33" s="2451" t="str">
        <f>IF(D32="楼面单价","取值（单价）","取值（总价）")</f>
        <v>取值（总价）</v>
      </c>
      <c r="G33" s="138"/>
      <c r="H33" s="138"/>
      <c r="I33" s="138"/>
    </row>
    <row r="34" spans="1:15" ht="14.4">
      <c r="A34" s="2452"/>
      <c r="B34" s="2453" t="s">
        <v>2160</v>
      </c>
      <c r="C34" s="157">
        <f ca="1">IF(C33="自定义",F34,C32-C35)</f>
        <v>32940</v>
      </c>
      <c r="D34" s="1055">
        <f ca="1">IF(C33="自定义",ROUND(C34/C32,3),IF(C33="收益比率",SUMIF(INDIRECT("'"&amp;D33&amp;"'"&amp;"!b:b"),"土地收益比率",INDIRECT("'"&amp;D33&amp;"'"&amp;"!c:c")),SUMIF(INDIRECT("'"&amp;D33&amp;"'"&amp;"!b:b"),"土地成本比率",INDIRECT("'"&amp;D33&amp;"'"&amp;"!c:c"))))</f>
        <v>0.38100000000000001</v>
      </c>
      <c r="E34" s="2454" t="s">
        <v>2161</v>
      </c>
      <c r="F34" s="1736"/>
      <c r="G34" s="138"/>
      <c r="H34" s="138"/>
      <c r="I34" s="138"/>
    </row>
    <row r="35" spans="1:15" ht="15" thickBot="1">
      <c r="A35" s="2455"/>
      <c r="B35" s="2456" t="s">
        <v>2162</v>
      </c>
      <c r="C35" s="1441">
        <f ca="1">IF(C33="自定义",F35,ROUND(C32*D35,0))</f>
        <v>53516</v>
      </c>
      <c r="D35" s="1442">
        <f ca="1">IF(C33="自定义",ROUND(C35/C32,3),IF(C33="收益比率",SUMIF(INDIRECT("'"&amp;D33&amp;"'"&amp;"!b:b"),"建筑物收益比率",INDIRECT("'"&amp;D33&amp;"'"&amp;"!c:c")),SUMIF(INDIRECT("'"&amp;D33&amp;"'"&amp;"!b:b"),"建筑物成本比率",INDIRECT("'"&amp;D33&amp;"'"&amp;"!c:c"))))</f>
        <v>0.61899999999999999</v>
      </c>
      <c r="E35" s="2457" t="s">
        <v>2163</v>
      </c>
      <c r="F35" s="163"/>
      <c r="G35" s="138"/>
      <c r="H35" s="138"/>
      <c r="I35" s="138"/>
    </row>
    <row r="36" spans="1:15" ht="15" thickBot="1">
      <c r="A36" s="3125" t="s">
        <v>2164</v>
      </c>
      <c r="B36" s="2458" t="s">
        <v>2165</v>
      </c>
      <c r="C36" s="154"/>
      <c r="D36" s="2459"/>
      <c r="E36" s="2460"/>
      <c r="F36" s="2461"/>
      <c r="G36" s="138"/>
      <c r="H36" s="138"/>
      <c r="I36" s="138"/>
    </row>
    <row r="37" spans="1:15" ht="15" thickBot="1">
      <c r="A37" s="3126"/>
      <c r="B37" s="2265" t="s">
        <v>2166</v>
      </c>
      <c r="C37" s="156"/>
      <c r="D37" s="1392"/>
      <c r="E37" s="1392"/>
      <c r="F37" s="2461"/>
      <c r="G37" s="138"/>
      <c r="H37" s="138"/>
      <c r="I37" s="138"/>
    </row>
    <row r="38" spans="1:15" ht="15" thickBot="1">
      <c r="A38" s="3127"/>
      <c r="B38" s="2462" t="s">
        <v>2167</v>
      </c>
      <c r="C38" s="727"/>
      <c r="D38" s="2463" t="s">
        <v>2168</v>
      </c>
      <c r="E38" s="1392"/>
      <c r="F38" s="2461"/>
      <c r="G38" s="138"/>
      <c r="H38" s="138"/>
      <c r="I38" s="138"/>
    </row>
    <row r="39" spans="1:15" ht="14.4">
      <c r="A39" s="2434" t="s">
        <v>2169</v>
      </c>
      <c r="B39" s="2464" t="s">
        <v>2170</v>
      </c>
      <c r="C39" s="2465" t="s">
        <v>2171</v>
      </c>
      <c r="D39" s="2465" t="s">
        <v>2172</v>
      </c>
      <c r="E39" s="2466" t="s">
        <v>2173</v>
      </c>
      <c r="F39" s="2461"/>
      <c r="G39" s="138"/>
      <c r="H39" s="138"/>
      <c r="I39" s="138"/>
    </row>
    <row r="40" spans="1:15" ht="13.8">
      <c r="A40" s="2467" t="s">
        <v>2174</v>
      </c>
      <c r="B40" s="158"/>
      <c r="C40" s="159"/>
      <c r="D40" s="159"/>
      <c r="E40" s="160"/>
      <c r="F40" s="2461"/>
      <c r="G40" s="138"/>
      <c r="H40" s="138"/>
      <c r="I40" s="138"/>
    </row>
    <row r="41" spans="1:15" ht="13.8">
      <c r="A41" s="2467" t="s">
        <v>2175</v>
      </c>
      <c r="B41" s="158"/>
      <c r="C41" s="159"/>
      <c r="D41" s="159"/>
      <c r="E41" s="160"/>
      <c r="F41" s="2461"/>
      <c r="G41" s="138"/>
      <c r="H41" s="138"/>
      <c r="I41" s="138"/>
    </row>
    <row r="42" spans="1:15" ht="14.4" thickBot="1">
      <c r="A42" s="2468"/>
      <c r="B42" s="161"/>
      <c r="C42" s="162"/>
      <c r="D42" s="162"/>
      <c r="E42" s="163"/>
      <c r="F42" s="2461"/>
      <c r="G42" s="138"/>
      <c r="H42" s="138"/>
      <c r="I42" s="138"/>
    </row>
    <row r="43" spans="1:15" ht="13.2">
      <c r="A43" s="2163"/>
      <c r="B43" s="2163"/>
      <c r="C43" s="2163"/>
      <c r="D43" s="2163"/>
      <c r="E43" s="2163"/>
      <c r="F43" s="2469"/>
      <c r="G43" s="2469"/>
      <c r="H43" s="2469"/>
      <c r="I43" s="2470"/>
    </row>
    <row r="44" spans="1:15" ht="17.399999999999999">
      <c r="A44" s="2471" t="s">
        <v>2176</v>
      </c>
      <c r="B44" s="2472"/>
      <c r="C44" s="2472"/>
      <c r="D44" s="2473"/>
      <c r="E44" s="2473"/>
      <c r="F44" s="2474"/>
      <c r="G44" s="2474"/>
      <c r="H44" s="2474"/>
      <c r="I44" s="2474"/>
      <c r="J44" s="2475" t="s">
        <v>2177</v>
      </c>
      <c r="K44" s="2476"/>
      <c r="L44" s="2476"/>
      <c r="M44" s="2476"/>
      <c r="N44" s="2476"/>
      <c r="O44" s="2476"/>
    </row>
    <row r="45" spans="1:15" ht="14.25" customHeight="1" thickBot="1">
      <c r="A45" s="3142" t="s">
        <v>2178</v>
      </c>
      <c r="B45" s="3143"/>
      <c r="C45" s="3144"/>
      <c r="D45" s="164">
        <f ca="1">ROUND(H101*F45,0)</f>
        <v>86456</v>
      </c>
      <c r="E45" s="165" t="s">
        <v>2179</v>
      </c>
      <c r="F45" s="166">
        <v>1</v>
      </c>
      <c r="G45" s="167" t="s">
        <v>2180</v>
      </c>
      <c r="H45" s="138"/>
      <c r="I45" s="138"/>
      <c r="J45" s="3061" t="s">
        <v>2181</v>
      </c>
      <c r="K45" s="3061"/>
      <c r="L45" s="3061"/>
      <c r="M45" s="3061"/>
      <c r="N45" s="3061"/>
      <c r="O45" s="3061"/>
    </row>
    <row r="46" spans="1:15" ht="14.25" customHeight="1">
      <c r="A46" s="3139" t="s">
        <v>2182</v>
      </c>
      <c r="B46" s="3140"/>
      <c r="C46" s="3140"/>
      <c r="D46" s="3140"/>
      <c r="E46" s="3140"/>
      <c r="F46" s="3140"/>
      <c r="G46" s="3141"/>
      <c r="H46" s="2477"/>
      <c r="I46" s="168"/>
      <c r="J46" s="1809">
        <v>1</v>
      </c>
      <c r="K46" s="3061" t="s">
        <v>2183</v>
      </c>
      <c r="L46" s="3061"/>
      <c r="M46" s="3062"/>
      <c r="N46" s="3062"/>
      <c r="O46" s="3062"/>
    </row>
    <row r="47" spans="1:15" ht="12" customHeight="1">
      <c r="A47" s="169" t="s">
        <v>2184</v>
      </c>
      <c r="B47" s="170"/>
      <c r="C47" s="171"/>
      <c r="D47" s="172" t="s">
        <v>2185</v>
      </c>
      <c r="E47" s="24" t="s">
        <v>2186</v>
      </c>
      <c r="F47" s="173" t="s">
        <v>2187</v>
      </c>
      <c r="G47" s="174" t="s">
        <v>2188</v>
      </c>
      <c r="H47" s="2477"/>
      <c r="I47" s="168"/>
      <c r="J47" s="1809">
        <v>2</v>
      </c>
      <c r="K47" s="3061" t="s">
        <v>2189</v>
      </c>
      <c r="L47" s="3061"/>
      <c r="M47" s="3063">
        <f>'数据-取费表'!B2</f>
        <v>43692</v>
      </c>
      <c r="N47" s="3063"/>
      <c r="O47" s="3063"/>
    </row>
    <row r="48" spans="1:15" ht="26.4">
      <c r="A48" s="3129" t="s">
        <v>2190</v>
      </c>
      <c r="B48" s="3130"/>
      <c r="C48" s="3130"/>
      <c r="D48" s="140">
        <f>IF(H48="情况1",0,IF(H48="情况2",D52,IF(H48="情况3",D53,IF(H48="情况4",D54))))</f>
        <v>0</v>
      </c>
      <c r="E48" s="1798" t="str">
        <f>IF(H48="情况4","(销售额-原购置价)×税（费）率","销售额×税（费）率")</f>
        <v>销售额×税（费）率</v>
      </c>
      <c r="F48" s="175" t="str">
        <f>IF(H48="情况1","免征",'数据-取费表'!B41)</f>
        <v>免征</v>
      </c>
      <c r="G48" s="2478" t="s">
        <v>2191</v>
      </c>
      <c r="H48" s="2479" t="s">
        <v>2192</v>
      </c>
      <c r="I48" s="2477"/>
      <c r="J48" s="1809">
        <v>3</v>
      </c>
      <c r="K48" s="3061" t="s">
        <v>2193</v>
      </c>
      <c r="L48" s="3061"/>
      <c r="M48" s="3064">
        <f ca="1">H101</f>
        <v>86456</v>
      </c>
      <c r="N48" s="3064"/>
      <c r="O48" s="3064"/>
    </row>
    <row r="49" spans="1:35" ht="25.5" customHeight="1">
      <c r="A49" s="176" t="s">
        <v>2194</v>
      </c>
      <c r="B49" s="3109" t="s">
        <v>2195</v>
      </c>
      <c r="C49" s="3109"/>
      <c r="D49" s="177">
        <v>0</v>
      </c>
      <c r="E49" s="23" t="s">
        <v>2196</v>
      </c>
      <c r="F49" s="28" t="s">
        <v>34</v>
      </c>
      <c r="G49" s="3090"/>
      <c r="H49" s="138"/>
      <c r="I49" s="2480"/>
      <c r="J49" s="1809">
        <v>4</v>
      </c>
      <c r="K49" s="3061" t="str">
        <f>IF(项目基本情况!E8="房地产抵押价值","房地产抵押价值","抵押担保权已注销时的房地产抵押价值")</f>
        <v>房地产抵押价值</v>
      </c>
      <c r="L49" s="3061"/>
      <c r="M49" s="3064">
        <f ca="1">IF(项目基本情况!E8="房地产抵押价值",H107,H109)</f>
        <v>86456</v>
      </c>
      <c r="N49" s="3064"/>
      <c r="O49" s="3064"/>
    </row>
    <row r="50" spans="1:35" ht="25.5" customHeight="1">
      <c r="A50" s="178"/>
      <c r="B50" s="3109" t="s">
        <v>2197</v>
      </c>
      <c r="C50" s="3109"/>
      <c r="D50" s="179"/>
      <c r="E50" s="31"/>
      <c r="F50" s="180"/>
      <c r="G50" s="3091"/>
      <c r="H50" s="138"/>
      <c r="I50" s="2480"/>
      <c r="J50" s="3061" t="s">
        <v>2198</v>
      </c>
      <c r="K50" s="3061"/>
      <c r="L50" s="3061"/>
      <c r="M50" s="3061"/>
      <c r="N50" s="3061"/>
      <c r="O50" s="3061"/>
    </row>
    <row r="51" spans="1:35" ht="12" customHeight="1">
      <c r="A51" s="181"/>
      <c r="B51" s="3109" t="s">
        <v>2199</v>
      </c>
      <c r="C51" s="3109"/>
      <c r="D51" s="182"/>
      <c r="E51" s="30"/>
      <c r="F51" s="180"/>
      <c r="G51" s="3092"/>
      <c r="H51" s="138"/>
      <c r="I51" s="2480"/>
      <c r="J51" s="2481" t="s">
        <v>2200</v>
      </c>
      <c r="K51" s="3061" t="s">
        <v>2201</v>
      </c>
      <c r="L51" s="3061"/>
      <c r="M51" s="2481" t="s">
        <v>2202</v>
      </c>
      <c r="N51" s="2481" t="s">
        <v>2203</v>
      </c>
      <c r="O51" s="2481" t="s">
        <v>2204</v>
      </c>
    </row>
    <row r="52" spans="1:35" ht="24" customHeight="1">
      <c r="A52" s="183" t="s">
        <v>2205</v>
      </c>
      <c r="B52" s="3109" t="s">
        <v>2206</v>
      </c>
      <c r="C52" s="3109"/>
      <c r="D52" s="182">
        <f ca="1">ROUND(D45*'数据-取费表'!B41/(1+'数据-取费表'!C42),0)</f>
        <v>4611</v>
      </c>
      <c r="E52" s="11" t="s">
        <v>2207</v>
      </c>
      <c r="F52" s="184">
        <f>'数据-取费表'!B41</f>
        <v>5.6000000000000001E-2</v>
      </c>
      <c r="G52" s="2482"/>
      <c r="H52" s="138"/>
      <c r="I52" s="2480"/>
      <c r="J52" s="1809">
        <v>1</v>
      </c>
      <c r="K52" s="3084" t="s">
        <v>2208</v>
      </c>
      <c r="L52" s="3084"/>
      <c r="M52" s="1751">
        <f>D48</f>
        <v>0</v>
      </c>
      <c r="N52" s="1809" t="str">
        <f>E48</f>
        <v>销售额×税（费）率</v>
      </c>
      <c r="O52" s="1752" t="str">
        <f>F48</f>
        <v>免征</v>
      </c>
    </row>
    <row r="53" spans="1:35" ht="12" customHeight="1">
      <c r="A53" s="183" t="s">
        <v>2209</v>
      </c>
      <c r="B53" s="3110" t="s">
        <v>2210</v>
      </c>
      <c r="C53" s="3111"/>
      <c r="D53" s="182">
        <f ca="1">ROUND(D45*'数据-取费表'!B41/(1+'数据-取费表'!C42),0)</f>
        <v>4611</v>
      </c>
      <c r="E53" s="11" t="s">
        <v>2207</v>
      </c>
      <c r="F53" s="184">
        <f>'数据-取费表'!B41</f>
        <v>5.6000000000000001E-2</v>
      </c>
      <c r="G53" s="2482"/>
      <c r="H53" s="138"/>
      <c r="I53" s="2480"/>
      <c r="J53" s="1809">
        <v>2</v>
      </c>
      <c r="K53" s="3084" t="s">
        <v>2211</v>
      </c>
      <c r="L53" s="3084"/>
      <c r="M53" s="1751">
        <f t="shared" ref="M53:O54" ca="1" si="0">D55</f>
        <v>43</v>
      </c>
      <c r="N53" s="1809" t="str">
        <f t="shared" si="0"/>
        <v>销售额×税（费）率</v>
      </c>
      <c r="O53" s="1752">
        <f t="shared" si="0"/>
        <v>5.0000000000000001E-4</v>
      </c>
    </row>
    <row r="54" spans="1:35" ht="12" customHeight="1">
      <c r="A54" s="183" t="s">
        <v>2212</v>
      </c>
      <c r="B54" s="3110" t="s">
        <v>2213</v>
      </c>
      <c r="C54" s="3111"/>
      <c r="D54" s="182">
        <f ca="1">C68</f>
        <v>4611</v>
      </c>
      <c r="E54" s="30" t="s">
        <v>2214</v>
      </c>
      <c r="F54" s="184">
        <f>'数据-取费表'!B41</f>
        <v>5.6000000000000001E-2</v>
      </c>
      <c r="G54" s="2482"/>
      <c r="H54" s="2483"/>
      <c r="I54" s="2480"/>
      <c r="J54" s="1809">
        <v>3</v>
      </c>
      <c r="K54" s="3084" t="s">
        <v>2215</v>
      </c>
      <c r="L54" s="3084"/>
      <c r="M54" s="1751">
        <f t="shared" ca="1" si="0"/>
        <v>48934</v>
      </c>
      <c r="N54" s="1809" t="str">
        <f t="shared" si="0"/>
        <v>增值额×税（费）率</v>
      </c>
      <c r="O54" s="1753" t="str">
        <f t="shared" si="0"/>
        <v>——</v>
      </c>
    </row>
    <row r="55" spans="1:35" ht="24" customHeight="1">
      <c r="A55" s="3148" t="s">
        <v>2216</v>
      </c>
      <c r="B55" s="3130"/>
      <c r="C55" s="3130"/>
      <c r="D55" s="185">
        <f ca="1">IF(H55="个人住宅",0,ROUND(D45*I55,0))</f>
        <v>43</v>
      </c>
      <c r="E55" s="11" t="s">
        <v>2217</v>
      </c>
      <c r="F55" s="184">
        <f>IF(H55="正常",I55,"免征")</f>
        <v>5.0000000000000001E-4</v>
      </c>
      <c r="G55" s="2482"/>
      <c r="H55" s="2479" t="s">
        <v>2218</v>
      </c>
      <c r="I55" s="186">
        <f>'数据-取费表'!B49</f>
        <v>5.0000000000000001E-4</v>
      </c>
      <c r="J55" s="1809" t="str">
        <f>IF(H59="非个人房产","",4)</f>
        <v/>
      </c>
      <c r="K55" s="3084" t="str">
        <f>IF(H59="非个人房产","——","个人所得税")</f>
        <v>——</v>
      </c>
      <c r="L55" s="3084"/>
      <c r="M55" s="1754" t="str">
        <f>D59</f>
        <v>——</v>
      </c>
      <c r="N55" s="1807" t="str">
        <f>E59</f>
        <v>——</v>
      </c>
      <c r="O55" s="1755" t="str">
        <f>F59</f>
        <v>——</v>
      </c>
    </row>
    <row r="56" spans="1:35" ht="25.2">
      <c r="A56" s="3148" t="s">
        <v>2219</v>
      </c>
      <c r="B56" s="3130"/>
      <c r="C56" s="3130"/>
      <c r="D56" s="185">
        <f ca="1">IF(H56="个人住宅",D57,D58)</f>
        <v>48934</v>
      </c>
      <c r="E56" s="11" t="s">
        <v>2220</v>
      </c>
      <c r="F56" s="184" t="str">
        <f>IF(H56="正常",F58,"免征")</f>
        <v>——</v>
      </c>
      <c r="G56" s="2484" t="s">
        <v>2221</v>
      </c>
      <c r="H56" s="2485" t="s">
        <v>2218</v>
      </c>
      <c r="I56" s="2486"/>
      <c r="J56" s="1809" t="str">
        <f>IF(项目基本情况!K6="上海银行",IF(J55="",4,J55+1),"")</f>
        <v/>
      </c>
      <c r="K56" s="3067" t="str">
        <f>IF(项目基本情况!K6="上海银行","其他处置费用","")</f>
        <v/>
      </c>
      <c r="L56" s="3068"/>
      <c r="M56" s="1751" t="str">
        <f>IF(项目基本情况!K6="上海银行",M69,"")</f>
        <v/>
      </c>
      <c r="N56" s="3070" t="str">
        <f>IF(项目基本情况!K6="上海银行","包含处置中涉及的律师、诉讼、拍卖、评估等费用","")</f>
        <v/>
      </c>
      <c r="O56" s="3071"/>
    </row>
    <row r="57" spans="1:35" ht="13.2">
      <c r="A57" s="183" t="s">
        <v>2194</v>
      </c>
      <c r="B57" s="3115" t="s">
        <v>2222</v>
      </c>
      <c r="C57" s="3116"/>
      <c r="D57" s="187">
        <v>0</v>
      </c>
      <c r="E57" s="23" t="s">
        <v>2196</v>
      </c>
      <c r="F57" s="155"/>
      <c r="G57" s="2482"/>
      <c r="H57" s="2486"/>
      <c r="I57" s="2486"/>
      <c r="J57" s="3084">
        <f>IF(AND(J55="",J56=""),4,IF(项目基本情况!K6="上海银行",结果表!J56+1,结果表!J55+1))</f>
        <v>4</v>
      </c>
      <c r="K57" s="3084" t="s">
        <v>2223</v>
      </c>
      <c r="L57" s="2487" t="s">
        <v>2224</v>
      </c>
      <c r="M57" s="1756"/>
      <c r="N57" s="1757">
        <f ca="1">SUMIF(M52:M56,"&lt;9e307")</f>
        <v>48977</v>
      </c>
      <c r="O57" s="2488"/>
      <c r="P57" s="1750">
        <f ca="1">N57/M49</f>
        <v>0.56649625242898116</v>
      </c>
    </row>
    <row r="58" spans="1:35" ht="25.2">
      <c r="A58" s="183" t="s">
        <v>2205</v>
      </c>
      <c r="B58" s="3115" t="s">
        <v>2225</v>
      </c>
      <c r="C58" s="3128"/>
      <c r="D58" s="185">
        <f ca="1">IF(H58="转让取得",C81,C97)</f>
        <v>48934</v>
      </c>
      <c r="E58" s="11" t="s">
        <v>2220</v>
      </c>
      <c r="F58" s="24" t="s">
        <v>34</v>
      </c>
      <c r="G58" s="2482"/>
      <c r="H58" s="2485" t="s">
        <v>2226</v>
      </c>
      <c r="I58" s="2486"/>
      <c r="J58" s="3084"/>
      <c r="K58" s="3084"/>
      <c r="L58" s="2487" t="s">
        <v>2227</v>
      </c>
      <c r="M58" s="1758"/>
      <c r="N58" s="2489" t="str">
        <f ca="1">NUMBERSTRING(INT(N57*10000),2)&amp;"元整"</f>
        <v>肆亿捌仟玖佰柒拾柒万元整</v>
      </c>
      <c r="O58" s="2490"/>
    </row>
    <row r="59" spans="1:35" ht="24.6" thickBot="1">
      <c r="A59" s="3088" t="s">
        <v>2228</v>
      </c>
      <c r="B59" s="3089"/>
      <c r="C59" s="3089"/>
      <c r="D59" s="188" t="str">
        <f>IF(H59="非个人房产","——",IF(H59="个人住宅",0,ROUND(D45*I59,0)))</f>
        <v>——</v>
      </c>
      <c r="E59" s="189" t="str">
        <f>IF(H59="非个人房产","——","销售额×税（费）率")</f>
        <v>——</v>
      </c>
      <c r="F59" s="190" t="str">
        <f>IF(H59="非个人房产","——",IF(H59="个人住宅","免征",I59))</f>
        <v>——</v>
      </c>
      <c r="G59" s="2491" t="s">
        <v>2221</v>
      </c>
      <c r="H59" s="2485" t="s">
        <v>2229</v>
      </c>
      <c r="I59" s="191">
        <v>0.01</v>
      </c>
      <c r="J59" s="3086">
        <f>J57+1</f>
        <v>5</v>
      </c>
      <c r="K59" s="3084" t="s">
        <v>2230</v>
      </c>
      <c r="L59" s="1809" t="s">
        <v>2224</v>
      </c>
      <c r="M59" s="1759"/>
      <c r="N59" s="1760">
        <f ca="1">M49-N57</f>
        <v>37479</v>
      </c>
      <c r="O59" s="2492"/>
    </row>
    <row r="60" spans="1:35" ht="12" customHeight="1">
      <c r="A60" s="2493"/>
      <c r="B60" s="2415"/>
      <c r="C60" s="2415"/>
      <c r="D60" s="2415"/>
      <c r="E60" s="2164"/>
      <c r="F60" s="2486"/>
      <c r="G60" s="2486"/>
      <c r="H60" s="2494"/>
      <c r="I60" s="138"/>
      <c r="J60" s="3087"/>
      <c r="K60" s="3084"/>
      <c r="L60" s="2487" t="s">
        <v>2227</v>
      </c>
      <c r="M60" s="1758"/>
      <c r="N60" s="2489" t="str">
        <f ca="1">NUMBERSTRING(INT(N59*10000),2)&amp;"元整"</f>
        <v>叁亿柒仟肆佰柒拾玖万元整</v>
      </c>
      <c r="O60" s="2490"/>
    </row>
    <row r="61" spans="1:35" ht="13.8" thickBot="1">
      <c r="A61" s="3147" t="s">
        <v>2231</v>
      </c>
      <c r="B61" s="3147"/>
      <c r="C61" s="3147"/>
      <c r="D61" s="3147"/>
      <c r="E61" s="3147"/>
      <c r="F61" s="2486"/>
      <c r="G61" s="2486"/>
      <c r="H61" s="2494"/>
      <c r="I61" s="138"/>
      <c r="J61" s="1809">
        <f>J59+1</f>
        <v>6</v>
      </c>
      <c r="K61" s="3084" t="s">
        <v>2232</v>
      </c>
      <c r="L61" s="3084"/>
      <c r="M61" s="1761"/>
      <c r="N61" s="1762">
        <f ca="1">ROUND(N59*10000/'数据-汇总表'!E3,0)</f>
        <v>4898</v>
      </c>
      <c r="O61" s="2495"/>
    </row>
    <row r="62" spans="1:35" ht="13.2">
      <c r="A62" s="3104" t="s">
        <v>2233</v>
      </c>
      <c r="B62" s="3105"/>
      <c r="C62" s="1801"/>
      <c r="D62" s="1801" t="s">
        <v>2234</v>
      </c>
      <c r="E62" s="192" t="s">
        <v>2235</v>
      </c>
      <c r="F62" s="2486"/>
      <c r="G62" s="2486"/>
      <c r="H62" s="2494"/>
      <c r="I62" s="138"/>
    </row>
    <row r="63" spans="1:35" ht="13.2">
      <c r="A63" s="203" t="s">
        <v>775</v>
      </c>
      <c r="B63" s="193" t="s">
        <v>2236</v>
      </c>
      <c r="C63" s="194">
        <f ca="1">ROUND((C64+C65)/(1+'数据-取费表'!C42),0)</f>
        <v>82339</v>
      </c>
      <c r="D63" s="195"/>
      <c r="E63" s="196"/>
      <c r="F63" s="2486"/>
      <c r="G63" s="2486"/>
      <c r="H63" s="2494"/>
      <c r="I63" s="138"/>
      <c r="J63" s="3069" t="s">
        <v>2237</v>
      </c>
      <c r="K63" s="2496" t="s">
        <v>2238</v>
      </c>
      <c r="L63" s="1749">
        <f ca="1">IF(M49&gt;10000,M49*0.5%,IF(AND(M49&gt;1000,M49&lt;=10000),M49*1%,IF(AND(M49&gt;100,M49&lt;=1000),M49*3%,IF(AND(M49&gt;10,M49&lt;=100),M49*5%,M49*8%))))</f>
        <v>432.28000000000003</v>
      </c>
      <c r="M63" s="24">
        <f ca="1">ROUND(L63,1)</f>
        <v>432.3</v>
      </c>
      <c r="Z63" s="2420"/>
      <c r="AI63" s="2421"/>
    </row>
    <row r="64" spans="1:35" ht="14.25" customHeight="1">
      <c r="A64" s="197" t="s">
        <v>770</v>
      </c>
      <c r="B64" s="198" t="s">
        <v>2239</v>
      </c>
      <c r="C64" s="199">
        <f ca="1">D45</f>
        <v>86456</v>
      </c>
      <c r="D64" s="200" t="s">
        <v>32</v>
      </c>
      <c r="E64" s="201"/>
      <c r="F64" s="2486"/>
      <c r="G64" s="2486"/>
      <c r="H64" s="2494"/>
      <c r="I64" s="138"/>
      <c r="J64" s="3069"/>
      <c r="K64" s="2496" t="s">
        <v>2240</v>
      </c>
      <c r="L64" s="1749">
        <f ca="1">IF(M49&gt;2000,M49*0.5%,IF(AND(M49&gt;1000,M49&lt;=2000),M49*0.6%,IF(AND(M49&gt;500,M49&lt;=1000),M49*0.7%,IF(AND(M49&gt;200,M49&lt;=500),M49*0.8%,IF(AND(M49&gt;100,M49&lt;=200),M49*0.9%,IF(AND(M49&gt;50,M49&lt;=100),M49*1%,IF(AND(M49&gt;20,M49&lt;=50),M49*1.5%,IF(AND(M49&gt;10,M49&lt;=20),M49*2%,IF(AND(M49&gt;1,M49&lt;=10),M49*2.5%)))))))))</f>
        <v>432.28000000000003</v>
      </c>
      <c r="M64" s="24">
        <f t="shared" ref="M64:M65" ca="1" si="1">ROUND(L64,1)</f>
        <v>432.3</v>
      </c>
      <c r="N64" s="138" t="s">
        <v>2241</v>
      </c>
      <c r="Z64" s="2420"/>
      <c r="AI64" s="2421"/>
    </row>
    <row r="65" spans="1:35" ht="14.25" customHeight="1">
      <c r="A65" s="197" t="s">
        <v>771</v>
      </c>
      <c r="B65" s="198" t="s">
        <v>2242</v>
      </c>
      <c r="C65" s="202"/>
      <c r="D65" s="200"/>
      <c r="E65" s="201"/>
      <c r="F65" s="2486"/>
      <c r="G65" s="2486"/>
      <c r="H65" s="2494"/>
      <c r="I65" s="138"/>
      <c r="J65" s="3069"/>
      <c r="K65" s="2496" t="s">
        <v>2243</v>
      </c>
      <c r="L65" s="1749">
        <f ca="1">IF(M49&gt;1000,M49*0.1%,IF(AND(M49&gt;500,M49&lt;=1000),M49*0.5%,IF(AND(M49&gt;50,M49&lt;=500),M49*1%,IF(AND(M49&gt;1,M49&lt;=50),M49*1.5%))))</f>
        <v>86.456000000000003</v>
      </c>
      <c r="M65" s="24">
        <f t="shared" ca="1" si="1"/>
        <v>86.5</v>
      </c>
      <c r="N65" s="138" t="s">
        <v>2241</v>
      </c>
      <c r="Z65" s="2420"/>
      <c r="AI65" s="2421"/>
    </row>
    <row r="66" spans="1:35" ht="14.25" customHeight="1">
      <c r="A66" s="203" t="s">
        <v>772</v>
      </c>
      <c r="B66" s="204" t="s">
        <v>2244</v>
      </c>
      <c r="C66" s="205"/>
      <c r="D66" s="206" t="s">
        <v>32</v>
      </c>
      <c r="E66" s="1773" t="s">
        <v>1367</v>
      </c>
      <c r="F66" s="2486"/>
      <c r="G66" s="2486"/>
      <c r="H66" s="2494"/>
      <c r="I66" s="138"/>
      <c r="J66" s="3069"/>
      <c r="K66" s="2496" t="s">
        <v>2245</v>
      </c>
      <c r="L66" s="1749">
        <f ca="1">M49*0.5%</f>
        <v>432.28000000000003</v>
      </c>
      <c r="M66" s="24">
        <f ca="1">IF(L66&gt;0.5,0.5,ROUND(L66,0))</f>
        <v>0.5</v>
      </c>
      <c r="N66" s="138" t="s">
        <v>2246</v>
      </c>
      <c r="Z66" s="2420"/>
      <c r="AI66" s="2421"/>
    </row>
    <row r="67" spans="1:35" ht="14.25" customHeight="1">
      <c r="A67" s="203" t="s">
        <v>773</v>
      </c>
      <c r="B67" s="204" t="s">
        <v>2247</v>
      </c>
      <c r="C67" s="207">
        <f ca="1">C63-C66</f>
        <v>82339</v>
      </c>
      <c r="D67" s="200" t="s">
        <v>32</v>
      </c>
      <c r="E67" s="201"/>
      <c r="F67" s="2486"/>
      <c r="G67" s="2486"/>
      <c r="H67" s="2494"/>
      <c r="I67" s="138"/>
      <c r="J67" s="3069"/>
      <c r="K67" s="2496" t="s">
        <v>2248</v>
      </c>
      <c r="L67" s="1749">
        <f ca="1">IF(M49&gt;=10000,(8.25+(M49-10000)*0.01%),IF(AND(M49&gt;=8000,M49&lt;10000),(7.85+(M49-8000)*0.02%),IF(AND(M49&gt;=5000,M49&lt;8000),(6.65+(M49-5000)*0.04%),IF(AND(M49&gt;=2000,M49&lt;5000),(4.25+(PM49-2000)*0.08%),IF(AND(M49&gt;=1000,M49&lt;2000),(2.75+(M49-1000)*0.15%),IF(AND(M49&gt;=100,M49&lt;1000),(0.5+(M49-100)*0.25%),IF(AND(M49&gt;0,M49&lt;100),M49*0.5%)))))))</f>
        <v>15.8956</v>
      </c>
      <c r="M67" s="24">
        <f ca="1">ROUND(L67*0.9,1)</f>
        <v>14.3</v>
      </c>
      <c r="Z67" s="2420"/>
      <c r="AI67" s="2421"/>
    </row>
    <row r="68" spans="1:35" ht="14.25" customHeight="1" thickBot="1">
      <c r="A68" s="208" t="s">
        <v>774</v>
      </c>
      <c r="B68" s="209" t="s">
        <v>2249</v>
      </c>
      <c r="C68" s="210">
        <f ca="1">IF(C67&lt;=0,0,ROUND(C67*D68,0))</f>
        <v>4611</v>
      </c>
      <c r="D68" s="211">
        <f>'数据-取费表'!B41</f>
        <v>5.6000000000000001E-2</v>
      </c>
      <c r="E68" s="212"/>
      <c r="F68" s="2486"/>
      <c r="G68" s="2486"/>
      <c r="H68" s="2494"/>
      <c r="I68" s="138"/>
      <c r="J68" s="3069"/>
      <c r="K68" s="2496" t="s">
        <v>2250</v>
      </c>
      <c r="L68" s="1749">
        <f ca="1">IF(M49&gt;10000,M49*0.5%,IF(AND(M49&gt;5000,M49&lt;=10000),M49*1%,IF(AND(M49&gt;1000,M49&lt;=5000),M49*2%,IF(AND(M49&gt;200,M49&lt;=1000),M49*3%,M49*5%))))</f>
        <v>432.28000000000003</v>
      </c>
      <c r="M68" s="24">
        <f ca="1">ROUND(L68,1)</f>
        <v>432.3</v>
      </c>
      <c r="Z68" s="2420"/>
      <c r="AI68" s="2421"/>
    </row>
    <row r="69" spans="1:35" s="2443" customFormat="1" ht="16.5" customHeight="1">
      <c r="A69" s="2497"/>
      <c r="B69" s="2498"/>
      <c r="C69" s="2499"/>
      <c r="D69" s="2500"/>
      <c r="E69" s="2501"/>
      <c r="F69" s="2164"/>
      <c r="G69" s="2164"/>
      <c r="H69" s="2163"/>
      <c r="I69" s="2415"/>
      <c r="J69" s="3069"/>
      <c r="K69" s="2496" t="s">
        <v>2251</v>
      </c>
      <c r="L69" s="2502"/>
      <c r="M69" s="24">
        <f ca="1">ROUND(SUM(M63:M68),0)</f>
        <v>1398</v>
      </c>
      <c r="N69" s="1750">
        <f ca="1">M69/M49</f>
        <v>1.6170074951420376E-2</v>
      </c>
      <c r="O69" s="795"/>
      <c r="P69" s="795"/>
      <c r="Q69" s="795"/>
      <c r="R69" s="795"/>
      <c r="S69" s="795"/>
      <c r="T69" s="795"/>
      <c r="U69" s="795"/>
      <c r="V69" s="795"/>
      <c r="W69" s="795"/>
      <c r="X69" s="795"/>
      <c r="Y69" s="795"/>
      <c r="Z69" s="2420"/>
      <c r="AA69" s="2420"/>
      <c r="AB69" s="2420"/>
      <c r="AC69" s="2420"/>
      <c r="AD69" s="2420"/>
      <c r="AE69" s="2420"/>
      <c r="AF69" s="2420"/>
      <c r="AG69" s="2420"/>
      <c r="AH69" s="2420"/>
    </row>
    <row r="70" spans="1:35" s="2504" customFormat="1" ht="14.4" thickBot="1">
      <c r="A70" s="3113" t="s">
        <v>2252</v>
      </c>
      <c r="B70" s="3114"/>
      <c r="C70" s="3114"/>
      <c r="D70" s="3114"/>
      <c r="E70" s="3114"/>
      <c r="F70" s="3114"/>
      <c r="G70" s="3114"/>
      <c r="H70" s="3114"/>
      <c r="I70" s="2503"/>
      <c r="N70" s="2505"/>
      <c r="O70" s="2505"/>
      <c r="P70" s="2505"/>
      <c r="Q70" s="2505"/>
      <c r="R70" s="2505"/>
      <c r="S70" s="2505"/>
      <c r="T70" s="2505"/>
      <c r="U70" s="2505"/>
      <c r="V70" s="2505"/>
      <c r="W70" s="2505"/>
      <c r="X70" s="2505"/>
      <c r="Y70" s="2505"/>
      <c r="Z70" s="2505"/>
      <c r="AA70" s="2506"/>
      <c r="AB70" s="2506"/>
      <c r="AC70" s="2506"/>
      <c r="AD70" s="2506"/>
      <c r="AE70" s="2506"/>
      <c r="AF70" s="2506"/>
      <c r="AG70" s="2506"/>
      <c r="AH70" s="2506"/>
      <c r="AI70" s="2506"/>
    </row>
    <row r="71" spans="1:35" s="2504" customFormat="1" ht="13.8">
      <c r="A71" s="3104" t="s">
        <v>2233</v>
      </c>
      <c r="B71" s="3105"/>
      <c r="C71" s="1801"/>
      <c r="D71" s="1801" t="s">
        <v>2234</v>
      </c>
      <c r="E71" s="213" t="s">
        <v>2235</v>
      </c>
      <c r="F71" s="214"/>
      <c r="G71" s="214"/>
      <c r="H71" s="215"/>
      <c r="I71" s="2507"/>
      <c r="N71" s="2505"/>
      <c r="O71" s="2505"/>
      <c r="P71" s="2505"/>
      <c r="Q71" s="2505"/>
      <c r="R71" s="2505"/>
      <c r="S71" s="2505"/>
      <c r="T71" s="2505"/>
      <c r="U71" s="2505"/>
      <c r="V71" s="2505"/>
      <c r="W71" s="2505"/>
      <c r="X71" s="2505"/>
      <c r="Y71" s="2505"/>
      <c r="Z71" s="2505"/>
      <c r="AA71" s="2506"/>
      <c r="AB71" s="2506"/>
      <c r="AC71" s="2506"/>
      <c r="AD71" s="2506"/>
      <c r="AE71" s="2506"/>
      <c r="AF71" s="2506"/>
      <c r="AG71" s="2506"/>
      <c r="AH71" s="2506"/>
      <c r="AI71" s="2506"/>
    </row>
    <row r="72" spans="1:35" s="2504" customFormat="1" ht="13.8">
      <c r="A72" s="203" t="s">
        <v>775</v>
      </c>
      <c r="B72" s="204" t="s">
        <v>2253</v>
      </c>
      <c r="C72" s="207">
        <f ca="1">ROUND(D45/(1+'数据-取费表'!C42),0)</f>
        <v>82339</v>
      </c>
      <c r="D72" s="200" t="s">
        <v>32</v>
      </c>
      <c r="E72" s="1800"/>
      <c r="F72" s="1794"/>
      <c r="G72" s="1794"/>
      <c r="H72" s="216"/>
      <c r="I72" s="2507"/>
      <c r="N72" s="2505"/>
      <c r="O72" s="2505"/>
      <c r="P72" s="2505"/>
      <c r="Q72" s="2505"/>
      <c r="R72" s="2505"/>
      <c r="S72" s="2505"/>
      <c r="T72" s="2505"/>
      <c r="U72" s="2505"/>
      <c r="V72" s="2505"/>
      <c r="W72" s="2505"/>
      <c r="X72" s="2505"/>
      <c r="Y72" s="2505"/>
      <c r="Z72" s="2505"/>
      <c r="AA72" s="2506"/>
      <c r="AB72" s="2506"/>
      <c r="AC72" s="2506"/>
      <c r="AD72" s="2506"/>
      <c r="AE72" s="2506"/>
      <c r="AF72" s="2506"/>
      <c r="AG72" s="2506"/>
      <c r="AH72" s="2506"/>
      <c r="AI72" s="2506"/>
    </row>
    <row r="73" spans="1:35" s="2504" customFormat="1" ht="13.8">
      <c r="A73" s="203" t="s">
        <v>772</v>
      </c>
      <c r="B73" s="173" t="s">
        <v>2254</v>
      </c>
      <c r="C73" s="207">
        <f ca="1">C74+C78</f>
        <v>494</v>
      </c>
      <c r="D73" s="200" t="s">
        <v>32</v>
      </c>
      <c r="E73" s="1800"/>
      <c r="F73" s="1794"/>
      <c r="G73" s="1794"/>
      <c r="H73" s="216"/>
      <c r="I73" s="2507"/>
      <c r="J73" s="2505"/>
      <c r="K73" s="2505"/>
      <c r="L73" s="2505"/>
      <c r="M73" s="2505"/>
      <c r="N73" s="2505"/>
      <c r="O73" s="2505"/>
      <c r="P73" s="2505"/>
      <c r="Q73" s="2505"/>
      <c r="R73" s="2505"/>
      <c r="S73" s="2505"/>
      <c r="T73" s="2505"/>
      <c r="U73" s="2505"/>
      <c r="V73" s="2505"/>
      <c r="W73" s="2505"/>
      <c r="X73" s="2505"/>
      <c r="Y73" s="2505"/>
      <c r="Z73" s="2505"/>
      <c r="AA73" s="2506"/>
      <c r="AB73" s="2506"/>
      <c r="AC73" s="2506"/>
      <c r="AD73" s="2506"/>
      <c r="AE73" s="2506"/>
      <c r="AF73" s="2506"/>
      <c r="AG73" s="2506"/>
      <c r="AH73" s="2506"/>
      <c r="AI73" s="2506"/>
    </row>
    <row r="74" spans="1:35" s="2504" customFormat="1" ht="24">
      <c r="A74" s="217" t="s">
        <v>770</v>
      </c>
      <c r="B74" s="198" t="s">
        <v>2255</v>
      </c>
      <c r="C74" s="200">
        <f>ROUND(IF(G77="2016年5月1日后购买",C75/(1+'数据-取费表'!C42)+C76+C77,C75+C76+C77),0)</f>
        <v>0</v>
      </c>
      <c r="D74" s="200" t="s">
        <v>32</v>
      </c>
      <c r="E74" s="1800"/>
      <c r="F74" s="1794"/>
      <c r="G74" s="1794"/>
      <c r="H74" s="216"/>
      <c r="I74" s="2507"/>
      <c r="J74" s="2505"/>
      <c r="K74" s="2505"/>
      <c r="L74" s="2505"/>
      <c r="M74" s="2505"/>
      <c r="N74" s="2505"/>
      <c r="O74" s="2505"/>
      <c r="P74" s="2505"/>
      <c r="Q74" s="2505"/>
      <c r="R74" s="2505"/>
      <c r="S74" s="2505"/>
      <c r="T74" s="2505"/>
      <c r="U74" s="2505"/>
      <c r="V74" s="2505"/>
      <c r="W74" s="2505"/>
      <c r="X74" s="2505"/>
      <c r="Y74" s="2505"/>
      <c r="Z74" s="2505"/>
      <c r="AA74" s="2506"/>
      <c r="AB74" s="2506"/>
      <c r="AC74" s="2506"/>
      <c r="AD74" s="2506"/>
      <c r="AE74" s="2506"/>
      <c r="AF74" s="2506"/>
      <c r="AG74" s="2506"/>
      <c r="AH74" s="2506"/>
      <c r="AI74" s="2506"/>
    </row>
    <row r="75" spans="1:35" s="2504" customFormat="1" ht="28.8">
      <c r="A75" s="217" t="s">
        <v>776</v>
      </c>
      <c r="B75" s="198" t="s">
        <v>2256</v>
      </c>
      <c r="C75" s="218"/>
      <c r="D75" s="200" t="s">
        <v>32</v>
      </c>
      <c r="E75" s="219" t="s">
        <v>2257</v>
      </c>
      <c r="F75" s="2508" t="s">
        <v>2258</v>
      </c>
      <c r="G75" s="219" t="s">
        <v>2259</v>
      </c>
      <c r="H75" s="220"/>
      <c r="I75" s="2509"/>
      <c r="J75" s="2505"/>
      <c r="K75" s="2505"/>
      <c r="L75" s="2505"/>
      <c r="M75" s="2505"/>
      <c r="N75" s="2505"/>
      <c r="O75" s="2505"/>
      <c r="P75" s="2505"/>
      <c r="Q75" s="2505"/>
      <c r="R75" s="2505"/>
      <c r="S75" s="2505"/>
      <c r="T75" s="2505"/>
      <c r="U75" s="2505"/>
      <c r="V75" s="2505"/>
      <c r="W75" s="2505"/>
      <c r="X75" s="2505"/>
      <c r="Y75" s="2505"/>
      <c r="Z75" s="2505"/>
      <c r="AA75" s="2506"/>
      <c r="AB75" s="2506"/>
      <c r="AC75" s="2506"/>
      <c r="AD75" s="2506"/>
      <c r="AE75" s="2506"/>
      <c r="AF75" s="2506"/>
      <c r="AG75" s="2506"/>
      <c r="AH75" s="2506"/>
      <c r="AI75" s="2506"/>
    </row>
    <row r="76" spans="1:35" s="2504" customFormat="1" ht="24.75" customHeight="1">
      <c r="A76" s="217" t="s">
        <v>777</v>
      </c>
      <c r="B76" s="221" t="s">
        <v>2260</v>
      </c>
      <c r="C76" s="200">
        <f>IF(F75="购房发票",ROUND(C75*H75*D76,0),0)</f>
        <v>0</v>
      </c>
      <c r="D76" s="222">
        <v>0.05</v>
      </c>
      <c r="E76" s="3110" t="s">
        <v>2261</v>
      </c>
      <c r="F76" s="3109"/>
      <c r="G76" s="3109"/>
      <c r="H76" s="3112"/>
      <c r="I76" s="2507"/>
      <c r="J76" s="2505"/>
      <c r="K76" s="2505"/>
      <c r="L76" s="2505"/>
      <c r="M76" s="2505"/>
      <c r="N76" s="2505"/>
      <c r="O76" s="2505"/>
      <c r="P76" s="2505"/>
      <c r="Q76" s="2505"/>
      <c r="R76" s="2505"/>
      <c r="S76" s="2505"/>
      <c r="T76" s="2505"/>
      <c r="U76" s="2505"/>
      <c r="V76" s="2505"/>
      <c r="W76" s="2505"/>
      <c r="X76" s="2505"/>
      <c r="Y76" s="2505"/>
      <c r="Z76" s="2505"/>
      <c r="AA76" s="2506"/>
      <c r="AB76" s="2506"/>
      <c r="AC76" s="2506"/>
      <c r="AD76" s="2506"/>
      <c r="AE76" s="2506"/>
      <c r="AF76" s="2506"/>
      <c r="AG76" s="2506"/>
      <c r="AH76" s="2506"/>
      <c r="AI76" s="2506"/>
    </row>
    <row r="77" spans="1:35" s="2504" customFormat="1" ht="24.75" customHeight="1">
      <c r="A77" s="217" t="s">
        <v>778</v>
      </c>
      <c r="B77" s="198" t="s">
        <v>2262</v>
      </c>
      <c r="C77" s="200">
        <f>ROUND(IF(G77="个人住宅",0,IF(G77="2016年5月1日前购买",C75*D77,C75*D77/(1+'数据-取费表'!C42))),0)</f>
        <v>0</v>
      </c>
      <c r="D77" s="223">
        <f>'数据-取费表'!B48+'数据-取费表'!B49</f>
        <v>4.0500000000000001E-2</v>
      </c>
      <c r="E77" s="15" t="s">
        <v>2263</v>
      </c>
      <c r="F77" s="224"/>
      <c r="G77" s="2510" t="s">
        <v>2264</v>
      </c>
      <c r="H77" s="1805" t="str">
        <f>IF(G77="个人买卖住房","免征印花税"," ")</f>
        <v xml:space="preserve"> </v>
      </c>
      <c r="I77" s="2507"/>
      <c r="J77" s="2505"/>
      <c r="K77" s="2505"/>
      <c r="L77" s="2505"/>
      <c r="M77" s="2505"/>
      <c r="N77" s="2505"/>
      <c r="O77" s="2505"/>
      <c r="P77" s="2505"/>
      <c r="Q77" s="2505"/>
      <c r="R77" s="2505"/>
      <c r="S77" s="2505"/>
      <c r="T77" s="2505"/>
      <c r="U77" s="2505"/>
      <c r="V77" s="2505"/>
      <c r="W77" s="2505"/>
      <c r="X77" s="2505"/>
      <c r="Y77" s="2505"/>
      <c r="Z77" s="2505"/>
      <c r="AA77" s="2506"/>
      <c r="AB77" s="2506"/>
      <c r="AC77" s="2506"/>
      <c r="AD77" s="2506"/>
      <c r="AE77" s="2506"/>
      <c r="AF77" s="2506"/>
      <c r="AG77" s="2506"/>
      <c r="AH77" s="2506"/>
      <c r="AI77" s="2506"/>
    </row>
    <row r="78" spans="1:35" s="2504" customFormat="1" ht="24.75" customHeight="1">
      <c r="A78" s="217" t="s">
        <v>771</v>
      </c>
      <c r="B78" s="198" t="s">
        <v>2265</v>
      </c>
      <c r="C78" s="225">
        <f ca="1">ROUND(D45*D78/(1+'数据-取费表'!C42),0)</f>
        <v>494</v>
      </c>
      <c r="D78" s="226">
        <f>'数据-取费表'!B43</f>
        <v>6.000000000000001E-3</v>
      </c>
      <c r="E78" s="3101" t="s">
        <v>2266</v>
      </c>
      <c r="F78" s="3102"/>
      <c r="G78" s="3102"/>
      <c r="H78" s="3103"/>
      <c r="I78" s="2511"/>
      <c r="J78" s="2505"/>
      <c r="K78" s="2505"/>
      <c r="L78" s="2505"/>
      <c r="M78" s="2505"/>
      <c r="N78" s="2505"/>
      <c r="O78" s="2505"/>
      <c r="P78" s="2505"/>
      <c r="Q78" s="2505"/>
      <c r="R78" s="2505"/>
      <c r="S78" s="2505"/>
      <c r="T78" s="2505"/>
      <c r="U78" s="2505"/>
      <c r="V78" s="2505"/>
      <c r="W78" s="2505"/>
      <c r="X78" s="2505"/>
      <c r="Y78" s="2505"/>
      <c r="Z78" s="2505"/>
      <c r="AA78" s="2506"/>
      <c r="AB78" s="2506"/>
      <c r="AC78" s="2506"/>
      <c r="AD78" s="2506"/>
      <c r="AE78" s="2506"/>
      <c r="AF78" s="2506"/>
      <c r="AG78" s="2506"/>
      <c r="AH78" s="2506"/>
      <c r="AI78" s="2506"/>
    </row>
    <row r="79" spans="1:35" s="2504" customFormat="1" ht="13.8">
      <c r="A79" s="2512" t="s">
        <v>779</v>
      </c>
      <c r="B79" s="204" t="s">
        <v>2267</v>
      </c>
      <c r="C79" s="207">
        <f ca="1">C72-C73</f>
        <v>81845</v>
      </c>
      <c r="D79" s="200" t="s">
        <v>32</v>
      </c>
      <c r="E79" s="1800"/>
      <c r="F79" s="1794"/>
      <c r="G79" s="1794"/>
      <c r="H79" s="216"/>
      <c r="I79" s="2507"/>
      <c r="J79" s="2505"/>
      <c r="K79" s="2505"/>
      <c r="L79" s="2505"/>
      <c r="M79" s="2505"/>
      <c r="N79" s="2505"/>
      <c r="O79" s="2505"/>
      <c r="P79" s="2505"/>
      <c r="Q79" s="2505"/>
      <c r="R79" s="2505"/>
      <c r="S79" s="2505"/>
      <c r="T79" s="2505"/>
      <c r="U79" s="2505"/>
      <c r="V79" s="2505"/>
      <c r="W79" s="2505"/>
      <c r="X79" s="2505"/>
      <c r="Y79" s="2505"/>
      <c r="Z79" s="2505"/>
      <c r="AA79" s="2506"/>
      <c r="AB79" s="2506"/>
      <c r="AC79" s="2506"/>
      <c r="AD79" s="2506"/>
      <c r="AE79" s="2506"/>
      <c r="AF79" s="2506"/>
      <c r="AG79" s="2506"/>
      <c r="AH79" s="2506"/>
      <c r="AI79" s="2506"/>
    </row>
    <row r="80" spans="1:35" s="2504" customFormat="1" ht="24">
      <c r="A80" s="2512" t="s">
        <v>780</v>
      </c>
      <c r="B80" s="204" t="s">
        <v>2268</v>
      </c>
      <c r="C80" s="227">
        <f ca="1">IF(C79&lt;=0,0,C79/C73)</f>
        <v>165.67813765182186</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7"/>
      <c r="J80" s="2505"/>
      <c r="K80" s="2505"/>
      <c r="L80" s="2505"/>
      <c r="M80" s="2505"/>
      <c r="N80" s="2505"/>
      <c r="O80" s="2505"/>
      <c r="P80" s="2505"/>
      <c r="Q80" s="2505"/>
      <c r="R80" s="2505"/>
      <c r="S80" s="2505"/>
      <c r="T80" s="2505"/>
      <c r="U80" s="2505"/>
      <c r="V80" s="2505"/>
      <c r="W80" s="2505"/>
      <c r="X80" s="2505"/>
      <c r="Y80" s="2505"/>
      <c r="Z80" s="2505"/>
      <c r="AA80" s="2506"/>
      <c r="AB80" s="2506"/>
      <c r="AC80" s="2506"/>
      <c r="AD80" s="2506"/>
      <c r="AE80" s="2506"/>
      <c r="AF80" s="2506"/>
      <c r="AG80" s="2506"/>
      <c r="AH80" s="2506"/>
      <c r="AI80" s="2506"/>
    </row>
    <row r="81" spans="1:35" s="2504" customFormat="1" ht="24.6" thickBot="1">
      <c r="A81" s="2513" t="s">
        <v>781</v>
      </c>
      <c r="B81" s="209" t="s">
        <v>2269</v>
      </c>
      <c r="C81" s="228">
        <f ca="1">ROUND(IF(C79&lt;=0,0,IF(C80&gt;=200%,C79*60%-C73*35%,IF(C80&gt;=100%,C79*50%-C73*15%,IF(C80&gt;=50%,C79*40%-C73*5%,IF(C80&lt;50%,C79*30%,0))))),0)</f>
        <v>48934</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7"/>
      <c r="J81" s="2505"/>
      <c r="K81" s="2505"/>
      <c r="L81" s="2505"/>
      <c r="M81" s="2505"/>
      <c r="N81" s="2505"/>
      <c r="O81" s="2505"/>
      <c r="P81" s="2505"/>
      <c r="Q81" s="2505"/>
      <c r="R81" s="2505"/>
      <c r="S81" s="2505"/>
      <c r="T81" s="2505"/>
      <c r="U81" s="2505"/>
      <c r="V81" s="2505"/>
      <c r="W81" s="2505"/>
      <c r="X81" s="2505"/>
      <c r="Y81" s="2505"/>
      <c r="Z81" s="2505"/>
      <c r="AA81" s="2506"/>
      <c r="AB81" s="2506"/>
      <c r="AC81" s="2506"/>
      <c r="AD81" s="2506"/>
      <c r="AE81" s="2506"/>
      <c r="AF81" s="2506"/>
      <c r="AG81" s="2506"/>
      <c r="AH81" s="2506"/>
      <c r="AI81" s="2506"/>
    </row>
    <row r="82" spans="1:35" s="2504" customFormat="1" ht="7.5" customHeight="1">
      <c r="A82" s="733"/>
      <c r="B82" s="734"/>
      <c r="C82" s="7"/>
      <c r="D82" s="7"/>
      <c r="E82" s="734"/>
      <c r="F82" s="734"/>
      <c r="G82" s="734"/>
      <c r="H82" s="735"/>
      <c r="I82" s="2511"/>
      <c r="J82" s="2505"/>
      <c r="K82" s="2505"/>
      <c r="L82" s="2505"/>
      <c r="M82" s="2505"/>
      <c r="N82" s="2505"/>
      <c r="O82" s="2505"/>
      <c r="P82" s="2505"/>
      <c r="Q82" s="2505"/>
      <c r="R82" s="2505"/>
      <c r="S82" s="2505"/>
      <c r="T82" s="2505"/>
      <c r="U82" s="2505"/>
      <c r="V82" s="2505"/>
      <c r="W82" s="2505"/>
      <c r="X82" s="2505"/>
      <c r="Y82" s="2505"/>
      <c r="Z82" s="2505"/>
      <c r="AA82" s="2506"/>
      <c r="AB82" s="2506"/>
      <c r="AC82" s="2506"/>
      <c r="AD82" s="2506"/>
      <c r="AE82" s="2506"/>
      <c r="AF82" s="2506"/>
      <c r="AG82" s="2506"/>
      <c r="AH82" s="2506"/>
      <c r="AI82" s="2506"/>
    </row>
    <row r="83" spans="1:35" s="2504" customFormat="1" ht="14.4" thickBot="1">
      <c r="A83" s="3113" t="s">
        <v>2270</v>
      </c>
      <c r="B83" s="3114"/>
      <c r="C83" s="3114"/>
      <c r="D83" s="3114"/>
      <c r="E83" s="3114"/>
      <c r="F83" s="3114"/>
      <c r="G83" s="3114"/>
      <c r="H83" s="3114"/>
      <c r="I83" s="2509"/>
      <c r="J83" s="2505"/>
      <c r="K83" s="2505"/>
      <c r="L83" s="2505"/>
      <c r="M83" s="2505"/>
      <c r="N83" s="2505"/>
      <c r="O83" s="2505"/>
      <c r="P83" s="2505"/>
      <c r="Q83" s="2505"/>
      <c r="R83" s="2505"/>
      <c r="S83" s="2505"/>
      <c r="T83" s="2505"/>
      <c r="U83" s="2505"/>
      <c r="V83" s="2505"/>
      <c r="W83" s="2505"/>
      <c r="X83" s="2505"/>
      <c r="Y83" s="2505"/>
      <c r="Z83" s="2505"/>
      <c r="AA83" s="2506"/>
      <c r="AB83" s="2506"/>
      <c r="AC83" s="2506"/>
      <c r="AD83" s="2506"/>
      <c r="AE83" s="2506"/>
      <c r="AF83" s="2506"/>
      <c r="AG83" s="2506"/>
      <c r="AH83" s="2506"/>
      <c r="AI83" s="2506"/>
    </row>
    <row r="84" spans="1:35" s="2504" customFormat="1" ht="13.8">
      <c r="A84" s="3104" t="s">
        <v>2233</v>
      </c>
      <c r="B84" s="3105"/>
      <c r="C84" s="1801"/>
      <c r="D84" s="1801" t="s">
        <v>2234</v>
      </c>
      <c r="E84" s="213" t="s">
        <v>2235</v>
      </c>
      <c r="F84" s="214"/>
      <c r="G84" s="214"/>
      <c r="H84" s="233"/>
      <c r="I84" s="2509"/>
      <c r="J84" s="2505"/>
      <c r="K84" s="2505"/>
      <c r="L84" s="2505"/>
      <c r="M84" s="2505"/>
      <c r="N84" s="2505"/>
      <c r="O84" s="2505"/>
      <c r="P84" s="2505"/>
      <c r="Q84" s="2505"/>
      <c r="R84" s="2505"/>
      <c r="S84" s="2505"/>
      <c r="T84" s="2505"/>
      <c r="U84" s="2505"/>
      <c r="V84" s="2505"/>
      <c r="W84" s="2505"/>
      <c r="X84" s="2505"/>
      <c r="Y84" s="2505"/>
      <c r="Z84" s="2505"/>
      <c r="AA84" s="2506"/>
      <c r="AB84" s="2506"/>
      <c r="AC84" s="2506"/>
      <c r="AD84" s="2506"/>
      <c r="AE84" s="2506"/>
      <c r="AF84" s="2506"/>
      <c r="AG84" s="2506"/>
      <c r="AH84" s="2506"/>
      <c r="AI84" s="2506"/>
    </row>
    <row r="85" spans="1:35" s="2504" customFormat="1" ht="13.8">
      <c r="A85" s="203" t="s">
        <v>775</v>
      </c>
      <c r="B85" s="204" t="s">
        <v>2253</v>
      </c>
      <c r="C85" s="207">
        <f ca="1">ROUND(D45/(1+'数据-取费表'!C42),0)</f>
        <v>82339</v>
      </c>
      <c r="D85" s="200" t="s">
        <v>32</v>
      </c>
      <c r="E85" s="1800"/>
      <c r="F85" s="1794"/>
      <c r="G85" s="1794"/>
      <c r="H85" s="234"/>
      <c r="I85" s="2509"/>
      <c r="J85" s="2505"/>
      <c r="K85" s="2505"/>
      <c r="L85" s="2505"/>
      <c r="M85" s="2505"/>
      <c r="N85" s="2505"/>
      <c r="O85" s="2505"/>
      <c r="P85" s="2505"/>
      <c r="Q85" s="2505"/>
      <c r="R85" s="2505"/>
      <c r="S85" s="2505"/>
      <c r="T85" s="2505"/>
      <c r="U85" s="2505"/>
      <c r="V85" s="2505"/>
      <c r="W85" s="2505"/>
      <c r="X85" s="2505"/>
      <c r="Y85" s="2505"/>
      <c r="Z85" s="2505"/>
      <c r="AA85" s="2506"/>
      <c r="AB85" s="2506"/>
      <c r="AC85" s="2506"/>
      <c r="AD85" s="2506"/>
      <c r="AE85" s="2506"/>
      <c r="AF85" s="2506"/>
      <c r="AG85" s="2506"/>
      <c r="AH85" s="2506"/>
      <c r="AI85" s="2506"/>
    </row>
    <row r="86" spans="1:35" s="2504" customFormat="1" ht="13.8">
      <c r="A86" s="203" t="s">
        <v>772</v>
      </c>
      <c r="B86" s="173" t="s">
        <v>2254</v>
      </c>
      <c r="C86" s="207">
        <f ca="1">IF(H88="仅含出让金",C87+C90+C91+C92+C93+C94,C87+C91+C92+C93+C94)</f>
        <v>494</v>
      </c>
      <c r="D86" s="235"/>
      <c r="E86" s="1800"/>
      <c r="F86" s="1794"/>
      <c r="G86" s="1794"/>
      <c r="H86" s="234"/>
      <c r="I86" s="2509"/>
      <c r="J86" s="2505"/>
      <c r="K86" s="2505"/>
      <c r="L86" s="2505"/>
      <c r="M86" s="2505"/>
      <c r="N86" s="2505"/>
      <c r="O86" s="2505"/>
      <c r="P86" s="2505"/>
      <c r="Q86" s="2505"/>
      <c r="R86" s="2505"/>
      <c r="S86" s="2505"/>
      <c r="T86" s="2505"/>
      <c r="U86" s="2505"/>
      <c r="V86" s="2505"/>
      <c r="W86" s="2505"/>
      <c r="X86" s="2505"/>
      <c r="Y86" s="2505"/>
      <c r="Z86" s="2505"/>
      <c r="AA86" s="2506"/>
      <c r="AB86" s="2506"/>
      <c r="AC86" s="2506"/>
      <c r="AD86" s="2506"/>
      <c r="AE86" s="2506"/>
      <c r="AF86" s="2506"/>
      <c r="AG86" s="2506"/>
      <c r="AH86" s="2506"/>
      <c r="AI86" s="2506"/>
    </row>
    <row r="87" spans="1:35" s="2504" customFormat="1" ht="13.8">
      <c r="A87" s="217" t="s">
        <v>770</v>
      </c>
      <c r="B87" s="198" t="s">
        <v>2271</v>
      </c>
      <c r="C87" s="225">
        <f>C88+C89</f>
        <v>0</v>
      </c>
      <c r="D87" s="226"/>
      <c r="E87" s="1796"/>
      <c r="F87" s="1797"/>
      <c r="G87" s="1797"/>
      <c r="H87" s="1799"/>
      <c r="I87" s="2509"/>
      <c r="J87" s="2505"/>
      <c r="K87" s="2505"/>
      <c r="L87" s="2505"/>
      <c r="M87" s="2505"/>
      <c r="N87" s="2505"/>
      <c r="O87" s="2505"/>
      <c r="P87" s="2505"/>
      <c r="Q87" s="2505"/>
      <c r="R87" s="2505"/>
      <c r="S87" s="2505"/>
      <c r="T87" s="2505"/>
      <c r="U87" s="2505"/>
      <c r="V87" s="2505"/>
      <c r="W87" s="2505"/>
      <c r="X87" s="2505"/>
      <c r="Y87" s="2505"/>
      <c r="Z87" s="2505"/>
      <c r="AA87" s="2506"/>
      <c r="AB87" s="2506"/>
      <c r="AC87" s="2506"/>
      <c r="AD87" s="2506"/>
      <c r="AE87" s="2506"/>
      <c r="AF87" s="2506"/>
      <c r="AG87" s="2506"/>
      <c r="AH87" s="2506"/>
      <c r="AI87" s="2506"/>
    </row>
    <row r="88" spans="1:35" s="2504" customFormat="1" ht="13.8">
      <c r="A88" s="217" t="s">
        <v>776</v>
      </c>
      <c r="B88" s="198" t="s">
        <v>2272</v>
      </c>
      <c r="C88" s="236"/>
      <c r="D88" s="226"/>
      <c r="E88" s="237" t="s">
        <v>2273</v>
      </c>
      <c r="F88" s="1797"/>
      <c r="G88" s="238" t="s">
        <v>2274</v>
      </c>
      <c r="H88" s="2514"/>
      <c r="I88" s="2509"/>
      <c r="J88" s="2505"/>
      <c r="K88" s="2505"/>
      <c r="L88" s="2505"/>
      <c r="M88" s="2505"/>
      <c r="N88" s="2505"/>
      <c r="O88" s="2505"/>
      <c r="P88" s="2505"/>
      <c r="Q88" s="2505"/>
      <c r="R88" s="2505"/>
      <c r="S88" s="2505"/>
      <c r="T88" s="2505"/>
      <c r="U88" s="2505"/>
      <c r="V88" s="2505"/>
      <c r="W88" s="2505"/>
      <c r="X88" s="2505"/>
      <c r="Y88" s="2505"/>
      <c r="Z88" s="2505"/>
      <c r="AA88" s="2506"/>
      <c r="AB88" s="2506"/>
      <c r="AC88" s="2506"/>
      <c r="AD88" s="2506"/>
      <c r="AE88" s="2506"/>
      <c r="AF88" s="2506"/>
      <c r="AG88" s="2506"/>
      <c r="AH88" s="2506"/>
      <c r="AI88" s="2506"/>
    </row>
    <row r="89" spans="1:35" s="2504" customFormat="1" ht="13.8">
      <c r="A89" s="217" t="s">
        <v>777</v>
      </c>
      <c r="B89" s="198" t="s">
        <v>2262</v>
      </c>
      <c r="C89" s="225">
        <f>ROUND(C88*D89,0)</f>
        <v>0</v>
      </c>
      <c r="D89" s="226">
        <f>'数据-取费表'!B48+'数据-取费表'!B49</f>
        <v>4.0500000000000001E-2</v>
      </c>
      <c r="E89" s="237" t="s">
        <v>2275</v>
      </c>
      <c r="F89" s="1797"/>
      <c r="G89" s="1797"/>
      <c r="H89" s="1799"/>
      <c r="I89" s="2509"/>
      <c r="J89" s="2505"/>
      <c r="K89" s="2505"/>
      <c r="L89" s="2505"/>
      <c r="M89" s="2505"/>
      <c r="N89" s="2505"/>
      <c r="O89" s="2505"/>
      <c r="P89" s="2505"/>
      <c r="Q89" s="2505"/>
      <c r="R89" s="2505"/>
      <c r="S89" s="2505"/>
      <c r="T89" s="2505"/>
      <c r="U89" s="2505"/>
      <c r="V89" s="2505"/>
      <c r="W89" s="2505"/>
      <c r="X89" s="2505"/>
      <c r="Y89" s="2505"/>
      <c r="Z89" s="2505"/>
      <c r="AA89" s="2506"/>
      <c r="AB89" s="2506"/>
      <c r="AC89" s="2506"/>
      <c r="AD89" s="2506"/>
      <c r="AE89" s="2506"/>
      <c r="AF89" s="2506"/>
      <c r="AG89" s="2506"/>
      <c r="AH89" s="2506"/>
      <c r="AI89" s="2506"/>
    </row>
    <row r="90" spans="1:35" s="2504" customFormat="1" ht="13.8">
      <c r="A90" s="217" t="s">
        <v>771</v>
      </c>
      <c r="B90" s="198" t="s">
        <v>2276</v>
      </c>
      <c r="C90" s="236"/>
      <c r="D90" s="226"/>
      <c r="E90" s="237" t="str">
        <f>IF(H88="-","土地取得成本中已包含该笔费用"," ")</f>
        <v xml:space="preserve"> </v>
      </c>
      <c r="F90" s="1797"/>
      <c r="G90" s="1797"/>
      <c r="H90" s="1799"/>
      <c r="I90" s="2509"/>
      <c r="J90" s="2505"/>
      <c r="K90" s="2505"/>
      <c r="L90" s="2505"/>
      <c r="M90" s="2505"/>
      <c r="N90" s="2505"/>
      <c r="O90" s="2505"/>
      <c r="P90" s="2505"/>
      <c r="Q90" s="2505"/>
      <c r="R90" s="2505"/>
      <c r="S90" s="2505"/>
      <c r="T90" s="2505"/>
      <c r="U90" s="2505"/>
      <c r="V90" s="2505"/>
      <c r="W90" s="2505"/>
      <c r="X90" s="2505"/>
      <c r="Y90" s="2505"/>
      <c r="Z90" s="2505"/>
      <c r="AA90" s="2506"/>
      <c r="AB90" s="2506"/>
      <c r="AC90" s="2506"/>
      <c r="AD90" s="2506"/>
      <c r="AE90" s="2506"/>
      <c r="AF90" s="2506"/>
      <c r="AG90" s="2506"/>
      <c r="AH90" s="2506"/>
      <c r="AI90" s="2506"/>
    </row>
    <row r="91" spans="1:35" s="2504" customFormat="1" ht="27.75" customHeight="1">
      <c r="A91" s="217" t="s">
        <v>2277</v>
      </c>
      <c r="B91" s="198" t="s">
        <v>2278</v>
      </c>
      <c r="C91" s="225">
        <f>IF(H91="——",成本法!C33,I91)</f>
        <v>0</v>
      </c>
      <c r="D91" s="226"/>
      <c r="E91" s="3101" t="s">
        <v>2279</v>
      </c>
      <c r="F91" s="3102"/>
      <c r="G91" s="3102"/>
      <c r="H91" s="2515" t="s">
        <v>2280</v>
      </c>
      <c r="I91" s="2516"/>
      <c r="J91" s="2505"/>
      <c r="K91" s="2505"/>
      <c r="L91" s="2505"/>
      <c r="M91" s="2505"/>
      <c r="N91" s="2505"/>
      <c r="O91" s="2505"/>
      <c r="P91" s="2505"/>
      <c r="Q91" s="2505"/>
      <c r="R91" s="2505"/>
      <c r="S91" s="2505"/>
      <c r="T91" s="2505"/>
      <c r="U91" s="2505"/>
      <c r="V91" s="2505"/>
      <c r="W91" s="2505"/>
      <c r="X91" s="2505"/>
      <c r="Y91" s="2505"/>
      <c r="Z91" s="2505"/>
      <c r="AA91" s="2506"/>
      <c r="AB91" s="2506"/>
      <c r="AC91" s="2506"/>
      <c r="AD91" s="2506"/>
      <c r="AE91" s="2506"/>
      <c r="AF91" s="2506"/>
      <c r="AG91" s="2506"/>
      <c r="AH91" s="2506"/>
      <c r="AI91" s="2506"/>
    </row>
    <row r="92" spans="1:35" s="2504" customFormat="1" ht="25.5" customHeight="1">
      <c r="A92" s="217" t="s">
        <v>2281</v>
      </c>
      <c r="B92" s="198" t="s">
        <v>2282</v>
      </c>
      <c r="C92" s="225">
        <f>ROUND((C87+C90+C91)*D92,0)</f>
        <v>0</v>
      </c>
      <c r="D92" s="226">
        <v>0.1</v>
      </c>
      <c r="E92" s="3101" t="s">
        <v>2283</v>
      </c>
      <c r="F92" s="3102"/>
      <c r="G92" s="3102"/>
      <c r="H92" s="3103"/>
      <c r="I92" s="2509"/>
      <c r="J92" s="2505"/>
      <c r="K92" s="2505"/>
      <c r="L92" s="2505"/>
      <c r="M92" s="2505"/>
      <c r="N92" s="2505"/>
      <c r="O92" s="2505"/>
      <c r="P92" s="2505"/>
      <c r="Q92" s="2505"/>
      <c r="R92" s="2505"/>
      <c r="S92" s="2505"/>
      <c r="T92" s="2505"/>
      <c r="U92" s="2505"/>
      <c r="V92" s="2505"/>
      <c r="W92" s="2505"/>
      <c r="X92" s="2505"/>
      <c r="Y92" s="2505"/>
      <c r="Z92" s="2505"/>
      <c r="AA92" s="2506"/>
      <c r="AB92" s="2506"/>
      <c r="AC92" s="2506"/>
      <c r="AD92" s="2506"/>
      <c r="AE92" s="2506"/>
      <c r="AF92" s="2506"/>
      <c r="AG92" s="2506"/>
      <c r="AH92" s="2506"/>
      <c r="AI92" s="2506"/>
    </row>
    <row r="93" spans="1:35" s="2504" customFormat="1" ht="25.5" customHeight="1">
      <c r="A93" s="217" t="s">
        <v>2284</v>
      </c>
      <c r="B93" s="198" t="s">
        <v>2265</v>
      </c>
      <c r="C93" s="225">
        <f ca="1">ROUND(D45*D93/(1+'数据-取费表'!C42),0)</f>
        <v>494</v>
      </c>
      <c r="D93" s="226">
        <f>'数据-取费表'!B43</f>
        <v>6.000000000000001E-3</v>
      </c>
      <c r="E93" s="3101" t="s">
        <v>2266</v>
      </c>
      <c r="F93" s="3102"/>
      <c r="G93" s="3102"/>
      <c r="H93" s="3103"/>
      <c r="I93" s="2509"/>
      <c r="J93" s="2505"/>
      <c r="K93" s="2505"/>
      <c r="L93" s="2505"/>
      <c r="M93" s="2505"/>
      <c r="N93" s="2505"/>
      <c r="O93" s="2505"/>
      <c r="P93" s="2505"/>
      <c r="Q93" s="2505"/>
      <c r="R93" s="2505"/>
      <c r="S93" s="2505"/>
      <c r="T93" s="2505"/>
      <c r="U93" s="2505"/>
      <c r="V93" s="2505"/>
      <c r="W93" s="2505"/>
      <c r="X93" s="2505"/>
      <c r="Y93" s="2505"/>
      <c r="Z93" s="2505"/>
      <c r="AA93" s="2506"/>
      <c r="AB93" s="2506"/>
      <c r="AC93" s="2506"/>
      <c r="AD93" s="2506"/>
      <c r="AE93" s="2506"/>
      <c r="AF93" s="2506"/>
      <c r="AG93" s="2506"/>
      <c r="AH93" s="2506"/>
      <c r="AI93" s="2506"/>
    </row>
    <row r="94" spans="1:35" s="2504" customFormat="1" ht="36.75" customHeight="1">
      <c r="A94" s="217" t="s">
        <v>2285</v>
      </c>
      <c r="B94" s="198" t="s">
        <v>2286</v>
      </c>
      <c r="C94" s="236">
        <f>ROUND((C87+C90+C91)*D94,0)</f>
        <v>0</v>
      </c>
      <c r="D94" s="226">
        <v>0.2</v>
      </c>
      <c r="E94" s="3149" t="s">
        <v>2287</v>
      </c>
      <c r="F94" s="3150"/>
      <c r="G94" s="3150"/>
      <c r="H94" s="3151"/>
      <c r="I94" s="2509"/>
      <c r="J94" s="2505"/>
      <c r="K94" s="2505"/>
      <c r="L94" s="2505"/>
      <c r="M94" s="2505"/>
      <c r="N94" s="2505"/>
      <c r="O94" s="2505"/>
      <c r="P94" s="2505"/>
      <c r="Q94" s="2505"/>
      <c r="R94" s="2505"/>
      <c r="S94" s="2505"/>
      <c r="T94" s="2505"/>
      <c r="U94" s="2505"/>
      <c r="V94" s="2505"/>
      <c r="W94" s="2505"/>
      <c r="X94" s="2505"/>
      <c r="Y94" s="2505"/>
      <c r="Z94" s="2505"/>
      <c r="AA94" s="2506"/>
      <c r="AB94" s="2506"/>
      <c r="AC94" s="2506"/>
      <c r="AD94" s="2506"/>
      <c r="AE94" s="2506"/>
      <c r="AF94" s="2506"/>
      <c r="AG94" s="2506"/>
      <c r="AH94" s="2506"/>
      <c r="AI94" s="2506"/>
    </row>
    <row r="95" spans="1:35" s="2504" customFormat="1" ht="13.8">
      <c r="A95" s="2512" t="s">
        <v>779</v>
      </c>
      <c r="B95" s="204" t="s">
        <v>2267</v>
      </c>
      <c r="C95" s="207">
        <f ca="1">ROUND(C85-C86,0)</f>
        <v>81845</v>
      </c>
      <c r="D95" s="200" t="s">
        <v>32</v>
      </c>
      <c r="E95" s="1800"/>
      <c r="F95" s="1794"/>
      <c r="G95" s="1794"/>
      <c r="H95" s="234"/>
      <c r="I95" s="2509"/>
      <c r="J95" s="2505"/>
      <c r="K95" s="2505"/>
      <c r="L95" s="2505"/>
      <c r="M95" s="2505"/>
      <c r="N95" s="2505"/>
      <c r="O95" s="2505"/>
      <c r="P95" s="2505"/>
      <c r="Q95" s="2505"/>
      <c r="R95" s="2505"/>
      <c r="S95" s="2505"/>
      <c r="T95" s="2505"/>
      <c r="U95" s="2505"/>
      <c r="V95" s="2505"/>
      <c r="W95" s="2505"/>
      <c r="X95" s="2505"/>
      <c r="Y95" s="2505"/>
      <c r="Z95" s="2505"/>
      <c r="AA95" s="2506"/>
      <c r="AB95" s="2506"/>
      <c r="AC95" s="2506"/>
      <c r="AD95" s="2506"/>
      <c r="AE95" s="2506"/>
      <c r="AF95" s="2506"/>
      <c r="AG95" s="2506"/>
      <c r="AH95" s="2506"/>
      <c r="AI95" s="2506"/>
    </row>
    <row r="96" spans="1:35" s="2504" customFormat="1" ht="24">
      <c r="A96" s="2512" t="s">
        <v>780</v>
      </c>
      <c r="B96" s="204" t="s">
        <v>2268</v>
      </c>
      <c r="C96" s="227">
        <f ca="1">IF(C95&lt;=0,0,C95/C86)</f>
        <v>165.67813765182186</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9"/>
      <c r="J96" s="2505"/>
      <c r="K96" s="2505"/>
      <c r="L96" s="2505"/>
      <c r="M96" s="2505"/>
      <c r="N96" s="2505"/>
      <c r="O96" s="2505"/>
      <c r="P96" s="2505"/>
      <c r="Q96" s="2505"/>
      <c r="R96" s="2505"/>
      <c r="S96" s="2505"/>
      <c r="T96" s="2505"/>
      <c r="U96" s="2505"/>
      <c r="V96" s="2505"/>
      <c r="W96" s="2505"/>
      <c r="X96" s="2505"/>
      <c r="Y96" s="2505"/>
      <c r="Z96" s="2505"/>
      <c r="AA96" s="2506"/>
      <c r="AB96" s="2506"/>
      <c r="AC96" s="2506"/>
      <c r="AD96" s="2506"/>
      <c r="AE96" s="2506"/>
      <c r="AF96" s="2506"/>
      <c r="AG96" s="2506"/>
      <c r="AH96" s="2506"/>
      <c r="AI96" s="2506"/>
    </row>
    <row r="97" spans="1:35" s="2504" customFormat="1" ht="24.6" thickBot="1">
      <c r="A97" s="2513" t="s">
        <v>781</v>
      </c>
      <c r="B97" s="209" t="s">
        <v>2269</v>
      </c>
      <c r="C97" s="228">
        <f ca="1">ROUND(IF(C95&lt;=0,0,IF(C96&gt;=200%,C95*60%-C86*35%,IF(C96&gt;=100%,C95*50%-C86*15%,IF(C96&gt;=50%,C95*40%-C86*5%,IF(C96&lt;50%,C95*30%,0))))),0)</f>
        <v>48934</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9"/>
      <c r="J97" s="2505"/>
      <c r="K97" s="2505"/>
      <c r="L97" s="2505"/>
      <c r="M97" s="2505"/>
      <c r="N97" s="2505"/>
      <c r="O97" s="2505"/>
      <c r="P97" s="2505"/>
      <c r="Q97" s="2505"/>
      <c r="R97" s="2505"/>
      <c r="S97" s="2505"/>
      <c r="T97" s="2505"/>
      <c r="U97" s="2505"/>
      <c r="V97" s="2505"/>
      <c r="W97" s="2505"/>
      <c r="X97" s="2505"/>
      <c r="Y97" s="2505"/>
      <c r="Z97" s="2505"/>
      <c r="AA97" s="2506"/>
      <c r="AB97" s="2506"/>
      <c r="AC97" s="2506"/>
      <c r="AD97" s="2506"/>
      <c r="AE97" s="2506"/>
      <c r="AF97" s="2506"/>
      <c r="AG97" s="2506"/>
      <c r="AH97" s="2506"/>
      <c r="AI97" s="2506"/>
    </row>
    <row r="98" spans="1:35" ht="21.75" customHeight="1">
      <c r="A98" s="2493"/>
      <c r="B98" s="2415"/>
      <c r="C98" s="2415"/>
      <c r="D98" s="2415"/>
      <c r="E98" s="2164"/>
      <c r="F98" s="2164"/>
      <c r="G98" s="2164"/>
      <c r="H98" s="2163"/>
      <c r="I98" s="138"/>
    </row>
    <row r="99" spans="1:35" ht="21.75" customHeight="1" thickBot="1">
      <c r="A99" s="2471" t="s">
        <v>2288</v>
      </c>
      <c r="B99" s="2415"/>
      <c r="C99" s="2415"/>
      <c r="D99" s="2415"/>
      <c r="E99" s="2164"/>
      <c r="F99" s="2164"/>
      <c r="G99" s="2164"/>
      <c r="H99" s="2163"/>
      <c r="I99" s="138"/>
    </row>
    <row r="100" spans="1:35" ht="18.75" customHeight="1">
      <c r="A100" s="3053" t="s">
        <v>2289</v>
      </c>
      <c r="B100" s="3054"/>
      <c r="C100" s="3054"/>
      <c r="D100" s="3085"/>
      <c r="E100" s="3054" t="s">
        <v>2290</v>
      </c>
      <c r="F100" s="3054"/>
      <c r="G100" s="3054"/>
      <c r="H100" s="3085"/>
      <c r="I100" s="138"/>
    </row>
    <row r="101" spans="1:35" ht="18.75" customHeight="1">
      <c r="A101" s="3093" t="s">
        <v>2291</v>
      </c>
      <c r="B101" s="3094"/>
      <c r="C101" s="736" t="str">
        <f>C4</f>
        <v>成本法</v>
      </c>
      <c r="D101" s="737" t="str">
        <f>D4</f>
        <v>收益法</v>
      </c>
      <c r="E101" s="3065" t="s">
        <v>2292</v>
      </c>
      <c r="F101" s="3066"/>
      <c r="G101" s="2517" t="s">
        <v>2293</v>
      </c>
      <c r="H101" s="1045">
        <f ca="1">H118</f>
        <v>86456</v>
      </c>
      <c r="I101" s="138"/>
    </row>
    <row r="102" spans="1:35" ht="18.75" customHeight="1">
      <c r="A102" s="3095" t="s">
        <v>2294</v>
      </c>
      <c r="B102" s="2517" t="s">
        <v>2293</v>
      </c>
      <c r="C102" s="736">
        <f ca="1">C19</f>
        <v>95015</v>
      </c>
      <c r="D102" s="737">
        <f ca="1">D19</f>
        <v>66486</v>
      </c>
      <c r="E102" s="3065"/>
      <c r="F102" s="3066"/>
      <c r="G102" s="2517" t="s">
        <v>2295</v>
      </c>
      <c r="H102" s="371">
        <f ca="1">I118</f>
        <v>11298</v>
      </c>
      <c r="I102" s="138"/>
    </row>
    <row r="103" spans="1:35" ht="42.75" customHeight="1">
      <c r="A103" s="3095"/>
      <c r="B103" s="2517" t="s">
        <v>2295</v>
      </c>
      <c r="C103" s="738">
        <f ca="1">C20</f>
        <v>12417</v>
      </c>
      <c r="D103" s="739">
        <f ca="1">D20</f>
        <v>11585</v>
      </c>
      <c r="E103" s="3059" t="s">
        <v>2296</v>
      </c>
      <c r="F103" s="3060"/>
      <c r="G103" s="2518" t="s">
        <v>2297</v>
      </c>
      <c r="H103" s="1045">
        <f>IF(D36="正常操作",H104+H105+H106,H105+H106)</f>
        <v>0</v>
      </c>
      <c r="I103" s="138"/>
    </row>
    <row r="104" spans="1:35" ht="18.75" customHeight="1">
      <c r="A104" s="3095" t="s">
        <v>2298</v>
      </c>
      <c r="B104" s="2519" t="s">
        <v>2293</v>
      </c>
      <c r="C104" s="740">
        <f ca="1">H118</f>
        <v>86456</v>
      </c>
      <c r="D104" s="741"/>
      <c r="E104" s="2265" t="s">
        <v>2299</v>
      </c>
      <c r="F104" s="2256"/>
      <c r="G104" s="2518" t="s">
        <v>2297</v>
      </c>
      <c r="H104" s="1046">
        <f>IF(D36="同一抵押权人同一抵押物续贷",C36&amp;"（未扣减，详见特别提示）",C36)</f>
        <v>0</v>
      </c>
      <c r="I104" s="138"/>
    </row>
    <row r="105" spans="1:35" ht="18.75" customHeight="1" thickBot="1">
      <c r="A105" s="3107"/>
      <c r="B105" s="2520" t="s">
        <v>2295</v>
      </c>
      <c r="C105" s="742">
        <f ca="1">I118</f>
        <v>11298</v>
      </c>
      <c r="D105" s="743"/>
      <c r="E105" s="2265" t="s">
        <v>2300</v>
      </c>
      <c r="F105" s="2256"/>
      <c r="G105" s="2518" t="s">
        <v>2297</v>
      </c>
      <c r="H105" s="1046">
        <f>C37</f>
        <v>0</v>
      </c>
      <c r="I105" s="138"/>
    </row>
    <row r="106" spans="1:35" ht="18.75" customHeight="1">
      <c r="A106" s="2415" t="s">
        <v>2301</v>
      </c>
      <c r="B106" s="2415"/>
      <c r="C106" s="2415"/>
      <c r="D106" s="2415"/>
      <c r="E106" s="2521" t="s">
        <v>2302</v>
      </c>
      <c r="F106" s="2256"/>
      <c r="G106" s="2518" t="s">
        <v>2297</v>
      </c>
      <c r="H106" s="1046">
        <f>C38</f>
        <v>0</v>
      </c>
      <c r="I106" s="138"/>
    </row>
    <row r="107" spans="1:35" ht="18.75" customHeight="1">
      <c r="A107" s="138"/>
      <c r="B107" s="138"/>
      <c r="C107" s="138"/>
      <c r="D107" s="138"/>
      <c r="E107" s="3096" t="str">
        <f>IF(项目基本情况!E8="已注销","——","3.房地产抵押价值")</f>
        <v>3.房地产抵押价值</v>
      </c>
      <c r="F107" s="3066"/>
      <c r="G107" s="2517" t="s">
        <v>2293</v>
      </c>
      <c r="H107" s="1045">
        <f ca="1">IF(E107="——","——",H101-H103)</f>
        <v>86456</v>
      </c>
      <c r="I107" s="138"/>
    </row>
    <row r="108" spans="1:35" ht="18.75" customHeight="1">
      <c r="A108" s="138"/>
      <c r="B108" s="138"/>
      <c r="C108" s="138"/>
      <c r="D108" s="138"/>
      <c r="E108" s="3096"/>
      <c r="F108" s="3066"/>
      <c r="G108" s="2517" t="s">
        <v>2295</v>
      </c>
      <c r="H108" s="371">
        <f ca="1">ROUND(H107*10000/'数据-汇总表'!E3,0)</f>
        <v>11298</v>
      </c>
      <c r="I108" s="138"/>
    </row>
    <row r="109" spans="1:35" ht="18.75" customHeight="1">
      <c r="A109" s="138"/>
      <c r="B109" s="138"/>
      <c r="C109" s="138"/>
      <c r="D109" s="138"/>
      <c r="E109" s="3096" t="str">
        <f>IF(项目基本情况!E8="已注销及未注销","4.抵押担保权已注销时的房地产抵押价值",IF(项目基本情况!E8="已注销","3.抵押担保权已注销时的房地产抵押价值","——"))</f>
        <v>——</v>
      </c>
      <c r="F109" s="3066"/>
      <c r="G109" s="2517" t="s">
        <v>2293</v>
      </c>
      <c r="H109" s="348" t="str">
        <f>IF(E109="——","——",H101-H105-H106)</f>
        <v>——</v>
      </c>
      <c r="I109" s="138"/>
    </row>
    <row r="110" spans="1:35" ht="18.75" customHeight="1">
      <c r="A110" s="138"/>
      <c r="B110" s="138"/>
      <c r="C110" s="138"/>
      <c r="D110" s="138"/>
      <c r="E110" s="3096"/>
      <c r="F110" s="3066"/>
      <c r="G110" s="2517" t="s">
        <v>2295</v>
      </c>
      <c r="H110" s="371" t="str">
        <f>IF(H109="——","——",ROUND(H109*10000/'数据-汇总表'!E3,0))</f>
        <v>——</v>
      </c>
      <c r="I110" s="138"/>
    </row>
    <row r="111" spans="1:35" ht="18.75" customHeight="1">
      <c r="A111" s="138"/>
      <c r="B111" s="138"/>
      <c r="C111" s="138"/>
      <c r="D111" s="138"/>
      <c r="E111" s="3097" t="str">
        <f>IF(项目基本情况!E9="抵押净值",IF(OR(项目基本情况!E8="已注销",项目基本情况!E8="房地产抵押价值"),"4.抵押净值","5.抵押净值"),"——")</f>
        <v>——</v>
      </c>
      <c r="F111" s="3098"/>
      <c r="G111" s="2517" t="s">
        <v>2293</v>
      </c>
      <c r="H111" s="1045" t="str">
        <f>IF(E111="——","——",N59)</f>
        <v>——</v>
      </c>
      <c r="I111" s="138"/>
    </row>
    <row r="112" spans="1:35" ht="18.75" customHeight="1" thickBot="1">
      <c r="A112" s="138"/>
      <c r="B112" s="138"/>
      <c r="C112" s="138"/>
      <c r="D112" s="138"/>
      <c r="E112" s="3099"/>
      <c r="F112" s="3100"/>
      <c r="G112" s="2522" t="s">
        <v>2295</v>
      </c>
      <c r="H112" s="790" t="str">
        <f>IF(E111="——","——",N61)</f>
        <v>——</v>
      </c>
      <c r="I112" s="138"/>
    </row>
    <row r="113" spans="1:11" ht="18.75" customHeight="1">
      <c r="A113" s="138"/>
      <c r="B113" s="138"/>
      <c r="C113" s="138"/>
      <c r="D113" s="138"/>
      <c r="E113" s="3108" t="s">
        <v>2301</v>
      </c>
      <c r="F113" s="3108"/>
      <c r="G113" s="3108"/>
      <c r="H113" s="3108"/>
      <c r="I113" s="138"/>
    </row>
    <row r="114" spans="1:11" ht="3.75" customHeight="1">
      <c r="A114" s="2415"/>
      <c r="B114" s="2415"/>
      <c r="C114" s="2415"/>
      <c r="D114" s="2415"/>
      <c r="E114" s="2493"/>
      <c r="F114" s="2493"/>
      <c r="G114" s="2493"/>
      <c r="H114" s="2493"/>
      <c r="I114" s="2415"/>
    </row>
    <row r="115" spans="1:11" ht="18.75" customHeight="1">
      <c r="A115" s="3121" t="s">
        <v>2303</v>
      </c>
      <c r="B115" s="3122"/>
      <c r="C115" s="3122"/>
      <c r="D115" s="3122"/>
      <c r="E115" s="3122"/>
      <c r="F115" s="3122"/>
      <c r="G115" s="3122"/>
      <c r="H115" s="3122"/>
      <c r="I115" s="3123"/>
    </row>
    <row r="116" spans="1:11" ht="27" customHeight="1">
      <c r="A116" s="3032" t="s">
        <v>2304</v>
      </c>
      <c r="B116" s="3075" t="s">
        <v>2305</v>
      </c>
      <c r="C116" s="3075" t="s">
        <v>2306</v>
      </c>
      <c r="D116" s="3081" t="s">
        <v>2307</v>
      </c>
      <c r="E116" s="3082"/>
      <c r="F116" s="3117" t="s">
        <v>2308</v>
      </c>
      <c r="G116" s="3117"/>
      <c r="H116" s="3032" t="s">
        <v>2309</v>
      </c>
      <c r="I116" s="3032"/>
    </row>
    <row r="117" spans="1:11" ht="18.75" customHeight="1">
      <c r="A117" s="3032"/>
      <c r="B117" s="3076"/>
      <c r="C117" s="3076"/>
      <c r="D117" s="1795" t="s">
        <v>2310</v>
      </c>
      <c r="E117" s="1795" t="s">
        <v>2311</v>
      </c>
      <c r="F117" s="1795" t="s">
        <v>2310</v>
      </c>
      <c r="G117" s="1795" t="s">
        <v>2312</v>
      </c>
      <c r="H117" s="1795" t="s">
        <v>2310</v>
      </c>
      <c r="I117" s="1795" t="s">
        <v>2312</v>
      </c>
    </row>
    <row r="118" spans="1:11" ht="24.75" customHeight="1">
      <c r="A118" s="2523" t="str">
        <f>项目基本情况!S2</f>
        <v>山东省青岛市黄岛区开发区汉江路3号万达广场全幢、地下房地产</v>
      </c>
      <c r="B118" s="1795">
        <f>M18</f>
        <v>76522.880000000005</v>
      </c>
      <c r="C118" s="1795">
        <f>M19</f>
        <v>0</v>
      </c>
      <c r="D118" s="1795">
        <f ca="1">ROUND(IF(D32="总价",C34,E118*B118/10000),0)</f>
        <v>32940</v>
      </c>
      <c r="E118" s="1795">
        <f ca="1">ROUND(IF(C33="自定义",IF(D32="楼面单价",C34,D118*10000/B118),I118-G118),0)</f>
        <v>4305</v>
      </c>
      <c r="F118" s="1795">
        <f ca="1">ROUND(IF(D32="总价",C35,G118*B118/10000),0)</f>
        <v>53516</v>
      </c>
      <c r="G118" s="1795">
        <f ca="1">ROUND(IF(D32="楼面单价",C35,F118*10000/B118),0)</f>
        <v>6993</v>
      </c>
      <c r="H118" s="1795">
        <f ca="1">ROUND(IF(D32="总价",C32,I118*B118/10000),0)</f>
        <v>86456</v>
      </c>
      <c r="I118" s="1795">
        <f ca="1">ROUND(IF(D32="楼面单价",C32,H118*10000/B118),0)</f>
        <v>11298</v>
      </c>
    </row>
    <row r="119" spans="1:11" ht="18.75" customHeight="1">
      <c r="A119" s="3032" t="s">
        <v>2313</v>
      </c>
      <c r="B119" s="3032"/>
      <c r="C119" s="3032"/>
      <c r="D119" s="3077" t="str">
        <f ca="1">NUMBERSTRING(INT(D118*10000),2)&amp;"元整"</f>
        <v>叁亿贰仟玖佰肆拾万元整</v>
      </c>
      <c r="E119" s="3078"/>
      <c r="F119" s="3077" t="str">
        <f ca="1">NUMBERSTRING(INT(F118*10000),2)&amp;"元整"</f>
        <v>伍亿叁仟伍佰壹拾陆万元整</v>
      </c>
      <c r="G119" s="3078"/>
      <c r="H119" s="3077" t="str">
        <f ca="1">NUMBERSTRING(INT(H118*10000),2)&amp;"元整"</f>
        <v>捌亿陆仟肆佰伍拾陆万元整</v>
      </c>
      <c r="I119" s="3078"/>
    </row>
    <row r="120" spans="1:11" ht="18.75" customHeight="1">
      <c r="A120" s="3072" t="str">
        <f>IF(项目基本情况!B9="房地产市场价值","",MID(E103,3,LEN(E103)-2))</f>
        <v>估价师知悉的法定优先受偿款</v>
      </c>
      <c r="B120" s="3073"/>
      <c r="C120" s="3074"/>
      <c r="D120" s="3072">
        <f>H103</f>
        <v>0</v>
      </c>
      <c r="E120" s="3073"/>
      <c r="F120" s="3073"/>
      <c r="G120" s="3073"/>
      <c r="H120" s="3073"/>
      <c r="I120" s="3074"/>
      <c r="K120" s="2420" t="str">
        <f>IF(D120=0,"故，本次评估不存在"&amp;A120,"故，本次评估"&amp;A120&amp;"为人民币"&amp;D120&amp;"万元整。")</f>
        <v>故，本次评估不存在估价师知悉的法定优先受偿款</v>
      </c>
    </row>
    <row r="121" spans="1:11" ht="18.75" customHeight="1">
      <c r="A121" s="3118" t="s">
        <v>2313</v>
      </c>
      <c r="B121" s="3119"/>
      <c r="C121" s="3120"/>
      <c r="D121" s="3077" t="str">
        <f>IF(D120=0,"零元整",NUMBERSTRING(INT(D120*10000),2)&amp;"元整")</f>
        <v>零元整</v>
      </c>
      <c r="E121" s="3079"/>
      <c r="F121" s="3079"/>
      <c r="G121" s="3079"/>
      <c r="H121" s="3079"/>
      <c r="I121" s="3078"/>
    </row>
    <row r="122" spans="1:11" ht="18.75" customHeight="1">
      <c r="A122" s="3083" t="str">
        <f>IF(项目基本情况!B9="房地产市场价值","",MID(E107,3,LEN(E107)-2))</f>
        <v>房地产抵押价值</v>
      </c>
      <c r="B122" s="3083"/>
      <c r="C122" s="3083"/>
      <c r="D122" s="3072">
        <f ca="1">H107</f>
        <v>86456</v>
      </c>
      <c r="E122" s="3073"/>
      <c r="F122" s="3073"/>
      <c r="G122" s="3073"/>
      <c r="H122" s="3073"/>
      <c r="I122" s="3074"/>
    </row>
    <row r="123" spans="1:11" ht="18.75" customHeight="1">
      <c r="A123" s="3032" t="s">
        <v>2313</v>
      </c>
      <c r="B123" s="3032"/>
      <c r="C123" s="3032"/>
      <c r="D123" s="3077" t="str">
        <f ca="1">NUMBERSTRING(INT(D122*10000),2)&amp;"元整"</f>
        <v>捌亿陆仟肆佰伍拾陆万元整</v>
      </c>
      <c r="E123" s="3079"/>
      <c r="F123" s="3079"/>
      <c r="G123" s="3079"/>
      <c r="H123" s="3079"/>
      <c r="I123" s="3078"/>
    </row>
    <row r="124" spans="1:11" ht="18.75" customHeight="1">
      <c r="A124" s="3083" t="str">
        <f>IF(项目基本情况!B9="房地产市场价值","",MID(E109,3,LEN(E109)-2))</f>
        <v/>
      </c>
      <c r="B124" s="3083"/>
      <c r="C124" s="3083"/>
      <c r="D124" s="3072" t="str">
        <f>H109</f>
        <v>——</v>
      </c>
      <c r="E124" s="3073"/>
      <c r="F124" s="3073"/>
      <c r="G124" s="3073"/>
      <c r="H124" s="3073"/>
      <c r="I124" s="3074"/>
    </row>
    <row r="125" spans="1:11" ht="18.75" customHeight="1">
      <c r="A125" s="3032" t="s">
        <v>2313</v>
      </c>
      <c r="B125" s="3032"/>
      <c r="C125" s="3032"/>
      <c r="D125" s="3077" t="e">
        <f>NUMBERSTRING(INT(D124*10000),2)&amp;"元整"</f>
        <v>#VALUE!</v>
      </c>
      <c r="E125" s="3079"/>
      <c r="F125" s="3079"/>
      <c r="G125" s="3079"/>
      <c r="H125" s="3079"/>
      <c r="I125" s="3078"/>
    </row>
    <row r="126" spans="1:11" ht="18.75" customHeight="1">
      <c r="A126" s="3083" t="str">
        <f>IF(项目基本情况!B9="房地产市场价值","",MID(E111,3,LEN(E111)-2))</f>
        <v/>
      </c>
      <c r="B126" s="3083"/>
      <c r="C126" s="3083"/>
      <c r="D126" s="3072" t="str">
        <f>H111</f>
        <v>——</v>
      </c>
      <c r="E126" s="3073"/>
      <c r="F126" s="3073"/>
      <c r="G126" s="3073"/>
      <c r="H126" s="3073"/>
      <c r="I126" s="3074"/>
    </row>
    <row r="127" spans="1:11" ht="18.75" customHeight="1">
      <c r="A127" s="3032" t="s">
        <v>2313</v>
      </c>
      <c r="B127" s="3032"/>
      <c r="C127" s="3032"/>
      <c r="D127" s="3077" t="e">
        <f>NUMBERSTRING(INT(D126*10000),2)&amp;"元整"</f>
        <v>#VALUE!</v>
      </c>
      <c r="E127" s="3079"/>
      <c r="F127" s="3079"/>
      <c r="G127" s="3079"/>
      <c r="H127" s="3079"/>
      <c r="I127" s="3078"/>
    </row>
    <row r="128" spans="1:11" ht="21.75" customHeight="1">
      <c r="A128" s="3080" t="s">
        <v>2314</v>
      </c>
      <c r="B128" s="3080"/>
      <c r="C128" s="3080"/>
      <c r="D128" s="3080"/>
      <c r="E128" s="3080"/>
      <c r="F128" s="3080"/>
      <c r="G128" s="3080"/>
      <c r="H128" s="3080"/>
      <c r="I128" s="3080"/>
    </row>
    <row r="129" spans="1:35" ht="21.75" customHeight="1">
      <c r="A129" s="2524" t="s">
        <v>2315</v>
      </c>
      <c r="B129" s="2525"/>
      <c r="C129" s="2526" t="s">
        <v>2316</v>
      </c>
      <c r="D129" s="2527"/>
      <c r="E129" s="2527"/>
      <c r="F129" s="2527"/>
      <c r="G129" s="2527"/>
      <c r="H129" s="2528"/>
      <c r="I129" s="2529"/>
    </row>
    <row r="130" spans="1:35" ht="21.75" customHeight="1">
      <c r="A130" s="2530">
        <v>1</v>
      </c>
      <c r="B130" s="2531"/>
      <c r="C130" s="2531"/>
      <c r="D130" s="2532"/>
      <c r="E130" s="2532"/>
      <c r="F130" s="2532"/>
      <c r="G130" s="2532"/>
      <c r="H130" s="2533"/>
      <c r="I130" s="2534"/>
    </row>
    <row r="131" spans="1:35" ht="21.75" customHeight="1">
      <c r="A131" s="2530">
        <v>2</v>
      </c>
      <c r="B131" s="2531"/>
      <c r="C131" s="2531"/>
      <c r="D131" s="2532"/>
      <c r="E131" s="2532"/>
      <c r="F131" s="2532"/>
      <c r="G131" s="2532"/>
      <c r="H131" s="2533"/>
      <c r="I131" s="2534"/>
    </row>
    <row r="132" spans="1:35" ht="21.75" customHeight="1">
      <c r="A132" s="2530">
        <v>3</v>
      </c>
      <c r="B132" s="2531"/>
      <c r="C132" s="2531"/>
      <c r="D132" s="2532"/>
      <c r="E132" s="2532"/>
      <c r="F132" s="2532"/>
      <c r="G132" s="2532"/>
      <c r="H132" s="2533"/>
      <c r="I132" s="2534"/>
    </row>
    <row r="133" spans="1:35" ht="21.75" customHeight="1">
      <c r="A133" s="2535"/>
      <c r="B133" s="2536"/>
      <c r="C133" s="2536"/>
      <c r="D133" s="2537"/>
      <c r="E133" s="2537"/>
      <c r="F133" s="2537"/>
      <c r="G133" s="2537"/>
      <c r="H133" s="2538"/>
      <c r="I133" s="2539"/>
    </row>
    <row r="134" spans="1:35" ht="21.75" customHeight="1">
      <c r="A134" s="2531"/>
      <c r="B134" s="2531"/>
      <c r="C134" s="2531"/>
      <c r="D134" s="2532"/>
      <c r="E134" s="2532"/>
      <c r="F134" s="2532"/>
      <c r="G134" s="2532"/>
      <c r="H134" s="2533"/>
      <c r="I134" s="795"/>
    </row>
    <row r="135" spans="1:35" ht="21.75" customHeight="1">
      <c r="A135" s="795"/>
      <c r="B135" s="795"/>
      <c r="C135" s="795"/>
      <c r="D135" s="795"/>
      <c r="E135" s="795"/>
      <c r="F135" s="2540" t="s">
        <v>2317</v>
      </c>
      <c r="G135" s="2541"/>
      <c r="H135" s="2541"/>
      <c r="I135" s="2542" t="s">
        <v>2318</v>
      </c>
    </row>
    <row r="136" spans="1:35" ht="21.75" customHeight="1">
      <c r="A136" s="795"/>
      <c r="B136" s="2543"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1"/>
      <c r="C138" s="2541"/>
      <c r="D138" s="2541"/>
      <c r="E138" s="2541"/>
      <c r="F138" s="2541"/>
      <c r="G138" s="2541"/>
      <c r="H138" s="2541"/>
      <c r="I138" s="2542" t="s">
        <v>2320</v>
      </c>
    </row>
    <row r="139" spans="1:35" ht="21.75" customHeight="1">
      <c r="A139" s="795"/>
      <c r="B139" s="2543" t="s">
        <v>2321</v>
      </c>
      <c r="C139" s="795"/>
      <c r="D139" s="795"/>
      <c r="E139" s="795"/>
      <c r="F139" s="795"/>
      <c r="G139" s="795"/>
      <c r="H139" s="795"/>
      <c r="I139" s="795"/>
    </row>
    <row r="140" spans="1:35" ht="21.75" customHeight="1">
      <c r="A140" s="795"/>
      <c r="B140" s="2543"/>
      <c r="C140" s="795"/>
      <c r="D140" s="795"/>
      <c r="E140" s="795"/>
      <c r="F140" s="795"/>
      <c r="G140" s="795"/>
      <c r="H140" s="795"/>
      <c r="I140" s="795"/>
    </row>
    <row r="141" spans="1:35" ht="21.75" customHeight="1">
      <c r="A141" s="795"/>
      <c r="B141" s="2541"/>
      <c r="C141" s="2541"/>
      <c r="D141" s="2541"/>
      <c r="E141" s="2541"/>
      <c r="F141" s="2541"/>
      <c r="G141" s="2541"/>
      <c r="H141" s="2541"/>
      <c r="I141" s="2542" t="s">
        <v>2320</v>
      </c>
    </row>
    <row r="142" spans="1:35" ht="21.75" customHeight="1">
      <c r="A142" s="795"/>
      <c r="B142" s="2543"/>
      <c r="C142" s="2544"/>
      <c r="D142" s="2545"/>
      <c r="E142" s="2545"/>
      <c r="F142" s="2339"/>
      <c r="G142" s="795"/>
      <c r="H142" s="795"/>
      <c r="I142" s="795"/>
    </row>
    <row r="143" spans="1:35" s="139" customFormat="1" ht="21.75" customHeight="1">
      <c r="A143" s="795"/>
      <c r="B143" s="2543"/>
      <c r="C143" s="2544"/>
      <c r="D143" s="2545"/>
      <c r="E143" s="2545"/>
      <c r="F143" s="2339"/>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0"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0"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0"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0"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0"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0"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0"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0"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0"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0"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0"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0"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0"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0"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0"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0"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0"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0"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0"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0"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0"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0"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0"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0"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0"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0"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0"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0"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0"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0"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0"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0"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0"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0"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0"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0"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0"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0"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0"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0"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0"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0"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0"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0"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0"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0"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0"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0"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0"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0"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0"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0"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0"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0"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0"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0"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0"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0"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0"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0"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0"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0"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0"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0"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0"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0"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0"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0"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0"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0"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0"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0"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0"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0"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0"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0"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0"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0"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0"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0"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0"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0"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0"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0"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0"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0"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0"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0"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0"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0"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0"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0"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0"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0"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0"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0"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0"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0"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0"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0"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0"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0"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0"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0"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5" zoomScaleNormal="85" workbookViewId="0">
      <selection activeCell="J28" sqref="J28"/>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2322</v>
      </c>
      <c r="B1" s="1936"/>
      <c r="C1" s="242"/>
      <c r="D1" s="242"/>
      <c r="E1" s="242"/>
      <c r="F1" s="242"/>
      <c r="G1" s="1379">
        <f>MATCH(B1,'数据-取费表'!A6:A16,0)+5</f>
        <v>7</v>
      </c>
    </row>
    <row r="2" spans="1:9" s="244" customFormat="1" ht="18" customHeight="1">
      <c r="A2" s="245" t="s">
        <v>2323</v>
      </c>
      <c r="B2" s="246">
        <f ca="1">IF(D2="——",C52,C52-E2)</f>
        <v>95015</v>
      </c>
      <c r="C2" s="243" t="s">
        <v>2324</v>
      </c>
      <c r="D2" s="2546" t="s">
        <v>70</v>
      </c>
      <c r="E2" s="1440" t="e">
        <f ca="1">SUMIF(INDIRECT("'"&amp;G2&amp;"'"&amp;"!A:A"),"承租人权益价值",INDIRECT("'"&amp;G2&amp;"'"&amp;"!c:c"))</f>
        <v>#REF!</v>
      </c>
      <c r="F2" s="2547" t="s">
        <v>2324</v>
      </c>
      <c r="G2" s="2548"/>
    </row>
    <row r="3" spans="1:9" s="244" customFormat="1" ht="18" customHeight="1" thickBot="1">
      <c r="A3" s="247" t="s">
        <v>2325</v>
      </c>
      <c r="B3" s="248">
        <f ca="1">ROUND(B2*10000/(IF(B1="",'数据-汇总表'!E3,INDIRECT("'数据-取费表'!k"&amp;$G$1))),0)</f>
        <v>12417</v>
      </c>
      <c r="C3" s="243" t="s">
        <v>2326</v>
      </c>
      <c r="D3" s="243"/>
      <c r="E3" s="243"/>
      <c r="F3" s="243"/>
      <c r="G3" s="243"/>
    </row>
    <row r="4" spans="1:9" s="252" customFormat="1" ht="16.2">
      <c r="A4" s="249" t="s">
        <v>2327</v>
      </c>
      <c r="B4" s="250"/>
      <c r="C4" s="250"/>
      <c r="D4" s="250"/>
      <c r="E4" s="250"/>
      <c r="F4" s="250"/>
      <c r="G4" s="251"/>
    </row>
    <row r="5" spans="1:9" s="258" customFormat="1" ht="13.5" customHeight="1">
      <c r="A5" s="299" t="s">
        <v>2328</v>
      </c>
      <c r="B5" s="254" t="s">
        <v>2329</v>
      </c>
      <c r="C5" s="255">
        <f>C6+C7+C8</f>
        <v>21973</v>
      </c>
      <c r="D5" s="255" t="s">
        <v>2330</v>
      </c>
      <c r="E5" s="256" t="s">
        <v>2331</v>
      </c>
      <c r="F5" s="256" t="s">
        <v>2332</v>
      </c>
      <c r="G5" s="257"/>
    </row>
    <row r="6" spans="1:9" s="258" customFormat="1" ht="13.5" customHeight="1">
      <c r="A6" s="949" t="s">
        <v>2333</v>
      </c>
      <c r="B6" s="259" t="s">
        <v>2334</v>
      </c>
      <c r="C6" s="260">
        <f>'土地比较法-住宅、综合'!B2</f>
        <v>18176</v>
      </c>
      <c r="D6" s="261"/>
      <c r="E6" s="262"/>
      <c r="F6" s="262"/>
      <c r="G6" s="263"/>
    </row>
    <row r="7" spans="1:9" s="258" customFormat="1" ht="13.5" customHeight="1">
      <c r="A7" s="949" t="s">
        <v>2335</v>
      </c>
      <c r="B7" s="259" t="s">
        <v>2336</v>
      </c>
      <c r="C7" s="264">
        <f>ROUND(C6*F7,0)</f>
        <v>736</v>
      </c>
      <c r="D7" s="264"/>
      <c r="E7" s="262"/>
      <c r="F7" s="265">
        <f>IF(项目基本情况!B8="出让",0,'数据-取费表'!B48+'数据-取费表'!B49)</f>
        <v>4.0500000000000001E-2</v>
      </c>
      <c r="G7" s="263"/>
    </row>
    <row r="8" spans="1:9" s="267" customFormat="1">
      <c r="A8" s="949" t="s">
        <v>2337</v>
      </c>
      <c r="B8" s="259" t="s">
        <v>2338</v>
      </c>
      <c r="C8" s="264">
        <f>IF(G8="已包含在土地购买价格中","0",IF(B1="",'数据-取费表'!B29,IF(G9="全部缴纳",C9+C10,H9)))</f>
        <v>3061</v>
      </c>
      <c r="D8" s="266"/>
      <c r="E8" s="264"/>
      <c r="F8" s="265"/>
      <c r="G8" s="2549" t="s">
        <v>3409</v>
      </c>
    </row>
    <row r="9" spans="1:9" s="258" customFormat="1" ht="13.5" customHeight="1">
      <c r="A9" s="950" t="s">
        <v>800</v>
      </c>
      <c r="B9" s="268" t="s">
        <v>2339</v>
      </c>
      <c r="C9" s="269">
        <f ca="1">ROUND(D9*E9/10000,0)</f>
        <v>0</v>
      </c>
      <c r="D9" s="1032">
        <f ca="1">IF(B1="",'数据-汇总表'!E5,IF(INDIRECT("'数据-取费表'!c"&amp;$G$1)="住宅",INDIRECT("'数据-取费表'!k"&amp;$G$1),0))</f>
        <v>0</v>
      </c>
      <c r="E9" s="269">
        <f>'数据-取费表'!B27</f>
        <v>400</v>
      </c>
      <c r="F9" s="265"/>
      <c r="G9" s="2550"/>
      <c r="H9" s="1390"/>
      <c r="I9" s="2551" t="s">
        <v>2340</v>
      </c>
    </row>
    <row r="10" spans="1:9" s="258" customFormat="1" ht="13.5" customHeight="1">
      <c r="A10" s="950" t="s">
        <v>801</v>
      </c>
      <c r="B10" s="268" t="s">
        <v>2341</v>
      </c>
      <c r="C10" s="269">
        <f ca="1">ROUND(D10*E10/10000,0)</f>
        <v>3061</v>
      </c>
      <c r="D10" s="1032">
        <f ca="1">IF(B1="",'数据-汇总表'!E6,IF(INDIRECT("'数据-取费表'!c"&amp;$G$1)="住宅",INDIRECT("'数据-取费表'!s"&amp;$G$1),INDIRECT("'数据-取费表'!k"&amp;$G$1)+INDIRECT("'数据-取费表'!s"&amp;$G$1)))</f>
        <v>76522.880000000005</v>
      </c>
      <c r="E10" s="269">
        <f>'数据-取费表'!B28</f>
        <v>400</v>
      </c>
      <c r="F10" s="265"/>
      <c r="G10" s="270"/>
    </row>
    <row r="11" spans="1:9" s="258" customFormat="1" ht="13.5" hidden="1" customHeight="1">
      <c r="A11" s="271" t="s">
        <v>7</v>
      </c>
      <c r="B11" s="259" t="s">
        <v>2342</v>
      </c>
      <c r="C11" s="255"/>
      <c r="D11" s="1034"/>
      <c r="E11" s="262"/>
      <c r="F11" s="262"/>
      <c r="G11" s="263"/>
    </row>
    <row r="12" spans="1:9" s="258" customFormat="1" ht="13.5" hidden="1" customHeight="1">
      <c r="A12" s="271" t="s">
        <v>8</v>
      </c>
      <c r="B12" s="259" t="s">
        <v>2343</v>
      </c>
      <c r="C12" s="255">
        <v>0</v>
      </c>
      <c r="D12" s="1034"/>
      <c r="E12" s="272"/>
      <c r="F12" s="265">
        <v>3.0499999999999999E-2</v>
      </c>
      <c r="G12" s="263"/>
    </row>
    <row r="13" spans="1:9" s="258" customFormat="1" ht="13.5" hidden="1" customHeight="1">
      <c r="A13" s="271" t="s">
        <v>9</v>
      </c>
      <c r="B13" s="259" t="s">
        <v>2344</v>
      </c>
      <c r="C13" s="255"/>
      <c r="D13" s="1034"/>
      <c r="E13" s="262"/>
      <c r="F13" s="262"/>
      <c r="G13" s="263"/>
    </row>
    <row r="14" spans="1:9" s="258" customFormat="1" ht="13.5" hidden="1" customHeight="1">
      <c r="A14" s="271" t="s">
        <v>10</v>
      </c>
      <c r="B14" s="259" t="s">
        <v>2345</v>
      </c>
      <c r="C14" s="255"/>
      <c r="D14" s="1034"/>
      <c r="E14" s="262"/>
      <c r="F14" s="262"/>
      <c r="G14" s="263" t="s">
        <v>2346</v>
      </c>
    </row>
    <row r="15" spans="1:9" s="258" customFormat="1" ht="13.5" hidden="1" customHeight="1">
      <c r="A15" s="271" t="s">
        <v>11</v>
      </c>
      <c r="B15" s="259" t="s">
        <v>2347</v>
      </c>
      <c r="C15" s="264"/>
      <c r="D15" s="1034"/>
      <c r="E15" s="262"/>
      <c r="F15" s="262"/>
      <c r="G15" s="263" t="s">
        <v>2348</v>
      </c>
    </row>
    <row r="16" spans="1:9" s="258" customFormat="1" ht="13.5" hidden="1" customHeight="1">
      <c r="A16" s="271" t="s">
        <v>12</v>
      </c>
      <c r="B16" s="259" t="s">
        <v>2345</v>
      </c>
      <c r="C16" s="264"/>
      <c r="D16" s="1034"/>
      <c r="E16" s="262"/>
      <c r="F16" s="262"/>
      <c r="G16" s="263"/>
    </row>
    <row r="17" spans="1:7" s="258" customFormat="1" ht="13.5" hidden="1" customHeight="1">
      <c r="A17" s="271" t="s">
        <v>13</v>
      </c>
      <c r="B17" s="259" t="s">
        <v>2349</v>
      </c>
      <c r="C17" s="273"/>
      <c r="D17" s="1035"/>
      <c r="E17" s="273"/>
      <c r="F17" s="273"/>
      <c r="G17" s="263" t="s">
        <v>2348</v>
      </c>
    </row>
    <row r="18" spans="1:7" s="258" customFormat="1" ht="13.5" hidden="1" customHeight="1">
      <c r="A18" s="271" t="s">
        <v>14</v>
      </c>
      <c r="B18" s="259" t="s">
        <v>2350</v>
      </c>
      <c r="C18" s="264">
        <v>0</v>
      </c>
      <c r="D18" s="1034"/>
      <c r="E18" s="262"/>
      <c r="F18" s="265">
        <v>3.0499999999999999E-2</v>
      </c>
      <c r="G18" s="263" t="s">
        <v>2351</v>
      </c>
    </row>
    <row r="19" spans="1:7" s="267" customFormat="1" ht="13.5" customHeight="1">
      <c r="A19" s="299" t="s">
        <v>2352</v>
      </c>
      <c r="B19" s="254" t="s">
        <v>2353</v>
      </c>
      <c r="C19" s="255" t="str">
        <f>IF(G19="已包含在土地取得成本中","0",ROUND(D19*E19/10000,0))</f>
        <v>0</v>
      </c>
      <c r="D19" s="1036">
        <f ca="1">D9+D10</f>
        <v>76522.880000000005</v>
      </c>
      <c r="E19" s="255">
        <f>'数据-取费表'!B31</f>
        <v>200</v>
      </c>
      <c r="F19" s="275"/>
      <c r="G19" s="2549" t="s">
        <v>3410</v>
      </c>
    </row>
    <row r="20" spans="1:7" s="258" customFormat="1" ht="13.5" customHeight="1">
      <c r="A20" s="299" t="s">
        <v>2354</v>
      </c>
      <c r="B20" s="254" t="s">
        <v>2355</v>
      </c>
      <c r="C20" s="276">
        <f>ROUND((C5+C19)*F20,0)</f>
        <v>659</v>
      </c>
      <c r="D20" s="276"/>
      <c r="E20" s="276"/>
      <c r="F20" s="277">
        <f>'数据-取费表'!B37</f>
        <v>0.03</v>
      </c>
      <c r="G20" s="278" t="s">
        <v>2356</v>
      </c>
    </row>
    <row r="21" spans="1:7" s="258" customFormat="1" ht="13.5" customHeight="1">
      <c r="A21" s="299" t="s">
        <v>2357</v>
      </c>
      <c r="B21" s="254" t="s">
        <v>2358</v>
      </c>
      <c r="C21" s="279">
        <f>F21</f>
        <v>0.03</v>
      </c>
      <c r="D21" s="280" t="s">
        <v>2359</v>
      </c>
      <c r="E21" s="276"/>
      <c r="F21" s="277">
        <f>'数据-取费表'!B38</f>
        <v>0.03</v>
      </c>
      <c r="G21" s="278" t="s">
        <v>2360</v>
      </c>
    </row>
    <row r="22" spans="1:7" s="258" customFormat="1" ht="13.5" customHeight="1">
      <c r="A22" s="299" t="s">
        <v>2361</v>
      </c>
      <c r="B22" s="254" t="s">
        <v>2362</v>
      </c>
      <c r="C22" s="1354">
        <f ca="1">ROUND(SUM(C23:C25),0)</f>
        <v>3330</v>
      </c>
      <c r="D22" s="279">
        <f ca="1">C26</f>
        <v>2.2000000000000001E-3</v>
      </c>
      <c r="E22" s="280" t="s">
        <v>2359</v>
      </c>
      <c r="F22" s="281">
        <f ca="1">'数据-取费表'!B40</f>
        <v>4.7500000000000001E-2</v>
      </c>
      <c r="G22" s="278" t="str">
        <f>IF('数据-取费表'!B22&lt;=1,"单利计息","复利计息")</f>
        <v>复利计息</v>
      </c>
    </row>
    <row r="23" spans="1:7" s="258" customFormat="1" ht="13.5" customHeight="1">
      <c r="A23" s="951" t="s">
        <v>2363</v>
      </c>
      <c r="B23" s="259" t="s">
        <v>2364</v>
      </c>
      <c r="C23" s="1355">
        <f ca="1">ROUND(IF('数据-取费表'!B22&lt;=1,C5*F22*'数据-取费表'!B23,C5*(POWER((1+F22),'数据-取费表'!B23)-1)),0)</f>
        <v>3282</v>
      </c>
      <c r="D23" s="282"/>
      <c r="E23" s="282"/>
      <c r="F23" s="283"/>
      <c r="G23" s="284" t="s">
        <v>2365</v>
      </c>
    </row>
    <row r="24" spans="1:7" s="258" customFormat="1" ht="13.5" customHeight="1">
      <c r="A24" s="951" t="s">
        <v>2366</v>
      </c>
      <c r="B24" s="259" t="s">
        <v>2367</v>
      </c>
      <c r="C24" s="1355">
        <f ca="1">ROUND(IF('数据-取费表'!B22&lt;=1,C19*F22*('数据-取费表'!B19/2+'数据-取费表'!B21),C19*(POWER((1+F22),('数据-取费表'!B19/2+'数据-取费表'!B21))-1)),0)</f>
        <v>0</v>
      </c>
      <c r="D24" s="282"/>
      <c r="E24" s="282"/>
      <c r="F24" s="283"/>
      <c r="G24" s="284" t="s">
        <v>2368</v>
      </c>
    </row>
    <row r="25" spans="1:7" s="258" customFormat="1" ht="24">
      <c r="A25" s="951" t="s">
        <v>2369</v>
      </c>
      <c r="B25" s="259" t="s">
        <v>2370</v>
      </c>
      <c r="C25" s="1355">
        <f ca="1">ROUND(IF('数据-取费表'!B22&lt;=1,C20*F22*'数据-取费表'!B23/2,C20*(POWER((1+F22),'数据-取费表'!B23/2)-1)),0)</f>
        <v>48</v>
      </c>
      <c r="D25" s="282"/>
      <c r="E25" s="285"/>
      <c r="F25" s="283"/>
      <c r="G25" s="286" t="s">
        <v>2371</v>
      </c>
    </row>
    <row r="26" spans="1:7" s="258" customFormat="1">
      <c r="A26" s="951" t="s">
        <v>795</v>
      </c>
      <c r="B26" s="259" t="s">
        <v>2372</v>
      </c>
      <c r="C26" s="282">
        <f ca="1">ROUND(IF('数据-取费表'!B22&lt;=1,F21*F22*'数据-取费表'!B23/2,F21*(POWER((1+F22),'数据-取费表'!B23/2)-1)),4)</f>
        <v>2.2000000000000001E-3</v>
      </c>
      <c r="D26" s="282"/>
      <c r="E26" s="285"/>
      <c r="F26" s="283"/>
      <c r="G26" s="287"/>
    </row>
    <row r="27" spans="1:7" s="258" customFormat="1" ht="26.4">
      <c r="A27" s="299" t="s">
        <v>2373</v>
      </c>
      <c r="B27" s="288" t="s">
        <v>2374</v>
      </c>
      <c r="C27" s="289">
        <f ca="1">C28</f>
        <v>6790</v>
      </c>
      <c r="D27" s="279">
        <f ca="1">C29</f>
        <v>8.9999999999999993E-3</v>
      </c>
      <c r="E27" s="280" t="s">
        <v>2375</v>
      </c>
      <c r="F27" s="290">
        <f ca="1">IF(B1="",'数据-取费表'!Q16,INDIRECT("'数据-取费表'!q"&amp;$G$1))</f>
        <v>0.3</v>
      </c>
      <c r="G27" s="291" t="s">
        <v>2376</v>
      </c>
    </row>
    <row r="28" spans="1:7" s="258" customFormat="1" ht="13.5" customHeight="1">
      <c r="A28" s="951" t="s">
        <v>791</v>
      </c>
      <c r="B28" s="292" t="s">
        <v>2377</v>
      </c>
      <c r="C28" s="293">
        <f ca="1">ROUND((C5+C19+C20)*F27*'数据-取费表'!B21/'数据-取费表'!B20,0)</f>
        <v>6790</v>
      </c>
      <c r="D28" s="279"/>
      <c r="E28" s="280"/>
      <c r="F28" s="290"/>
      <c r="G28" s="291"/>
    </row>
    <row r="29" spans="1:7" s="258" customFormat="1" ht="13.5" customHeight="1">
      <c r="A29" s="951" t="s">
        <v>792</v>
      </c>
      <c r="B29" s="292" t="s">
        <v>2378</v>
      </c>
      <c r="C29" s="282">
        <f ca="1">ROUND(C21*F27*'数据-取费表'!B21/'数据-取费表'!B20,4)</f>
        <v>8.9999999999999993E-3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36170</v>
      </c>
      <c r="D31" s="274"/>
      <c r="E31" s="255"/>
      <c r="F31" s="294"/>
      <c r="G31" s="278" t="s">
        <v>2383</v>
      </c>
    </row>
    <row r="32" spans="1:7" s="252" customFormat="1" ht="16.2">
      <c r="A32" s="296" t="s">
        <v>2384</v>
      </c>
      <c r="B32" s="297"/>
      <c r="C32" s="297"/>
      <c r="D32" s="297"/>
      <c r="E32" s="297"/>
      <c r="F32" s="297"/>
      <c r="G32" s="298"/>
    </row>
    <row r="33" spans="1:7" s="258" customFormat="1" ht="13.5" customHeight="1">
      <c r="A33" s="299" t="s">
        <v>782</v>
      </c>
      <c r="B33" s="254" t="s">
        <v>2385</v>
      </c>
      <c r="C33" s="300">
        <f ca="1">SUM(C34:C38)</f>
        <v>38869</v>
      </c>
      <c r="D33" s="276"/>
      <c r="E33" s="256"/>
      <c r="F33" s="285"/>
      <c r="G33" s="278"/>
    </row>
    <row r="34" spans="1:7" s="302" customFormat="1" ht="13.5" customHeight="1">
      <c r="A34" s="951" t="s">
        <v>791</v>
      </c>
      <c r="B34" s="259" t="s">
        <v>2386</v>
      </c>
      <c r="C34" s="264">
        <f ca="1">IF(B1="",IF(F34=100%,'数据-取费表'!M16,'数据-取费表'!O16),IF(F34=100%,INDIRECT("'数据-取费表'!m"&amp;$G$1)+INDIRECT("'数据-取费表'!t"&amp;$G$1),INDIRECT("'数据-取费表'!o"&amp;$G$1)+INDIRECT("'数据-取费表'!aq"&amp;$G$1)))</f>
        <v>35392</v>
      </c>
      <c r="D34" s="261"/>
      <c r="E34" s="264"/>
      <c r="F34" s="301">
        <f ca="1">IF('数据-取费表'!B24=0,1,IF(B1="",'数据-取费表'!N16,INDIRECT("'数据-取费表'!n"&amp;$G$1)))</f>
        <v>1</v>
      </c>
      <c r="G34" s="263" t="s">
        <v>2387</v>
      </c>
    </row>
    <row r="35" spans="1:7" ht="13.5" customHeight="1">
      <c r="A35" s="951" t="s">
        <v>796</v>
      </c>
      <c r="B35" s="259" t="s">
        <v>2388</v>
      </c>
      <c r="C35" s="264">
        <f ca="1">ROUND(C34*F35,0)</f>
        <v>1416</v>
      </c>
      <c r="D35" s="264"/>
      <c r="E35" s="264"/>
      <c r="F35" s="303">
        <f>'数据-取费表'!B33</f>
        <v>0.04</v>
      </c>
      <c r="G35" s="263" t="s">
        <v>2389</v>
      </c>
    </row>
    <row r="36" spans="1:7" ht="24">
      <c r="A36" s="951"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1" t="s">
        <v>798</v>
      </c>
      <c r="B37" s="259" t="s">
        <v>2392</v>
      </c>
      <c r="C37" s="293">
        <f ca="1">ROUND(E37*D37*F34/10000,0)</f>
        <v>1530</v>
      </c>
      <c r="D37" s="261">
        <f ca="1">D19</f>
        <v>76522.880000000005</v>
      </c>
      <c r="E37" s="293">
        <f>'数据-取费表'!B35</f>
        <v>200</v>
      </c>
      <c r="F37" s="303"/>
      <c r="G37" s="305" t="s">
        <v>2393</v>
      </c>
    </row>
    <row r="38" spans="1:7" ht="13.5" customHeight="1">
      <c r="A38" s="951" t="s">
        <v>799</v>
      </c>
      <c r="B38" s="259" t="s">
        <v>2394</v>
      </c>
      <c r="C38" s="264">
        <f ca="1">ROUND(C34*F38,0)</f>
        <v>531</v>
      </c>
      <c r="D38" s="264"/>
      <c r="E38" s="264"/>
      <c r="F38" s="303">
        <f>'数据-取费表'!B36</f>
        <v>1.4999999999999999E-2</v>
      </c>
      <c r="G38" s="263" t="s">
        <v>2389</v>
      </c>
    </row>
    <row r="39" spans="1:7" s="258" customFormat="1" ht="13.5" customHeight="1">
      <c r="A39" s="299" t="s">
        <v>2395</v>
      </c>
      <c r="B39" s="254" t="s">
        <v>2396</v>
      </c>
      <c r="C39" s="276">
        <f ca="1">ROUND(C33*F20,0)</f>
        <v>1166</v>
      </c>
      <c r="D39" s="276"/>
      <c r="E39" s="276"/>
      <c r="F39" s="277"/>
      <c r="G39" s="278" t="s">
        <v>2397</v>
      </c>
    </row>
    <row r="40" spans="1:7" s="258" customFormat="1" ht="13.5" customHeight="1">
      <c r="A40" s="299" t="s">
        <v>2398</v>
      </c>
      <c r="B40" s="254" t="s">
        <v>2399</v>
      </c>
      <c r="C40" s="1728">
        <f>F21</f>
        <v>0.03</v>
      </c>
      <c r="D40" s="280" t="s">
        <v>2400</v>
      </c>
      <c r="E40" s="276"/>
      <c r="F40" s="277"/>
      <c r="G40" s="278" t="s">
        <v>2401</v>
      </c>
    </row>
    <row r="41" spans="1:7" s="258" customFormat="1" ht="13.5" customHeight="1">
      <c r="A41" s="299" t="s">
        <v>2402</v>
      </c>
      <c r="B41" s="254" t="s">
        <v>2403</v>
      </c>
      <c r="C41" s="276">
        <f ca="1">ROUND(SUM(C42:C43),0)</f>
        <v>2886</v>
      </c>
      <c r="D41" s="279">
        <f ca="1">C44</f>
        <v>2.2000000000000001E-3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ROUND(IF('数据-取费表'!B22&lt;=1,C33*F22*'数据-取费表'!B21/2,C33*(POWER((1+F22),'数据-取费表'!B21/2)-1)),0)</f>
        <v>2802</v>
      </c>
      <c r="D42" s="282"/>
      <c r="E42" s="282"/>
      <c r="F42" s="283"/>
      <c r="G42" s="3152" t="s">
        <v>2405</v>
      </c>
    </row>
    <row r="43" spans="1:7" ht="13.5" customHeight="1">
      <c r="A43" s="951" t="s">
        <v>792</v>
      </c>
      <c r="B43" s="259" t="s">
        <v>2406</v>
      </c>
      <c r="C43" s="282">
        <f ca="1">ROUND(IF('数据-取费表'!B22&lt;=1,C39*F22*'数据-取费表'!B21/2,C39*(POWER((1+F22),'数据-取费表'!B21/2)-1)),0)</f>
        <v>84</v>
      </c>
      <c r="D43" s="282"/>
      <c r="E43" s="282"/>
      <c r="F43" s="283"/>
      <c r="G43" s="3153"/>
    </row>
    <row r="44" spans="1:7" ht="13.5" customHeight="1">
      <c r="A44" s="951" t="s">
        <v>793</v>
      </c>
      <c r="B44" s="259" t="s">
        <v>2407</v>
      </c>
      <c r="C44" s="282">
        <f ca="1">ROUND(IF('数据-取费表'!B22&lt;=1,C40*F22*'数据-取费表'!B21/2,C40*(POWER((1+F22),'数据-取费表'!B21/2)-1)),4)</f>
        <v>2.2000000000000001E-3</v>
      </c>
      <c r="D44" s="282"/>
      <c r="E44" s="282"/>
      <c r="F44" s="283"/>
      <c r="G44" s="3154"/>
    </row>
    <row r="45" spans="1:7" s="258" customFormat="1" ht="13.5" customHeight="1">
      <c r="A45" s="299" t="s">
        <v>2408</v>
      </c>
      <c r="B45" s="288" t="s">
        <v>2374</v>
      </c>
      <c r="C45" s="289">
        <f ca="1">C46</f>
        <v>12011</v>
      </c>
      <c r="D45" s="279">
        <f ca="1">C47</f>
        <v>8.9999999999999993E-3</v>
      </c>
      <c r="E45" s="280" t="s">
        <v>2400</v>
      </c>
      <c r="F45" s="290"/>
      <c r="G45" s="291" t="s">
        <v>2409</v>
      </c>
    </row>
    <row r="46" spans="1:7" s="258" customFormat="1" ht="13.5" customHeight="1">
      <c r="A46" s="951" t="s">
        <v>791</v>
      </c>
      <c r="B46" s="292" t="s">
        <v>2410</v>
      </c>
      <c r="C46" s="293">
        <f ca="1">ROUND((C33+C39)*F27,0)</f>
        <v>12011</v>
      </c>
      <c r="D46" s="307"/>
      <c r="E46" s="280"/>
      <c r="F46" s="290"/>
      <c r="G46" s="291"/>
    </row>
    <row r="47" spans="1:7" s="258" customFormat="1" ht="13.5" customHeight="1">
      <c r="A47" s="951" t="s">
        <v>792</v>
      </c>
      <c r="B47" s="292" t="s">
        <v>2411</v>
      </c>
      <c r="C47" s="282">
        <f ca="1">ROUND(C40*F27,4)</f>
        <v>8.9999999999999993E-3</v>
      </c>
      <c r="D47" s="307"/>
      <c r="E47" s="280"/>
      <c r="F47" s="290"/>
      <c r="G47" s="291"/>
    </row>
    <row r="48" spans="1:7" s="258" customFormat="1" ht="13.5" customHeight="1">
      <c r="A48" s="299" t="s">
        <v>2373</v>
      </c>
      <c r="B48" s="254" t="s">
        <v>2412</v>
      </c>
      <c r="C48" s="1728">
        <f>ROUND(F30/(1+'数据-取费表'!C42),4)</f>
        <v>5.33E-2</v>
      </c>
      <c r="D48" s="280" t="s">
        <v>2400</v>
      </c>
      <c r="E48" s="276"/>
      <c r="F48" s="281"/>
      <c r="G48" s="278" t="s">
        <v>2413</v>
      </c>
    </row>
    <row r="49" spans="1:7" ht="16.5" customHeight="1">
      <c r="A49" s="299" t="s">
        <v>2379</v>
      </c>
      <c r="B49" s="254" t="s">
        <v>2414</v>
      </c>
      <c r="C49" s="276">
        <f ca="1">ROUND((C33+C39+C41+C45)/(1-C40-D41-D45-C48),0)</f>
        <v>60665</v>
      </c>
      <c r="D49" s="276"/>
      <c r="E49" s="276"/>
      <c r="F49" s="308"/>
      <c r="G49" s="278" t="s">
        <v>2415</v>
      </c>
    </row>
    <row r="50" spans="1:7" s="302" customFormat="1" ht="24">
      <c r="A50" s="299" t="s">
        <v>2416</v>
      </c>
      <c r="B50" s="254" t="s">
        <v>2417</v>
      </c>
      <c r="C50" s="276"/>
      <c r="D50" s="276"/>
      <c r="E50" s="276"/>
      <c r="F50" s="308">
        <f>IF('数据-取费表'!B24=0,'数据-取费表'!N16,1)</f>
        <v>0.97</v>
      </c>
      <c r="G50" s="291" t="s">
        <v>2418</v>
      </c>
    </row>
    <row r="51" spans="1:7" ht="16.5" customHeight="1">
      <c r="A51" s="299" t="s">
        <v>2419</v>
      </c>
      <c r="B51" s="254" t="s">
        <v>2420</v>
      </c>
      <c r="C51" s="276">
        <f ca="1">ROUND(C49*F50,0)</f>
        <v>58845</v>
      </c>
      <c r="D51" s="276"/>
      <c r="E51" s="276"/>
      <c r="F51" s="308"/>
      <c r="G51" s="278" t="s">
        <v>2421</v>
      </c>
    </row>
    <row r="52" spans="1:7" s="252" customFormat="1" ht="16.8" thickBot="1">
      <c r="A52" s="309" t="s">
        <v>2422</v>
      </c>
      <c r="B52" s="310"/>
      <c r="C52" s="311">
        <f ca="1">C31+C51</f>
        <v>95015</v>
      </c>
      <c r="D52" s="310"/>
      <c r="E52" s="310"/>
      <c r="F52" s="310"/>
      <c r="G52" s="312"/>
    </row>
    <row r="55" spans="1:7" ht="15">
      <c r="B55" s="314" t="s">
        <v>2423</v>
      </c>
      <c r="C55" s="315"/>
    </row>
    <row r="56" spans="1:7">
      <c r="B56" s="317" t="s">
        <v>1508</v>
      </c>
      <c r="C56" s="319">
        <f ca="1">1-C57</f>
        <v>0.38100000000000001</v>
      </c>
    </row>
    <row r="57" spans="1:7">
      <c r="B57" s="317" t="s">
        <v>1509</v>
      </c>
      <c r="C57" s="318">
        <f ca="1">ROUND(C51/C52,3)</f>
        <v>0.61899999999999999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2322</v>
      </c>
      <c r="B1" s="1936"/>
      <c r="C1" s="2552" t="s">
        <v>2424</v>
      </c>
      <c r="D1" s="242"/>
      <c r="E1" s="242"/>
      <c r="F1" s="242"/>
      <c r="G1" s="1379">
        <f>MATCH(B1,'数据-取费表'!A6:A16,0)+5</f>
        <v>7</v>
      </c>
      <c r="H1" s="1282" t="str">
        <f>IF(ISERROR(FIND("住宅",B1)),"非住宅","住宅")</f>
        <v>非住宅</v>
      </c>
    </row>
    <row r="2" spans="1:8" s="244" customFormat="1" ht="18" customHeight="1">
      <c r="A2" s="245" t="s">
        <v>2323</v>
      </c>
      <c r="B2" s="246">
        <f ca="1">ROUND(IF(D2="——",C52/10000,C52/10000-E2),0)</f>
        <v>66402</v>
      </c>
      <c r="C2" s="243" t="s">
        <v>2324</v>
      </c>
      <c r="D2" s="2546" t="s">
        <v>70</v>
      </c>
      <c r="E2" s="1440" t="e">
        <f ca="1">SUMIF(INDIRECT("'"&amp;G2&amp;"'"&amp;"!A:A"),"承租人权益价值",INDIRECT("'"&amp;G2&amp;"'"&amp;"!c:c"))</f>
        <v>#REF!</v>
      </c>
      <c r="F2" s="2547" t="s">
        <v>2324</v>
      </c>
      <c r="G2" s="2548"/>
    </row>
    <row r="3" spans="1:8" s="244" customFormat="1" ht="18" customHeight="1" thickBot="1">
      <c r="A3" s="247" t="s">
        <v>2325</v>
      </c>
      <c r="B3" s="248">
        <f ca="1">ROUND(B2*10000/(IF(B1="",'数据-汇总表'!E3,INDIRECT("'数据-取费表'!k"&amp;$G$1))),0)</f>
        <v>8677</v>
      </c>
      <c r="C3" s="243" t="s">
        <v>2326</v>
      </c>
      <c r="D3" s="243"/>
      <c r="E3" s="243"/>
      <c r="F3" s="243"/>
      <c r="G3" s="243"/>
    </row>
    <row r="4" spans="1:8" s="252" customFormat="1" ht="16.2">
      <c r="A4" s="249" t="s">
        <v>2327</v>
      </c>
      <c r="B4" s="250"/>
      <c r="C4" s="250"/>
      <c r="D4" s="250"/>
      <c r="E4" s="250"/>
      <c r="F4" s="250"/>
      <c r="G4" s="251"/>
    </row>
    <row r="5" spans="1:8" s="258" customFormat="1" ht="13.5" customHeight="1">
      <c r="A5" s="299" t="s">
        <v>2328</v>
      </c>
      <c r="B5" s="254" t="s">
        <v>2329</v>
      </c>
      <c r="C5" s="255">
        <f ca="1">C6+C7+C8</f>
        <v>30609152</v>
      </c>
      <c r="D5" s="255" t="s">
        <v>2330</v>
      </c>
      <c r="E5" s="256" t="s">
        <v>2331</v>
      </c>
      <c r="F5" s="256" t="s">
        <v>2332</v>
      </c>
      <c r="G5" s="257"/>
    </row>
    <row r="6" spans="1:8" s="258" customFormat="1" ht="13.5" customHeight="1">
      <c r="A6" s="949" t="s">
        <v>2333</v>
      </c>
      <c r="B6" s="259" t="s">
        <v>2334</v>
      </c>
      <c r="C6" s="260"/>
      <c r="D6" s="261"/>
      <c r="E6" s="262"/>
      <c r="F6" s="262"/>
      <c r="G6" s="263"/>
    </row>
    <row r="7" spans="1:8" s="258" customFormat="1" ht="13.5" customHeight="1">
      <c r="A7" s="949" t="s">
        <v>2335</v>
      </c>
      <c r="B7" s="259" t="s">
        <v>2336</v>
      </c>
      <c r="C7" s="264">
        <f>ROUND(C6*F7,0)</f>
        <v>0</v>
      </c>
      <c r="D7" s="264"/>
      <c r="E7" s="262"/>
      <c r="F7" s="265">
        <f>IF(项目基本情况!B8="出让",0,'数据-取费表'!B48+'数据-取费表'!B49)</f>
        <v>4.0500000000000001E-2</v>
      </c>
      <c r="G7" s="263"/>
    </row>
    <row r="8" spans="1:8" s="267" customFormat="1">
      <c r="A8" s="949" t="s">
        <v>2337</v>
      </c>
      <c r="B8" s="259" t="s">
        <v>2338</v>
      </c>
      <c r="C8" s="264">
        <f ca="1">IF(G8="已包含在土地购买价格中",0,C9+C10)</f>
        <v>30609152</v>
      </c>
      <c r="D8" s="266"/>
      <c r="E8" s="264"/>
      <c r="F8" s="265"/>
      <c r="G8" s="2549"/>
    </row>
    <row r="9" spans="1:8" s="258" customFormat="1" ht="13.5" customHeight="1">
      <c r="A9" s="950" t="s">
        <v>800</v>
      </c>
      <c r="B9" s="268" t="s">
        <v>2339</v>
      </c>
      <c r="C9" s="269">
        <f ca="1">ROUND(D9*E9,0)</f>
        <v>0</v>
      </c>
      <c r="D9" s="1032">
        <f ca="1">IF(B1="",'数据-汇总表'!E5,IF(INDIRECT("'数据-取费表'!c"&amp;$G$1)="住宅",INDIRECT("'数据-取费表'!k"&amp;$G$1),0))</f>
        <v>0</v>
      </c>
      <c r="E9" s="269">
        <f>'数据-取费表'!B27</f>
        <v>400</v>
      </c>
      <c r="F9" s="265"/>
      <c r="G9" s="270"/>
    </row>
    <row r="10" spans="1:8" s="258" customFormat="1" ht="13.5" customHeight="1">
      <c r="A10" s="950" t="s">
        <v>801</v>
      </c>
      <c r="B10" s="268" t="s">
        <v>2341</v>
      </c>
      <c r="C10" s="269">
        <f ca="1">ROUND(D10*E10,0)</f>
        <v>30609152</v>
      </c>
      <c r="D10" s="1032">
        <f ca="1">IF(B1="",'数据-汇总表'!E6,IF(INDIRECT("'数据-取费表'!c"&amp;$G$1)="住宅",INDIRECT("'数据-取费表'!s"&amp;$G$1),INDIRECT("'数据-取费表'!k"&amp;$G$1)+INDIRECT("'数据-取费表'!s"&amp;$G$1)))</f>
        <v>76522.880000000005</v>
      </c>
      <c r="E10" s="269">
        <f>'数据-取费表'!B28</f>
        <v>400</v>
      </c>
      <c r="F10" s="265"/>
      <c r="G10" s="270"/>
    </row>
    <row r="11" spans="1:8" s="258" customFormat="1" ht="13.5" hidden="1" customHeight="1">
      <c r="A11" s="271" t="s">
        <v>7</v>
      </c>
      <c r="B11" s="259" t="s">
        <v>2342</v>
      </c>
      <c r="C11" s="255"/>
      <c r="D11" s="1034"/>
      <c r="E11" s="262"/>
      <c r="F11" s="262"/>
      <c r="G11" s="263"/>
    </row>
    <row r="12" spans="1:8" s="258" customFormat="1" ht="13.5" hidden="1" customHeight="1">
      <c r="A12" s="271" t="s">
        <v>8</v>
      </c>
      <c r="B12" s="259" t="s">
        <v>2425</v>
      </c>
      <c r="C12" s="255">
        <v>0</v>
      </c>
      <c r="D12" s="1034"/>
      <c r="E12" s="272"/>
      <c r="F12" s="265">
        <v>3.0499999999999999E-2</v>
      </c>
      <c r="G12" s="263"/>
    </row>
    <row r="13" spans="1:8" s="258" customFormat="1" ht="13.5" hidden="1" customHeight="1">
      <c r="A13" s="271" t="s">
        <v>9</v>
      </c>
      <c r="B13" s="259" t="s">
        <v>2426</v>
      </c>
      <c r="C13" s="255"/>
      <c r="D13" s="1034"/>
      <c r="E13" s="262"/>
      <c r="F13" s="262"/>
      <c r="G13" s="263"/>
    </row>
    <row r="14" spans="1:8" s="258" customFormat="1" ht="13.5" hidden="1" customHeight="1">
      <c r="A14" s="271" t="s">
        <v>10</v>
      </c>
      <c r="B14" s="259" t="s">
        <v>2338</v>
      </c>
      <c r="C14" s="255"/>
      <c r="D14" s="1034"/>
      <c r="E14" s="262"/>
      <c r="F14" s="262"/>
      <c r="G14" s="263" t="s">
        <v>2427</v>
      </c>
    </row>
    <row r="15" spans="1:8" s="258" customFormat="1" ht="13.5" hidden="1" customHeight="1">
      <c r="A15" s="271" t="s">
        <v>11</v>
      </c>
      <c r="B15" s="259" t="s">
        <v>2428</v>
      </c>
      <c r="C15" s="264"/>
      <c r="D15" s="1034"/>
      <c r="E15" s="262"/>
      <c r="F15" s="262"/>
      <c r="G15" s="263" t="s">
        <v>2429</v>
      </c>
    </row>
    <row r="16" spans="1:8" s="258" customFormat="1" ht="13.5" hidden="1" customHeight="1">
      <c r="A16" s="271" t="s">
        <v>12</v>
      </c>
      <c r="B16" s="259" t="s">
        <v>2338</v>
      </c>
      <c r="C16" s="264"/>
      <c r="D16" s="1034"/>
      <c r="E16" s="262"/>
      <c r="F16" s="262"/>
      <c r="G16" s="263"/>
    </row>
    <row r="17" spans="1:7" s="258" customFormat="1" ht="13.5" hidden="1" customHeight="1">
      <c r="A17" s="271" t="s">
        <v>13</v>
      </c>
      <c r="B17" s="259" t="s">
        <v>2430</v>
      </c>
      <c r="C17" s="273"/>
      <c r="D17" s="1035"/>
      <c r="E17" s="273"/>
      <c r="F17" s="273"/>
      <c r="G17" s="263" t="s">
        <v>2429</v>
      </c>
    </row>
    <row r="18" spans="1:7" s="258" customFormat="1" ht="13.5" hidden="1" customHeight="1">
      <c r="A18" s="271" t="s">
        <v>14</v>
      </c>
      <c r="B18" s="259" t="s">
        <v>2431</v>
      </c>
      <c r="C18" s="264">
        <v>0</v>
      </c>
      <c r="D18" s="1034"/>
      <c r="E18" s="262"/>
      <c r="F18" s="265">
        <v>3.0499999999999999E-2</v>
      </c>
      <c r="G18" s="263" t="s">
        <v>2432</v>
      </c>
    </row>
    <row r="19" spans="1:7" s="267" customFormat="1" ht="13.5" customHeight="1">
      <c r="A19" s="299" t="s">
        <v>2433</v>
      </c>
      <c r="B19" s="254" t="s">
        <v>2434</v>
      </c>
      <c r="C19" s="255">
        <f ca="1">IF(G19="已包含在土地取得成本中","0",ROUND(D19*E19,0))</f>
        <v>15304576</v>
      </c>
      <c r="D19" s="1036">
        <f ca="1">D9+D10</f>
        <v>76522.880000000005</v>
      </c>
      <c r="E19" s="255">
        <f>'数据-取费表'!B31</f>
        <v>200</v>
      </c>
      <c r="F19" s="275"/>
      <c r="G19" s="2549"/>
    </row>
    <row r="20" spans="1:7" s="258" customFormat="1" ht="13.5" customHeight="1">
      <c r="A20" s="299" t="s">
        <v>2435</v>
      </c>
      <c r="B20" s="254" t="s">
        <v>2436</v>
      </c>
      <c r="C20" s="276">
        <f ca="1">ROUND((C5+C19)*F20,0)</f>
        <v>1377412</v>
      </c>
      <c r="D20" s="276"/>
      <c r="E20" s="276"/>
      <c r="F20" s="277">
        <f>'数据-取费表'!B37</f>
        <v>0.03</v>
      </c>
      <c r="G20" s="278" t="s">
        <v>2437</v>
      </c>
    </row>
    <row r="21" spans="1:7" s="258" customFormat="1" ht="13.5" customHeight="1">
      <c r="A21" s="299" t="s">
        <v>2438</v>
      </c>
      <c r="B21" s="254" t="s">
        <v>2439</v>
      </c>
      <c r="C21" s="279">
        <f>F21</f>
        <v>0.03</v>
      </c>
      <c r="D21" s="280" t="s">
        <v>2440</v>
      </c>
      <c r="E21" s="276"/>
      <c r="F21" s="277">
        <f>'数据-取费表'!B38</f>
        <v>0.03</v>
      </c>
      <c r="G21" s="278" t="s">
        <v>2441</v>
      </c>
    </row>
    <row r="22" spans="1:7" s="258" customFormat="1" ht="13.5" customHeight="1">
      <c r="A22" s="299" t="s">
        <v>2442</v>
      </c>
      <c r="B22" s="254" t="s">
        <v>2443</v>
      </c>
      <c r="C22" s="1380">
        <f ca="1">ROUND(SUM(C23:C25),0)</f>
        <v>6957702</v>
      </c>
      <c r="D22" s="279">
        <f ca="1">C26</f>
        <v>2.2000000000000001E-3</v>
      </c>
      <c r="E22" s="280" t="s">
        <v>2440</v>
      </c>
      <c r="F22" s="281">
        <f ca="1">'数据-取费表'!B40</f>
        <v>4.7500000000000001E-2</v>
      </c>
      <c r="G22" s="278" t="str">
        <f>IF('数据-取费表'!B22&lt;=1,"单利计息","复利计息")</f>
        <v>复利计息</v>
      </c>
    </row>
    <row r="23" spans="1:7" s="258" customFormat="1" ht="13.5" customHeight="1">
      <c r="A23" s="951" t="s">
        <v>2333</v>
      </c>
      <c r="B23" s="259" t="s">
        <v>2444</v>
      </c>
      <c r="C23" s="1381">
        <f ca="1">ROUND(IF('数据-取费表'!B22&lt;=1,C5*F22*'数据-取费表'!B22,C5*(POWER((1+F22),'数据-取费表'!B22)-1)),0)</f>
        <v>4572270</v>
      </c>
      <c r="D23" s="282"/>
      <c r="E23" s="282"/>
      <c r="F23" s="283"/>
      <c r="G23" s="284" t="s">
        <v>2445</v>
      </c>
    </row>
    <row r="24" spans="1:7" s="258" customFormat="1" ht="13.5" customHeight="1">
      <c r="A24" s="951" t="s">
        <v>2335</v>
      </c>
      <c r="B24" s="259" t="s">
        <v>2446</v>
      </c>
      <c r="C24" s="1381">
        <f ca="1">ROUND(IF('数据-取费表'!B22&lt;=1,C19*F22*('数据-取费表'!B19/2+'数据-取费表'!B20),C19*(POWER((1+F22),('数据-取费表'!B19/2+'数据-取费表'!B20))-1)),0)</f>
        <v>2286135</v>
      </c>
      <c r="D24" s="282"/>
      <c r="E24" s="282"/>
      <c r="F24" s="283"/>
      <c r="G24" s="284" t="s">
        <v>2447</v>
      </c>
    </row>
    <row r="25" spans="1:7" s="258" customFormat="1" ht="24">
      <c r="A25" s="951" t="s">
        <v>2337</v>
      </c>
      <c r="B25" s="259" t="s">
        <v>2448</v>
      </c>
      <c r="C25" s="1381">
        <f ca="1">ROUND(IF('数据-取费表'!B22&lt;=1,C20*F22*'数据-取费表'!B22/2,C20*(POWER((1+F22),'数据-取费表'!B22/2)-1)),0)</f>
        <v>99297</v>
      </c>
      <c r="D25" s="282"/>
      <c r="E25" s="285"/>
      <c r="F25" s="283"/>
      <c r="G25" s="286" t="s">
        <v>2449</v>
      </c>
    </row>
    <row r="26" spans="1:7" s="258" customFormat="1">
      <c r="A26" s="951" t="s">
        <v>795</v>
      </c>
      <c r="B26" s="259" t="s">
        <v>2372</v>
      </c>
      <c r="C26" s="282">
        <f ca="1">ROUND(IF('数据-取费表'!B22&lt;=1,F21*F22*'数据-取费表'!B22/2,F21*(POWER((1+F22),'数据-取费表'!B22/2)-1)),4)</f>
        <v>2.2000000000000001E-3</v>
      </c>
      <c r="D26" s="282"/>
      <c r="E26" s="285"/>
      <c r="F26" s="283"/>
      <c r="G26" s="287"/>
    </row>
    <row r="27" spans="1:7" s="258" customFormat="1" ht="26.4">
      <c r="A27" s="299" t="s">
        <v>2373</v>
      </c>
      <c r="B27" s="288" t="s">
        <v>2374</v>
      </c>
      <c r="C27" s="289">
        <f ca="1">C28</f>
        <v>14187342</v>
      </c>
      <c r="D27" s="279">
        <f ca="1">C29</f>
        <v>8.9999999999999993E-3</v>
      </c>
      <c r="E27" s="280" t="s">
        <v>2375</v>
      </c>
      <c r="F27" s="290">
        <f ca="1">IF(B1="",'数据-取费表'!Q16,INDIRECT("'数据-取费表'!q"&amp;$G$1))</f>
        <v>0.3</v>
      </c>
      <c r="G27" s="291" t="s">
        <v>2376</v>
      </c>
    </row>
    <row r="28" spans="1:7" s="258" customFormat="1" ht="13.5" customHeight="1">
      <c r="A28" s="951" t="s">
        <v>791</v>
      </c>
      <c r="B28" s="292" t="s">
        <v>2377</v>
      </c>
      <c r="C28" s="293">
        <f ca="1">ROUND((C5+C19+C20)*F27,0)</f>
        <v>14187342</v>
      </c>
      <c r="D28" s="279"/>
      <c r="E28" s="280"/>
      <c r="F28" s="290"/>
      <c r="G28" s="291"/>
    </row>
    <row r="29" spans="1:7" s="258" customFormat="1" ht="13.5" customHeight="1">
      <c r="A29" s="951" t="s">
        <v>792</v>
      </c>
      <c r="B29" s="292" t="s">
        <v>2378</v>
      </c>
      <c r="C29" s="282">
        <f ca="1">ROUND(C21*F27,4)</f>
        <v>8.9999999999999993E-3</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75578337</v>
      </c>
      <c r="D31" s="274"/>
      <c r="E31" s="255"/>
      <c r="F31" s="294"/>
      <c r="G31" s="278" t="s">
        <v>2383</v>
      </c>
    </row>
    <row r="32" spans="1:7" s="252" customFormat="1" ht="16.2">
      <c r="A32" s="296" t="s">
        <v>2450</v>
      </c>
      <c r="B32" s="297"/>
      <c r="C32" s="297"/>
      <c r="D32" s="297"/>
      <c r="E32" s="297"/>
      <c r="F32" s="297"/>
      <c r="G32" s="298"/>
    </row>
    <row r="33" spans="1:7" s="258" customFormat="1" ht="13.5" customHeight="1">
      <c r="A33" s="299" t="s">
        <v>782</v>
      </c>
      <c r="B33" s="254" t="s">
        <v>2451</v>
      </c>
      <c r="C33" s="300">
        <f ca="1">SUM(C34:C38)</f>
        <v>388688404</v>
      </c>
      <c r="D33" s="276"/>
      <c r="E33" s="256"/>
      <c r="F33" s="285"/>
      <c r="G33" s="278"/>
    </row>
    <row r="34" spans="1:7" s="302" customFormat="1" ht="13.5" customHeight="1">
      <c r="A34" s="951" t="s">
        <v>791</v>
      </c>
      <c r="B34" s="259" t="s">
        <v>2386</v>
      </c>
      <c r="C34" s="264">
        <f ca="1">ROUND(IF(B1="",SUMPRODUCT('数据-取费表'!K6:K14,'数据-取费表'!L6:L14),INDIRECT("'数据-取费表'!l"&amp;$G$1)*INDIRECT("'数据-取费表'!k"&amp;$G$1)+'数据-取费表'!L14*INDIRECT("'数据-取费表'!S"&amp;$G$1)),0)</f>
        <v>353918320</v>
      </c>
      <c r="D34" s="261"/>
      <c r="E34" s="264"/>
      <c r="F34" s="301"/>
      <c r="G34" s="263"/>
    </row>
    <row r="35" spans="1:7" ht="13.5" customHeight="1">
      <c r="A35" s="951" t="s">
        <v>796</v>
      </c>
      <c r="B35" s="259" t="s">
        <v>2388</v>
      </c>
      <c r="C35" s="264">
        <f ca="1">ROUND(C34*F35,0)</f>
        <v>14156733</v>
      </c>
      <c r="D35" s="264"/>
      <c r="E35" s="264"/>
      <c r="F35" s="303">
        <f>'数据-取费表'!B33</f>
        <v>0.04</v>
      </c>
      <c r="G35" s="263" t="s">
        <v>2389</v>
      </c>
    </row>
    <row r="36" spans="1:7" ht="24">
      <c r="A36" s="951"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51" t="s">
        <v>798</v>
      </c>
      <c r="B37" s="259" t="s">
        <v>2392</v>
      </c>
      <c r="C37" s="293">
        <f ca="1">ROUND(E37*D37,0)</f>
        <v>15304576</v>
      </c>
      <c r="D37" s="261">
        <f ca="1">D19</f>
        <v>76522.880000000005</v>
      </c>
      <c r="E37" s="293">
        <f>'数据-取费表'!B35</f>
        <v>200</v>
      </c>
      <c r="F37" s="303"/>
      <c r="G37" s="305"/>
    </row>
    <row r="38" spans="1:7" ht="13.5" customHeight="1">
      <c r="A38" s="951" t="s">
        <v>799</v>
      </c>
      <c r="B38" s="259" t="s">
        <v>2394</v>
      </c>
      <c r="C38" s="264">
        <f ca="1">ROUND(C34*F38,0)</f>
        <v>5308775</v>
      </c>
      <c r="D38" s="264"/>
      <c r="E38" s="264"/>
      <c r="F38" s="303">
        <f>'数据-取费表'!B36</f>
        <v>1.4999999999999999E-2</v>
      </c>
      <c r="G38" s="263" t="s">
        <v>2389</v>
      </c>
    </row>
    <row r="39" spans="1:7" s="258" customFormat="1" ht="13.5" customHeight="1">
      <c r="A39" s="299" t="s">
        <v>2395</v>
      </c>
      <c r="B39" s="254" t="s">
        <v>2396</v>
      </c>
      <c r="C39" s="276">
        <f ca="1">ROUND(C33*F20,0)</f>
        <v>11660652</v>
      </c>
      <c r="D39" s="276"/>
      <c r="E39" s="276"/>
      <c r="F39" s="277"/>
      <c r="G39" s="278" t="s">
        <v>2397</v>
      </c>
    </row>
    <row r="40" spans="1:7" s="258" customFormat="1" ht="13.5" customHeight="1">
      <c r="A40" s="299" t="s">
        <v>2398</v>
      </c>
      <c r="B40" s="254" t="s">
        <v>2399</v>
      </c>
      <c r="C40" s="1728">
        <f>F21</f>
        <v>0.03</v>
      </c>
      <c r="D40" s="280" t="s">
        <v>2400</v>
      </c>
      <c r="E40" s="276"/>
      <c r="F40" s="277"/>
      <c r="G40" s="278" t="s">
        <v>2401</v>
      </c>
    </row>
    <row r="41" spans="1:7" s="258" customFormat="1" ht="13.5" customHeight="1">
      <c r="A41" s="299" t="s">
        <v>2402</v>
      </c>
      <c r="B41" s="254" t="s">
        <v>2403</v>
      </c>
      <c r="C41" s="276">
        <f ca="1">ROUND(SUM(C42:C43),0)</f>
        <v>28860968</v>
      </c>
      <c r="D41" s="279">
        <f ca="1">C44</f>
        <v>2.2000000000000001E-3</v>
      </c>
      <c r="E41" s="280" t="s">
        <v>2400</v>
      </c>
      <c r="F41" s="281"/>
      <c r="G41" s="278" t="str">
        <f>IF('数据-取费表'!B22&lt;=1,"单利计息","复利计息")</f>
        <v>复利计息</v>
      </c>
    </row>
    <row r="42" spans="1:7" ht="13.5" customHeight="1">
      <c r="A42" s="951" t="s">
        <v>791</v>
      </c>
      <c r="B42" s="259" t="s">
        <v>2404</v>
      </c>
      <c r="C42" s="282">
        <f ca="1">ROUND(IF('数据-取费表'!B22&lt;=1,C33*F22*'数据-取费表'!B20/2,C33*(POWER((1+F22),'数据-取费表'!B20/2)-1)),0)</f>
        <v>28020357</v>
      </c>
      <c r="D42" s="282"/>
      <c r="E42" s="282"/>
      <c r="F42" s="283"/>
      <c r="G42" s="3152" t="s">
        <v>2452</v>
      </c>
    </row>
    <row r="43" spans="1:7" ht="13.5" customHeight="1">
      <c r="A43" s="951" t="s">
        <v>792</v>
      </c>
      <c r="B43" s="259" t="s">
        <v>2406</v>
      </c>
      <c r="C43" s="282">
        <f ca="1">ROUND(IF('数据-取费表'!B22&lt;=1,C39*F22*'数据-取费表'!B20/2,C39*(POWER((1+F22),'数据-取费表'!B20/2)-1)),0)</f>
        <v>840611</v>
      </c>
      <c r="D43" s="282"/>
      <c r="E43" s="282"/>
      <c r="F43" s="283"/>
      <c r="G43" s="3153"/>
    </row>
    <row r="44" spans="1:7" ht="13.5" customHeight="1">
      <c r="A44" s="951" t="s">
        <v>793</v>
      </c>
      <c r="B44" s="259" t="s">
        <v>2407</v>
      </c>
      <c r="C44" s="282">
        <f ca="1">ROUND(IF('数据-取费表'!B22&lt;=1,C40*F22*'数据-取费表'!B20/2,C40*(POWER((1+F22),'数据-取费表'!B20/2)-1)),4)</f>
        <v>2.2000000000000001E-3</v>
      </c>
      <c r="D44" s="282"/>
      <c r="E44" s="282"/>
      <c r="F44" s="283"/>
      <c r="G44" s="3154"/>
    </row>
    <row r="45" spans="1:7" s="258" customFormat="1" ht="13.5" customHeight="1">
      <c r="A45" s="299" t="s">
        <v>2408</v>
      </c>
      <c r="B45" s="288" t="s">
        <v>2374</v>
      </c>
      <c r="C45" s="289">
        <f ca="1">C46</f>
        <v>120104717</v>
      </c>
      <c r="D45" s="279">
        <f ca="1">C47</f>
        <v>8.9999999999999993E-3</v>
      </c>
      <c r="E45" s="280" t="s">
        <v>2400</v>
      </c>
      <c r="F45" s="290"/>
      <c r="G45" s="291" t="s">
        <v>2409</v>
      </c>
    </row>
    <row r="46" spans="1:7" s="258" customFormat="1" ht="13.5" customHeight="1">
      <c r="A46" s="951" t="s">
        <v>791</v>
      </c>
      <c r="B46" s="292" t="s">
        <v>2410</v>
      </c>
      <c r="C46" s="293">
        <f ca="1">ROUND((C33+C39)*F27,0)</f>
        <v>120104717</v>
      </c>
      <c r="D46" s="307"/>
      <c r="E46" s="280"/>
      <c r="F46" s="290"/>
      <c r="G46" s="291"/>
    </row>
    <row r="47" spans="1:7" s="258" customFormat="1" ht="13.5" customHeight="1">
      <c r="A47" s="951" t="s">
        <v>792</v>
      </c>
      <c r="B47" s="292" t="s">
        <v>2411</v>
      </c>
      <c r="C47" s="282">
        <f ca="1">ROUND(C40*F27,4)</f>
        <v>8.9999999999999993E-3</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606642453</v>
      </c>
      <c r="D49" s="276"/>
      <c r="E49" s="276"/>
      <c r="F49" s="308"/>
      <c r="G49" s="278" t="s">
        <v>2415</v>
      </c>
    </row>
    <row r="50" spans="1:7" s="302" customFormat="1">
      <c r="A50" s="299" t="s">
        <v>2416</v>
      </c>
      <c r="B50" s="254" t="s">
        <v>2417</v>
      </c>
      <c r="C50" s="276"/>
      <c r="D50" s="276"/>
      <c r="E50" s="276"/>
      <c r="F50" s="308">
        <f>IF('数据-取费表'!B24=0,'数据-取费表'!N16,1)</f>
        <v>0.97</v>
      </c>
      <c r="G50" s="291"/>
    </row>
    <row r="51" spans="1:7" ht="16.5" customHeight="1">
      <c r="A51" s="299" t="s">
        <v>2419</v>
      </c>
      <c r="B51" s="254" t="s">
        <v>2454</v>
      </c>
      <c r="C51" s="276">
        <f ca="1">ROUND(C49*F50,0)</f>
        <v>588443179</v>
      </c>
      <c r="D51" s="276"/>
      <c r="E51" s="276"/>
      <c r="F51" s="308"/>
      <c r="G51" s="278" t="s">
        <v>2421</v>
      </c>
    </row>
    <row r="52" spans="1:7" s="252" customFormat="1" ht="16.8" thickBot="1">
      <c r="A52" s="309" t="s">
        <v>2422</v>
      </c>
      <c r="B52" s="310"/>
      <c r="C52" s="311">
        <f ca="1">C31+C51</f>
        <v>664021516</v>
      </c>
      <c r="D52" s="310"/>
      <c r="E52" s="310"/>
      <c r="F52" s="310"/>
      <c r="G52" s="312"/>
    </row>
    <row r="55" spans="1:7" ht="15">
      <c r="B55" s="314" t="s">
        <v>2423</v>
      </c>
      <c r="C55" s="315"/>
    </row>
    <row r="56" spans="1:7">
      <c r="B56" s="317" t="s">
        <v>1508</v>
      </c>
      <c r="C56" s="319">
        <f ca="1">1-C57</f>
        <v>0.11399999999999999</v>
      </c>
    </row>
    <row r="57" spans="1:7">
      <c r="B57" s="317" t="s">
        <v>1509</v>
      </c>
      <c r="C57" s="318">
        <f ca="1">ROUND(C51/C52,3)</f>
        <v>0.88600000000000001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F7" sqref="F7"/>
    </sheetView>
  </sheetViews>
  <sheetFormatPr defaultColWidth="6.6640625" defaultRowHeight="13.2"/>
  <cols>
    <col min="1" max="1" width="9.77734375" style="798" customWidth="1"/>
    <col min="2" max="2" width="25.77734375" style="952" customWidth="1"/>
    <col min="3" max="3" width="10.33203125" style="995" customWidth="1"/>
    <col min="4" max="4" width="9.88671875" style="952" customWidth="1"/>
    <col min="5" max="5" width="9.44140625" style="798"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2455</v>
      </c>
      <c r="B1" s="1581"/>
      <c r="C1" s="1582"/>
      <c r="D1" s="1580"/>
      <c r="E1" s="320"/>
      <c r="F1" s="320"/>
      <c r="G1" s="1581"/>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6" customFormat="1" ht="16.5" customHeight="1">
      <c r="A4" s="953" t="s">
        <v>2458</v>
      </c>
      <c r="B4" s="954"/>
      <c r="C4" s="996">
        <f>SUM(C8:K8)</f>
        <v>0</v>
      </c>
      <c r="D4" s="954"/>
      <c r="E4" s="954"/>
      <c r="F4" s="954"/>
      <c r="G4" s="954"/>
      <c r="H4" s="954"/>
      <c r="I4" s="954"/>
      <c r="J4" s="954"/>
      <c r="K4" s="955"/>
    </row>
    <row r="5" spans="1:33" s="960" customFormat="1" ht="25.2">
      <c r="A5" s="957" t="s">
        <v>2459</v>
      </c>
      <c r="B5" s="958" t="s">
        <v>2460</v>
      </c>
      <c r="C5" s="2553" t="s">
        <v>2461</v>
      </c>
      <c r="D5" s="2553" t="s">
        <v>2462</v>
      </c>
      <c r="E5" s="2553" t="s">
        <v>2463</v>
      </c>
      <c r="F5" s="2553"/>
      <c r="G5" s="2553"/>
      <c r="H5" s="2553"/>
      <c r="I5" s="2553"/>
      <c r="J5" s="2553"/>
      <c r="K5" s="2553"/>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2464</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4" t="s">
        <v>2467</v>
      </c>
      <c r="B8" s="177" t="s">
        <v>2468</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2469</v>
      </c>
      <c r="B9" s="954"/>
      <c r="C9" s="954"/>
      <c r="D9" s="954"/>
      <c r="E9" s="954"/>
      <c r="F9" s="954"/>
      <c r="G9" s="954"/>
      <c r="H9" s="954"/>
      <c r="I9" s="954"/>
      <c r="J9" s="954"/>
      <c r="K9" s="955"/>
    </row>
    <row r="10" spans="1:33" s="970" customFormat="1" ht="13.5" customHeight="1">
      <c r="A10" s="957" t="s">
        <v>2470</v>
      </c>
      <c r="B10" s="8" t="s">
        <v>2471</v>
      </c>
      <c r="C10" s="966" t="s">
        <v>2472</v>
      </c>
      <c r="D10" s="967" t="s">
        <v>2473</v>
      </c>
      <c r="E10" s="967" t="s">
        <v>2474</v>
      </c>
      <c r="F10" s="967" t="s">
        <v>2475</v>
      </c>
      <c r="G10" s="8"/>
      <c r="H10" s="968"/>
      <c r="I10" s="968"/>
      <c r="J10" s="968"/>
      <c r="K10" s="969"/>
    </row>
    <row r="11" spans="1:33" s="975" customFormat="1" ht="13.5" customHeight="1">
      <c r="A11" s="971" t="s">
        <v>1330</v>
      </c>
      <c r="B11" s="972" t="s">
        <v>2476</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2477</v>
      </c>
      <c r="C12" s="24">
        <f ca="1">ROUND(C11*F12,0)</f>
        <v>0</v>
      </c>
      <c r="D12" s="973"/>
      <c r="E12" s="375"/>
      <c r="F12" s="976">
        <f>'数据-取费表'!B33</f>
        <v>0.04</v>
      </c>
      <c r="G12" s="8" t="s">
        <v>2478</v>
      </c>
      <c r="H12" s="968"/>
      <c r="I12" s="968"/>
      <c r="J12" s="968"/>
      <c r="K12" s="969"/>
    </row>
    <row r="13" spans="1:33" s="975" customFormat="1" ht="13.5" customHeight="1">
      <c r="A13" s="971" t="s">
        <v>1332</v>
      </c>
      <c r="B13" s="972" t="s">
        <v>2479</v>
      </c>
      <c r="C13" s="24">
        <f ca="1">ROUND(IF(C1="",SUMIF('数据-取费表'!C:C,"住宅",'数据-取费表'!P:P)*F13,IF(INDIRECT("'数据-取费表'!c"&amp;$K$1)="住宅",INDIRECT("'数据-取费表'!P"&amp;$K$1)*F13,0)),0)</f>
        <v>0</v>
      </c>
      <c r="D13" s="1033"/>
      <c r="E13" s="375"/>
      <c r="F13" s="976">
        <f>'数据-取费表'!B34</f>
        <v>0</v>
      </c>
      <c r="G13" s="8" t="s">
        <v>2480</v>
      </c>
      <c r="H13" s="968"/>
      <c r="I13" s="968"/>
      <c r="J13" s="968"/>
      <c r="K13" s="969"/>
    </row>
    <row r="14" spans="1:33" s="977" customFormat="1" ht="13.5" customHeight="1">
      <c r="A14" s="971" t="s">
        <v>1333</v>
      </c>
      <c r="B14" s="972" t="s">
        <v>2481</v>
      </c>
      <c r="C14" s="24">
        <f ca="1">ROUND(D14*E14*F11/10000,0)</f>
        <v>0</v>
      </c>
      <c r="D14" s="1033">
        <f ca="1">IF(C1="",'数据-汇总表'!E3,INDIRECT("'数据-取费表'!K"&amp;$K$1)+INDIRECT("'数据-取费表'!S"&amp;$K$1))</f>
        <v>76522.880000000005</v>
      </c>
      <c r="E14" s="24">
        <f>'数据-取费表'!B35</f>
        <v>200</v>
      </c>
      <c r="F14" s="976"/>
      <c r="G14" s="8" t="s">
        <v>2482</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2483</v>
      </c>
      <c r="C15" s="983">
        <f ca="1">ROUND(C11*F15,0)</f>
        <v>0</v>
      </c>
      <c r="D15" s="978"/>
      <c r="E15" s="983"/>
      <c r="F15" s="984">
        <f>'数据-取费表'!B36</f>
        <v>1.4999999999999999E-2</v>
      </c>
      <c r="G15" s="140" t="s">
        <v>2484</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2485</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2486</v>
      </c>
      <c r="C17" s="24">
        <f ca="1">ROUND(D17*E17/10000,0)</f>
        <v>0</v>
      </c>
      <c r="D17" s="1033">
        <f ca="1">D14</f>
        <v>76522.880000000005</v>
      </c>
      <c r="E17" s="24">
        <f>'数据-取费表'!B32</f>
        <v>0</v>
      </c>
      <c r="F17" s="978"/>
      <c r="G17" s="140" t="s">
        <v>2487</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2488</v>
      </c>
      <c r="C18" s="24">
        <f ca="1">C19+C20-IF(C1="",'数据-取费表'!B29,IF(G18="已全部缴纳",C19+C20,H18))</f>
        <v>0</v>
      </c>
      <c r="D18" s="1033"/>
      <c r="E18" s="24"/>
      <c r="F18" s="976"/>
      <c r="G18" s="2555"/>
      <c r="H18" s="1577"/>
      <c r="I18" s="2556" t="s">
        <v>2489</v>
      </c>
      <c r="J18" s="979"/>
      <c r="K18" s="980"/>
    </row>
    <row r="19" spans="1:33" s="975" customFormat="1" ht="13.5" customHeight="1">
      <c r="A19" s="971" t="s">
        <v>805</v>
      </c>
      <c r="B19" s="972" t="s">
        <v>2490</v>
      </c>
      <c r="C19" s="24">
        <f ca="1">ROUND(D19*E19/10000,0)</f>
        <v>0</v>
      </c>
      <c r="D19" s="1033">
        <f ca="1">IF(C1="",'数据-汇总表'!E5,IF(INDIRECT("'数据-取费表'!c"&amp;$K$1)="住宅",INDIRECT("'数据-取费表'!k"&amp;$K$1),0))</f>
        <v>0</v>
      </c>
      <c r="E19" s="24">
        <f>'数据-取费表'!B27</f>
        <v>400</v>
      </c>
      <c r="F19" s="976"/>
      <c r="G19" s="15"/>
      <c r="H19" s="1579"/>
      <c r="I19" s="981"/>
      <c r="J19" s="981"/>
      <c r="K19" s="982"/>
    </row>
    <row r="20" spans="1:33" s="975" customFormat="1" ht="13.5" customHeight="1">
      <c r="A20" s="971" t="s">
        <v>806</v>
      </c>
      <c r="B20" s="972" t="s">
        <v>2491</v>
      </c>
      <c r="C20" s="24">
        <f ca="1">ROUND(D20*E20/10000,0)</f>
        <v>3061</v>
      </c>
      <c r="D20" s="1033">
        <f ca="1">IF(C1="",'数据-汇总表'!E6,IF(INDIRECT("'数据-取费表'!c"&amp;$K$1)="住宅",INDIRECT("'数据-取费表'!s"&amp;$K$1),INDIRECT("'数据-取费表'!k"&amp;$K$1)+INDIRECT("'数据-取费表'!s"&amp;$K$1)))</f>
        <v>76522.880000000005</v>
      </c>
      <c r="E20" s="24">
        <f>'数据-取费表'!B28</f>
        <v>400</v>
      </c>
      <c r="F20" s="976"/>
      <c r="G20" s="15"/>
      <c r="H20" s="981"/>
      <c r="I20" s="981"/>
      <c r="J20" s="981"/>
      <c r="K20" s="982"/>
    </row>
    <row r="21" spans="1:33" s="975" customFormat="1" ht="13.5" customHeight="1">
      <c r="A21" s="961" t="s">
        <v>802</v>
      </c>
      <c r="B21" s="985" t="s">
        <v>2492</v>
      </c>
      <c r="C21" s="986">
        <f ca="1">C16+C17+C18</f>
        <v>0</v>
      </c>
      <c r="D21" s="987"/>
      <c r="E21" s="325"/>
      <c r="F21" s="325"/>
      <c r="G21" s="140" t="s">
        <v>2493</v>
      </c>
      <c r="H21" s="979"/>
      <c r="I21" s="979"/>
      <c r="J21" s="979"/>
      <c r="K21" s="980"/>
    </row>
    <row r="22" spans="1:33" s="975" customFormat="1" ht="13.5" customHeight="1">
      <c r="A22" s="961" t="s">
        <v>2465</v>
      </c>
      <c r="B22" s="985" t="s">
        <v>2494</v>
      </c>
      <c r="C22" s="986">
        <f ca="1">ROUND(C21*F22,0)</f>
        <v>0</v>
      </c>
      <c r="D22" s="325"/>
      <c r="E22" s="325"/>
      <c r="F22" s="988">
        <f>'数据-取费表'!B37</f>
        <v>0.03</v>
      </c>
      <c r="G22" s="8" t="s">
        <v>2495</v>
      </c>
      <c r="H22" s="968"/>
      <c r="I22" s="968"/>
      <c r="J22" s="968"/>
      <c r="K22" s="969"/>
    </row>
    <row r="23" spans="1:33" s="975" customFormat="1" ht="13.5" customHeight="1">
      <c r="A23" s="961" t="s">
        <v>2467</v>
      </c>
      <c r="B23" s="985" t="s">
        <v>2496</v>
      </c>
      <c r="C23" s="986">
        <f ca="1">ROUND(C4*F23*F11,0)</f>
        <v>0</v>
      </c>
      <c r="D23" s="325"/>
      <c r="E23" s="325"/>
      <c r="F23" s="988">
        <f>'数据-取费表'!B38</f>
        <v>0.03</v>
      </c>
      <c r="G23" s="8" t="s">
        <v>2497</v>
      </c>
      <c r="H23" s="968"/>
      <c r="I23" s="968"/>
      <c r="J23" s="968"/>
      <c r="K23" s="969"/>
    </row>
    <row r="24" spans="1:33" s="975" customFormat="1" ht="13.5" customHeight="1">
      <c r="A24" s="961" t="s">
        <v>2498</v>
      </c>
      <c r="B24" s="985" t="s">
        <v>2499</v>
      </c>
      <c r="C24" s="324">
        <f>ROUND(F24/(1+'数据-取费表'!C42),4)</f>
        <v>3.8600000000000002E-2</v>
      </c>
      <c r="D24" s="325" t="s">
        <v>15</v>
      </c>
      <c r="E24" s="325"/>
      <c r="F24" s="988">
        <f>IF(项目基本情况!B8="出让",0,'数据-取费表'!B48+'数据-取费表'!B49)</f>
        <v>4.0500000000000001E-2</v>
      </c>
      <c r="G24" s="8" t="s">
        <v>2500</v>
      </c>
      <c r="H24" s="990"/>
      <c r="I24" s="990"/>
      <c r="J24" s="990"/>
      <c r="K24" s="991"/>
    </row>
    <row r="25" spans="1:33" s="975" customFormat="1" ht="13.5" customHeight="1">
      <c r="A25" s="961" t="s">
        <v>2501</v>
      </c>
      <c r="B25" s="987" t="s">
        <v>2502</v>
      </c>
      <c r="C25" s="1356">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0"/>
      <c r="I25" s="990"/>
      <c r="J25" s="990"/>
      <c r="K25" s="991"/>
    </row>
    <row r="26" spans="1:33" s="993" customFormat="1" ht="13.5" customHeight="1">
      <c r="A26" s="971" t="s">
        <v>803</v>
      </c>
      <c r="B26" s="992" t="s">
        <v>2503</v>
      </c>
      <c r="C26" s="1357">
        <f ca="1">ROUND(IF('数据-取费表'!B22&lt;=1,(1+C24)*F25*'数据-取费表'!B24,(1+C24)*(POWER((1+F25),'数据-取费表'!B24)-1)),4)</f>
        <v>0</v>
      </c>
      <c r="D26" s="328"/>
      <c r="E26" s="329"/>
      <c r="F26" s="330"/>
      <c r="G26" s="2557" t="str">
        <f>IF('数据-取费表'!B22&lt;=1,"（(1)+取得税费率/(1+5%)）×年利率×建设期","（(1)+取得税费率）/(1+5%)×((1+年利率)^建设期-1)")</f>
        <v>（(1)+取得税费率）/(1+5%)×((1+年利率)^建设期-1)</v>
      </c>
      <c r="H26" s="979"/>
      <c r="I26" s="979"/>
      <c r="J26" s="979"/>
      <c r="K26" s="980"/>
    </row>
    <row r="27" spans="1:33" s="993" customFormat="1" ht="13.5" customHeight="1">
      <c r="A27" s="971" t="s">
        <v>804</v>
      </c>
      <c r="B27" s="992" t="s">
        <v>2504</v>
      </c>
      <c r="C27" s="1358">
        <f ca="1">ROUND(IF('数据-取费表'!B22&lt;=1,(C21+C22+C23)*F25*'数据-取费表'!B24/2,(C21+C22+C23)*(POWER((1+F25),'数据-取费表'!B24/2)-1)),0)</f>
        <v>0</v>
      </c>
      <c r="D27" s="328"/>
      <c r="E27" s="329"/>
      <c r="F27" s="330"/>
      <c r="G27" s="2557" t="str">
        <f>IF('数据-取费表'!B22&lt;=1,"（1）-（3）项×年利率×建设期÷2","（1）-（3）项×((1+年利率)^(建设期÷2)-1)")</f>
        <v>（1）-（3）项×((1+年利率)^(建设期÷2)-1)</v>
      </c>
      <c r="H27" s="979"/>
      <c r="I27" s="979"/>
      <c r="J27" s="979"/>
      <c r="K27" s="980"/>
    </row>
    <row r="28" spans="1:33" s="333" customFormat="1" ht="13.5" customHeight="1">
      <c r="A28" s="961" t="s">
        <v>2505</v>
      </c>
      <c r="B28" s="2558" t="s">
        <v>2506</v>
      </c>
      <c r="C28" s="331">
        <f ca="1">C30</f>
        <v>0</v>
      </c>
      <c r="D28" s="324">
        <f ca="1">C29</f>
        <v>0</v>
      </c>
      <c r="E28" s="326" t="s">
        <v>15</v>
      </c>
      <c r="F28" s="332">
        <f ca="1">IF(C1="",'数据-取费表'!Q16,INDIRECT("'数据-取费表'!q"&amp;$K$1))</f>
        <v>0.3</v>
      </c>
      <c r="G28" s="989"/>
      <c r="H28" s="990"/>
      <c r="I28" s="990"/>
      <c r="J28" s="990"/>
      <c r="K28" s="991"/>
    </row>
    <row r="29" spans="1:33" s="335" customFormat="1" ht="13.5" customHeight="1">
      <c r="A29" s="971" t="s">
        <v>803</v>
      </c>
      <c r="B29" s="994" t="s">
        <v>2507</v>
      </c>
      <c r="C29" s="328">
        <f ca="1">ROUND((1+C24)*F28*'数据-取费表'!B24/'数据-取费表'!B20,4)</f>
        <v>0</v>
      </c>
      <c r="D29" s="328"/>
      <c r="E29" s="329"/>
      <c r="F29" s="334"/>
      <c r="G29" s="140" t="s">
        <v>2508</v>
      </c>
      <c r="H29" s="979"/>
      <c r="I29" s="979"/>
      <c r="J29" s="979"/>
      <c r="K29" s="980"/>
    </row>
    <row r="30" spans="1:33" s="335" customFormat="1" ht="13.5" customHeight="1">
      <c r="A30" s="971" t="s">
        <v>804</v>
      </c>
      <c r="B30" s="994" t="s">
        <v>2509</v>
      </c>
      <c r="C30" s="336">
        <f ca="1">ROUND((C21+C22+C23)*F28,0)</f>
        <v>0</v>
      </c>
      <c r="D30" s="328"/>
      <c r="E30" s="329"/>
      <c r="F30" s="334"/>
      <c r="G30" s="140"/>
      <c r="H30" s="979"/>
      <c r="I30" s="979"/>
      <c r="J30" s="979"/>
      <c r="K30" s="980"/>
    </row>
    <row r="31" spans="1:33" s="975" customFormat="1" ht="13.5" customHeight="1" thickBot="1">
      <c r="A31" s="2559" t="s">
        <v>2510</v>
      </c>
      <c r="B31" s="1005" t="s">
        <v>2511</v>
      </c>
      <c r="C31" s="1006">
        <f>ROUND(C4*F31/(1+'数据-取费表'!C42),0)</f>
        <v>0</v>
      </c>
      <c r="D31" s="1007"/>
      <c r="E31" s="1008"/>
      <c r="F31" s="1009">
        <f>'数据-取费表'!B41</f>
        <v>5.6000000000000001E-2</v>
      </c>
      <c r="G31" s="1010" t="s">
        <v>2512</v>
      </c>
      <c r="H31" s="1011"/>
      <c r="I31" s="1011"/>
      <c r="J31" s="1011"/>
      <c r="K31" s="1012"/>
    </row>
    <row r="32" spans="1:33" s="970" customFormat="1" ht="13.5" customHeight="1" thickBot="1">
      <c r="A32" s="1000" t="s">
        <v>2513</v>
      </c>
      <c r="B32" s="1001"/>
      <c r="C32" s="1002">
        <f ca="1">ROUND((C4-C21-C22-C23-C25-C28-C31)/(1+C24+D25+D28),0)</f>
        <v>0</v>
      </c>
      <c r="D32" s="1001"/>
      <c r="E32" s="1001"/>
      <c r="F32" s="1001"/>
      <c r="G32" s="1003" t="s">
        <v>2514</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6" zoomScale="70" zoomScaleNormal="70" zoomScaleSheetLayoutView="90" workbookViewId="0">
      <selection activeCell="J39" sqref="J39"/>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t="s">
        <v>1373</v>
      </c>
      <c r="D1" s="1820" t="s">
        <v>70</v>
      </c>
      <c r="E1" s="1821" t="s">
        <v>1382</v>
      </c>
      <c r="F1" s="1283">
        <f ca="1">J53</f>
        <v>34.090000000000003</v>
      </c>
      <c r="G1" s="1836">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1510</v>
      </c>
      <c r="B2" s="1844">
        <f ca="1">C40+J29+L46</f>
        <v>66486</v>
      </c>
      <c r="C2" s="1845" t="s">
        <v>1511</v>
      </c>
      <c r="D2" s="1845"/>
      <c r="E2" s="1846"/>
      <c r="F2" s="1847"/>
      <c r="G2" s="1848"/>
      <c r="H2" s="1840"/>
      <c r="I2" s="1840"/>
      <c r="J2" s="1840"/>
      <c r="K2" s="1841"/>
      <c r="L2" s="1840"/>
      <c r="M2" s="1840"/>
    </row>
    <row r="3" spans="1:37" ht="18" customHeight="1" thickBot="1">
      <c r="A3" s="1849" t="s">
        <v>1512</v>
      </c>
      <c r="B3" s="1850">
        <f ca="1">IF(ISERROR(B2*10000/F43),0,ROUND(B2*10000/F43,0))</f>
        <v>11585</v>
      </c>
      <c r="C3" s="1845" t="s">
        <v>1513</v>
      </c>
      <c r="D3" s="1845"/>
      <c r="E3" s="1846"/>
      <c r="F3" s="1847"/>
      <c r="G3" s="1848"/>
      <c r="H3" s="744" t="s">
        <v>1583</v>
      </c>
      <c r="I3" s="1840"/>
      <c r="J3" s="1840"/>
      <c r="K3" s="1841"/>
      <c r="L3" s="1840"/>
      <c r="M3" s="1840"/>
    </row>
    <row r="4" spans="1:37" ht="18" customHeight="1">
      <c r="A4" s="340" t="s">
        <v>1391</v>
      </c>
      <c r="B4" s="341" t="s">
        <v>1392</v>
      </c>
      <c r="C4" s="341" t="s">
        <v>1393</v>
      </c>
      <c r="D4" s="341" t="s">
        <v>1394</v>
      </c>
      <c r="E4" s="342" t="s">
        <v>1395</v>
      </c>
      <c r="F4" s="343"/>
      <c r="G4" s="1851"/>
      <c r="H4" s="340" t="s">
        <v>1391</v>
      </c>
      <c r="I4" s="341" t="s">
        <v>1392</v>
      </c>
      <c r="J4" s="341" t="s">
        <v>1393</v>
      </c>
      <c r="K4" s="341" t="s">
        <v>1394</v>
      </c>
      <c r="L4" s="342" t="s">
        <v>1395</v>
      </c>
      <c r="M4" s="343"/>
    </row>
    <row r="5" spans="1:37" ht="18" customHeight="1">
      <c r="A5" s="344">
        <v>1</v>
      </c>
      <c r="B5" s="345" t="s">
        <v>1396</v>
      </c>
      <c r="C5" s="1292">
        <f ca="1">C6+C10+C12</f>
        <v>4153</v>
      </c>
      <c r="D5" s="1822" t="s">
        <v>1397</v>
      </c>
      <c r="E5" s="1293"/>
      <c r="F5" s="1294"/>
      <c r="G5" s="1851"/>
      <c r="H5" s="344">
        <v>1</v>
      </c>
      <c r="I5" s="345" t="s">
        <v>1396</v>
      </c>
      <c r="J5" s="1292">
        <f ca="1">J6+J10+J12</f>
        <v>0</v>
      </c>
      <c r="K5" s="1822" t="s">
        <v>1397</v>
      </c>
      <c r="L5" s="1293"/>
      <c r="M5" s="1294"/>
    </row>
    <row r="6" spans="1:37" ht="18" customHeight="1">
      <c r="A6" s="1291" t="s">
        <v>1032</v>
      </c>
      <c r="B6" s="3157" t="s">
        <v>1398</v>
      </c>
      <c r="C6" s="1296">
        <f ca="1">ROUND(F6*F8*F7*(1-F9)/10000,0)</f>
        <v>4148</v>
      </c>
      <c r="D6" s="164" t="s">
        <v>3028</v>
      </c>
      <c r="E6" s="347" t="s">
        <v>1400</v>
      </c>
      <c r="F6" s="348">
        <f ca="1">INDIRECT("'数据-取费表'!u"&amp;$G$1)</f>
        <v>2.2000000000000002</v>
      </c>
      <c r="G6" s="1851"/>
      <c r="H6" s="1291" t="s">
        <v>1032</v>
      </c>
      <c r="I6" s="3157" t="s">
        <v>1398</v>
      </c>
      <c r="J6" s="346">
        <f ca="1">ROUND(M6*M8*M7*(1-M9)/10000,0)</f>
        <v>0</v>
      </c>
      <c r="K6" s="164" t="s">
        <v>3027</v>
      </c>
      <c r="L6" s="347" t="s">
        <v>1400</v>
      </c>
      <c r="M6" s="348">
        <f ca="1">INDIRECT("'数据-取费表'!z"&amp;$G$1)</f>
        <v>0</v>
      </c>
    </row>
    <row r="7" spans="1:37" ht="18" customHeight="1">
      <c r="A7" s="1295"/>
      <c r="B7" s="3158"/>
      <c r="C7" s="1297"/>
      <c r="D7" s="352"/>
      <c r="E7" s="1298" t="s">
        <v>1401</v>
      </c>
      <c r="F7" s="348">
        <f ca="1">IF(INDIRECT("'数据-取费表'!ah"&amp;$G$1)="",INDIRECT("'数据-取费表'!k"&amp;$G$1),INDIRECT("'数据-取费表'!ah"&amp;$G$1))</f>
        <v>57392.160000000003</v>
      </c>
      <c r="G7" s="1851"/>
      <c r="H7" s="349"/>
      <c r="I7" s="3158"/>
      <c r="J7" s="351"/>
      <c r="K7" s="352"/>
      <c r="L7" s="347" t="s">
        <v>1401</v>
      </c>
      <c r="M7" s="348">
        <f ca="1">F7</f>
        <v>57392.160000000003</v>
      </c>
    </row>
    <row r="8" spans="1:37" ht="18" customHeight="1">
      <c r="A8" s="349"/>
      <c r="B8" s="3158"/>
      <c r="C8" s="351"/>
      <c r="D8" s="352"/>
      <c r="E8" s="347" t="s">
        <v>1402</v>
      </c>
      <c r="F8" s="348">
        <f ca="1">INDIRECT("'数据-取费表'!ai"&amp;$G$1)</f>
        <v>365</v>
      </c>
      <c r="G8" s="1851"/>
      <c r="H8" s="349"/>
      <c r="I8" s="3158"/>
      <c r="J8" s="351"/>
      <c r="K8" s="352"/>
      <c r="L8" s="347" t="s">
        <v>1402</v>
      </c>
      <c r="M8" s="348">
        <f ca="1">INDIRECT("'数据-取费表'!ai"&amp;$G$1)</f>
        <v>365</v>
      </c>
    </row>
    <row r="9" spans="1:37" ht="18" customHeight="1">
      <c r="A9" s="349"/>
      <c r="B9" s="3159"/>
      <c r="C9" s="351"/>
      <c r="D9" s="352"/>
      <c r="E9" s="347" t="s">
        <v>1403</v>
      </c>
      <c r="F9" s="357">
        <f ca="1">INDIRECT("'数据-取费表'!w"&amp;$G$1)</f>
        <v>0.1</v>
      </c>
      <c r="G9" s="1851"/>
      <c r="H9" s="349"/>
      <c r="I9" s="3159"/>
      <c r="J9" s="351"/>
      <c r="K9" s="352"/>
      <c r="L9" s="358" t="s">
        <v>1403</v>
      </c>
      <c r="M9" s="359">
        <f ca="1">INDIRECT("'数据-取费表'!ab"&amp;$G$1)</f>
        <v>0</v>
      </c>
    </row>
    <row r="10" spans="1:37" ht="18" customHeight="1">
      <c r="A10" s="1291" t="s">
        <v>1036</v>
      </c>
      <c r="B10" s="1823" t="s">
        <v>1404</v>
      </c>
      <c r="C10" s="361">
        <f ca="1">ROUND(IF(F10="押一",C6/12*F11,IF(F10="押二",C6/12*2*F11,IF(F10="押三",C6/12*3*F11,C11*F11))),0)</f>
        <v>5</v>
      </c>
      <c r="D10" s="1824" t="s">
        <v>3037</v>
      </c>
      <c r="E10" s="358" t="s">
        <v>1405</v>
      </c>
      <c r="F10" s="1366" t="s">
        <v>3415</v>
      </c>
      <c r="G10" s="1851"/>
      <c r="H10" s="1291" t="s">
        <v>1036</v>
      </c>
      <c r="I10" s="1823" t="s">
        <v>1404</v>
      </c>
      <c r="J10" s="346">
        <f ca="1">ROUND(IF(M10="押一",J6/12*M11,IF(M10="押二",J6/12*2*M11,IF(M10="押三",J6/12*3*M11,J11*M11))),0)</f>
        <v>0</v>
      </c>
      <c r="K10" s="1824" t="s">
        <v>3036</v>
      </c>
      <c r="L10" s="358" t="s">
        <v>1405</v>
      </c>
      <c r="M10" s="1366" t="s">
        <v>1406</v>
      </c>
    </row>
    <row r="11" spans="1:37" ht="18" customHeight="1">
      <c r="A11" s="353"/>
      <c r="B11" s="1825" t="s">
        <v>1383</v>
      </c>
      <c r="C11" s="1178"/>
      <c r="D11" s="1826"/>
      <c r="E11" s="358" t="s">
        <v>1407</v>
      </c>
      <c r="F11" s="359">
        <f ca="1">'数据-取费表'!B39</f>
        <v>1.4999999999999999E-2</v>
      </c>
      <c r="G11" s="1851"/>
      <c r="H11" s="1299"/>
      <c r="I11" s="1825" t="s">
        <v>1383</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58845</v>
      </c>
      <c r="D13" s="1331" t="s">
        <v>1410</v>
      </c>
      <c r="E13" s="1331" t="s">
        <v>1411</v>
      </c>
      <c r="F13" s="1332">
        <f ca="1">INDIRECT("'数据-取费表'!y"&amp;$G$1)</f>
        <v>0.97</v>
      </c>
      <c r="G13" s="1851"/>
      <c r="H13" s="1329">
        <v>2</v>
      </c>
      <c r="I13" s="1330" t="s">
        <v>1409</v>
      </c>
      <c r="J13" s="1290">
        <f ca="1">ROUND(J14*J15,0)</f>
        <v>0</v>
      </c>
      <c r="K13" s="1337" t="s">
        <v>1410</v>
      </c>
      <c r="L13" s="1852"/>
      <c r="M13" s="1853"/>
    </row>
    <row r="14" spans="1:37" ht="18" customHeight="1">
      <c r="A14" s="1201" t="s">
        <v>1031</v>
      </c>
      <c r="B14" s="347" t="s">
        <v>1412</v>
      </c>
      <c r="C14" s="363">
        <f ca="1">INDIRECT("'数据-取费表'!m"&amp;$G$1)+INDIRECT("'数据-取费表'!t"&amp;$G$1)</f>
        <v>35392</v>
      </c>
      <c r="D14" s="1800" t="s">
        <v>1413</v>
      </c>
      <c r="E14" s="1794"/>
      <c r="F14" s="364"/>
      <c r="G14" s="1851"/>
      <c r="H14" s="1201" t="s">
        <v>1032</v>
      </c>
      <c r="I14" s="347" t="s">
        <v>1414</v>
      </c>
      <c r="J14" s="24">
        <f ca="1">C29</f>
        <v>60665</v>
      </c>
      <c r="K14" s="15"/>
      <c r="L14" s="979"/>
      <c r="M14" s="980"/>
    </row>
    <row r="15" spans="1:37" s="1858" customFormat="1" ht="18" customHeight="1" thickBot="1">
      <c r="A15" s="1201" t="s">
        <v>1033</v>
      </c>
      <c r="B15" s="347" t="s">
        <v>1415</v>
      </c>
      <c r="C15" s="24">
        <f ca="1">ROUND(C14*F15,0)</f>
        <v>1416</v>
      </c>
      <c r="D15" s="365" t="s">
        <v>1416</v>
      </c>
      <c r="E15" s="365" t="s">
        <v>1417</v>
      </c>
      <c r="F15" s="366">
        <f>'数据-取费表'!B33</f>
        <v>0.04</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ROUND(INDIRECT("'数据-取费表'!m"&amp;$G$1)*F16,0)</f>
        <v>0</v>
      </c>
      <c r="D16" s="347" t="s">
        <v>1416</v>
      </c>
      <c r="E16" s="347" t="s">
        <v>1417</v>
      </c>
      <c r="F16" s="367">
        <f ca="1">IF(INDIRECT("'数据-取费表'!c"&amp;$G$1)="住宅",'数据-取费表'!B34,0)</f>
        <v>0</v>
      </c>
      <c r="G16" s="1851"/>
      <c r="H16" s="1329" t="s">
        <v>1027</v>
      </c>
      <c r="I16" s="1330" t="s">
        <v>1419</v>
      </c>
      <c r="J16" s="355">
        <f ca="1">ROUND(J17+J22+J23+J24,0)</f>
        <v>1116</v>
      </c>
      <c r="K16" s="1337" t="s">
        <v>1420</v>
      </c>
      <c r="L16" s="1338"/>
      <c r="M16" s="1294"/>
    </row>
    <row r="17" spans="1:37" s="1858" customFormat="1" ht="18" customHeight="1">
      <c r="A17" s="1201" t="s">
        <v>1385</v>
      </c>
      <c r="B17" s="347" t="s">
        <v>1421</v>
      </c>
      <c r="C17" s="24">
        <f ca="1">ROUND(F17*(F43+INDIRECT("'数据-取费表'!S"&amp;$G$1))/10000,0)</f>
        <v>1530</v>
      </c>
      <c r="D17" s="347" t="s">
        <v>1422</v>
      </c>
      <c r="E17" s="347" t="s">
        <v>1423</v>
      </c>
      <c r="F17" s="26">
        <f>'数据-取费表'!B35</f>
        <v>200</v>
      </c>
      <c r="G17" s="1854"/>
      <c r="H17" s="1201" t="s">
        <v>1032</v>
      </c>
      <c r="I17" s="347" t="s">
        <v>1424</v>
      </c>
      <c r="J17" s="24">
        <f ca="1">ROUND(IF(项目基本情况!B11="自然人",J6*M17/(1+'数据-取费表'!C42),J18+J19+J20),1)</f>
        <v>509.6</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531</v>
      </c>
      <c r="D18" s="347" t="s">
        <v>1416</v>
      </c>
      <c r="E18" s="347" t="s">
        <v>1417</v>
      </c>
      <c r="F18" s="367">
        <f>'数据-取费表'!B36</f>
        <v>1.4999999999999999E-2</v>
      </c>
      <c r="G18" s="1854"/>
      <c r="H18" s="1201" t="s">
        <v>1031</v>
      </c>
      <c r="I18" s="347" t="s">
        <v>1428</v>
      </c>
      <c r="J18" s="24">
        <f ca="1">ROUND(J6*M18/(1+'数据-取费表'!C42),2)</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38869</v>
      </c>
      <c r="D19" s="140" t="s">
        <v>1431</v>
      </c>
      <c r="E19" s="1818"/>
      <c r="F19" s="26"/>
      <c r="G19" s="1851"/>
      <c r="H19" s="1201" t="s">
        <v>1033</v>
      </c>
      <c r="I19" s="347" t="s">
        <v>1432</v>
      </c>
      <c r="J19" s="24">
        <f ca="1">IF(K19="按租金收入计税",ROUND(J6*M19/(1+'数据-取费表'!C42),2),ROUND(C29*M19*0.7,2))</f>
        <v>509.59</v>
      </c>
      <c r="K19" s="1828" t="s">
        <v>1433</v>
      </c>
      <c r="L19" s="347" t="s">
        <v>1417</v>
      </c>
      <c r="M19" s="367">
        <f>IF(K19="按租金收入计税",'数据-取费表'!B51,'数据-取费表'!B50)</f>
        <v>1.2E-2</v>
      </c>
    </row>
    <row r="20" spans="1:37" s="1858" customFormat="1" ht="18" customHeight="1">
      <c r="A20" s="1201" t="s">
        <v>1036</v>
      </c>
      <c r="B20" s="347" t="s">
        <v>1434</v>
      </c>
      <c r="C20" s="24">
        <f ca="1">ROUND(C19*F20,0)</f>
        <v>1166</v>
      </c>
      <c r="D20" s="369" t="s">
        <v>1435</v>
      </c>
      <c r="E20" s="347" t="s">
        <v>1417</v>
      </c>
      <c r="F20" s="367">
        <f>'数据-取费表'!B37</f>
        <v>0.03</v>
      </c>
      <c r="G20" s="1854"/>
      <c r="H20" s="1201" t="s">
        <v>1384</v>
      </c>
      <c r="I20" s="164" t="s">
        <v>1436</v>
      </c>
      <c r="J20" s="25">
        <f ca="1">ROUND(M20*M21/10000,2)</f>
        <v>0</v>
      </c>
      <c r="K20" s="370" t="s">
        <v>1437</v>
      </c>
      <c r="L20" s="347" t="s">
        <v>1438</v>
      </c>
      <c r="M20" s="371">
        <f>'数据-取费表'!B52</f>
        <v>9.6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18</v>
      </c>
      <c r="D21" s="369" t="s">
        <v>1440</v>
      </c>
      <c r="E21" s="347" t="s">
        <v>1441</v>
      </c>
      <c r="F21" s="367">
        <f>'数据-取费表'!B38</f>
        <v>0.03</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ROUND(J14*M22,1)</f>
        <v>606.70000000000005</v>
      </c>
      <c r="K22" s="1798" t="s">
        <v>1445</v>
      </c>
      <c r="L22" s="347" t="s">
        <v>1417</v>
      </c>
      <c r="M22" s="374">
        <f ca="1">INDIRECT("'数据-取费表'!Ak"&amp;$G$1)</f>
        <v>0.01</v>
      </c>
    </row>
    <row r="23" spans="1:37" s="1858" customFormat="1" ht="18" customHeight="1">
      <c r="A23" s="1201" t="s">
        <v>1031</v>
      </c>
      <c r="B23" s="347" t="s">
        <v>1446</v>
      </c>
      <c r="C23" s="24">
        <f ca="1">IF('数据-取费表'!B22&lt;=1,ROUND(C19*F24*F23/2,0)+ROUND(C20*F24*F23/2,0),ROUND(C19*(POWER((1+F24),F23/2)-1),0)+ROUND(C20*(POWER((1+F24),F23/2)-1),0))</f>
        <v>2886</v>
      </c>
      <c r="D23" s="375" t="str">
        <f>IF(F23&lt;=1,"(建造成本+管理费用)×利率×(建设周期÷2)","(建造成本+管理费用)×((1+利率)^(建设周期÷2)-1)")</f>
        <v>(建造成本+管理费用)×((1+利率)^(建设周期÷2)-1)</v>
      </c>
      <c r="E23" s="347" t="s">
        <v>1447</v>
      </c>
      <c r="F23" s="371">
        <f>'数据-取费表'!B20</f>
        <v>3</v>
      </c>
      <c r="G23" s="1854"/>
      <c r="H23" s="1201" t="s">
        <v>1072</v>
      </c>
      <c r="I23" s="347" t="s">
        <v>1448</v>
      </c>
      <c r="J23" s="24">
        <f ca="1">ROUND(J13*M23,1)</f>
        <v>0</v>
      </c>
      <c r="K23" s="1798" t="s">
        <v>1449</v>
      </c>
      <c r="L23" s="347" t="s">
        <v>1450</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ROUND(J5*M24,1)</f>
        <v>0</v>
      </c>
      <c r="K24" s="1342" t="s">
        <v>1454</v>
      </c>
      <c r="L24" s="1340" t="s">
        <v>1450</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1455</v>
      </c>
      <c r="B25" s="347" t="s">
        <v>1456</v>
      </c>
      <c r="C25" s="24"/>
      <c r="D25" s="140" t="s">
        <v>1457</v>
      </c>
      <c r="E25" s="1818"/>
      <c r="F25" s="26"/>
      <c r="G25" s="1851"/>
      <c r="H25" s="1329" t="s">
        <v>1028</v>
      </c>
      <c r="I25" s="1344" t="s">
        <v>1458</v>
      </c>
      <c r="J25" s="355">
        <f ca="1">J5-J16</f>
        <v>-1116</v>
      </c>
      <c r="K25" s="1345" t="s">
        <v>1459</v>
      </c>
      <c r="L25" s="1346"/>
      <c r="M25" s="1347"/>
    </row>
    <row r="26" spans="1:37">
      <c r="A26" s="1201" t="s">
        <v>1031</v>
      </c>
      <c r="B26" s="347" t="s">
        <v>1460</v>
      </c>
      <c r="C26" s="24">
        <f ca="1">ROUND((C19+C20)*F26,0)</f>
        <v>12011</v>
      </c>
      <c r="D26" s="369" t="s">
        <v>1461</v>
      </c>
      <c r="E26" s="358" t="s">
        <v>1462</v>
      </c>
      <c r="F26" s="357">
        <f ca="1">INDIRECT("'数据-取费表'!q"&amp;$G$1)</f>
        <v>0.3</v>
      </c>
      <c r="G26" s="1851"/>
      <c r="H26" s="344" t="s">
        <v>1029</v>
      </c>
      <c r="I26" s="345" t="s">
        <v>1463</v>
      </c>
      <c r="J26" s="346">
        <f ca="1">IF(J5&lt;&gt;0,ROUND(J25*(1-((1+M28)/(1+M26))^M27)/(M26-M28),0),0)</f>
        <v>0</v>
      </c>
      <c r="K26" s="370" t="s">
        <v>1464</v>
      </c>
      <c r="L26" s="347" t="s">
        <v>1465</v>
      </c>
      <c r="M26" s="357">
        <f ca="1">INDIRECT("'数据-取费表'!I"&amp;$G$1)</f>
        <v>5.5E-2</v>
      </c>
    </row>
    <row r="27" spans="1:37" ht="18" customHeight="1">
      <c r="A27" s="1201" t="s">
        <v>1033</v>
      </c>
      <c r="B27" s="347" t="s">
        <v>1466</v>
      </c>
      <c r="C27" s="24">
        <f ca="1">ROUND(F21*F26,4)</f>
        <v>8.9999999999999993E-3</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60665</v>
      </c>
      <c r="D29" s="1342"/>
      <c r="E29" s="1340"/>
      <c r="F29" s="1343"/>
      <c r="G29" s="1854"/>
      <c r="H29" s="380" t="s">
        <v>1030</v>
      </c>
      <c r="I29" s="381" t="s">
        <v>1474</v>
      </c>
      <c r="J29" s="382">
        <f ca="1">ROUND(J26/(1+F40)^F41,0)</f>
        <v>0</v>
      </c>
      <c r="K29" s="383" t="s">
        <v>1475</v>
      </c>
      <c r="L29" s="384"/>
      <c r="M29" s="385">
        <f ca="1">INDIRECT("'数据-取费表'!k"&amp;$G$1)</f>
        <v>57392.160000000003</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1432</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ROUND(IF(项目基本情况!B11="自然人",C6*F31/(1+'数据-取费表'!C42),C32+C33+C34),1)</f>
        <v>695.3</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IF(项目基本情况!B11="自然人","——",ROUND(C6*F32/(1+'数据-取费表'!C42),2))</f>
        <v>221.23</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IF(项目基本情况!B11="自然人","——",IF(D33="按租金收入计税",ROUND(C6*F33/(1+'数据-取费表'!C42),2),IF(D33="按房产原值计税",ROUND(C29*F33*0.7,2),INDIRECT("'数据-取费表'!Aj"&amp;$G$1))))</f>
        <v>474.06</v>
      </c>
      <c r="D33" s="1828" t="s">
        <v>3416</v>
      </c>
      <c r="E33" s="347" t="s">
        <v>1417</v>
      </c>
      <c r="F33" s="367">
        <f>IF(D33="按票据","——",IF(D33="按租金收入计税",'数据-取费表'!B51,'数据-取费表'!B50))</f>
        <v>0.12</v>
      </c>
      <c r="G33" s="1851"/>
      <c r="H33" s="1859"/>
      <c r="I33" s="1860"/>
      <c r="J33" s="1861"/>
      <c r="K33" s="1862"/>
      <c r="L33" s="1859"/>
      <c r="M33" s="1859"/>
    </row>
    <row r="34" spans="1:18" ht="18" customHeight="1">
      <c r="A34" s="1291" t="s">
        <v>1384</v>
      </c>
      <c r="B34" s="164" t="s">
        <v>1436</v>
      </c>
      <c r="C34" s="25">
        <f ca="1">IF(项目基本情况!B11="自然人","——",ROUND(F34*F35/10000,2))</f>
        <v>0</v>
      </c>
      <c r="D34" s="370" t="s">
        <v>1437</v>
      </c>
      <c r="E34" s="347" t="s">
        <v>1438</v>
      </c>
      <c r="F34" s="371">
        <f>'数据-取费表'!B52</f>
        <v>9.6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ROUND(C29*F36,1)</f>
        <v>606.70000000000005</v>
      </c>
      <c r="D36" s="1798" t="s">
        <v>1477</v>
      </c>
      <c r="E36" s="347" t="s">
        <v>1417</v>
      </c>
      <c r="F36" s="374">
        <f ca="1">INDIRECT("'数据-取费表'!Ak"&amp;$G$1)</f>
        <v>0.01</v>
      </c>
      <c r="G36" s="1851"/>
      <c r="H36" s="1859"/>
      <c r="I36" s="1860"/>
      <c r="J36" s="1861"/>
      <c r="K36" s="751"/>
      <c r="L36" s="1859"/>
      <c r="M36" s="1859"/>
    </row>
    <row r="37" spans="1:18" ht="18" customHeight="1">
      <c r="A37" s="1201" t="s">
        <v>1072</v>
      </c>
      <c r="B37" s="347" t="s">
        <v>1448</v>
      </c>
      <c r="C37" s="24">
        <f ca="1">ROUND(C13*F37,1)</f>
        <v>88.3</v>
      </c>
      <c r="D37" s="1798" t="s">
        <v>1449</v>
      </c>
      <c r="E37" s="347" t="s">
        <v>1450</v>
      </c>
      <c r="F37" s="376">
        <f ca="1">INDIRECT("'数据-取费表'!Al"&amp;$G$1)</f>
        <v>1.5E-3</v>
      </c>
      <c r="G37" s="1851"/>
      <c r="H37" s="1859"/>
      <c r="I37" s="1860"/>
      <c r="J37" s="1861"/>
      <c r="K37" s="751"/>
      <c r="L37" s="1859"/>
      <c r="M37" s="1859"/>
    </row>
    <row r="38" spans="1:18" ht="18" customHeight="1" thickBot="1">
      <c r="A38" s="1339" t="s">
        <v>1388</v>
      </c>
      <c r="B38" s="1340" t="s">
        <v>1434</v>
      </c>
      <c r="C38" s="1341">
        <f ca="1">ROUND(C5*F38,1)</f>
        <v>41.5</v>
      </c>
      <c r="D38" s="1342" t="s">
        <v>1454</v>
      </c>
      <c r="E38" s="1340" t="s">
        <v>1450</v>
      </c>
      <c r="F38" s="1336">
        <f ca="1">INDIRECT("'数据-取费表'!Am"&amp;$G$1)</f>
        <v>0.01</v>
      </c>
      <c r="G38" s="1851"/>
      <c r="H38" s="1859"/>
      <c r="I38" s="1860"/>
      <c r="J38" s="1861"/>
      <c r="K38" s="1865"/>
      <c r="L38" s="1859"/>
      <c r="M38" s="1859"/>
    </row>
    <row r="39" spans="1:18" ht="24.6" customHeight="1" thickTop="1">
      <c r="A39" s="1329" t="s">
        <v>1028</v>
      </c>
      <c r="B39" s="1344" t="s">
        <v>1478</v>
      </c>
      <c r="C39" s="355">
        <f ca="1">C5-C30</f>
        <v>2721</v>
      </c>
      <c r="D39" s="1345" t="s">
        <v>1479</v>
      </c>
      <c r="E39" s="1346"/>
      <c r="F39" s="1347"/>
      <c r="G39" s="1851"/>
      <c r="H39" s="1859"/>
      <c r="I39" s="1860"/>
      <c r="J39" s="1861"/>
      <c r="K39" s="1865"/>
      <c r="L39" s="1859"/>
      <c r="M39" s="1859"/>
    </row>
    <row r="40" spans="1:18" ht="18" customHeight="1">
      <c r="A40" s="344" t="s">
        <v>1029</v>
      </c>
      <c r="B40" s="345" t="s">
        <v>1480</v>
      </c>
      <c r="C40" s="346">
        <f ca="1">ROUND(C39*(1-((1+F42)/(1+F40))^F41)/(F40-F42),0)</f>
        <v>65200</v>
      </c>
      <c r="D40" s="370" t="s">
        <v>1464</v>
      </c>
      <c r="E40" s="347" t="s">
        <v>1465</v>
      </c>
      <c r="F40" s="357">
        <f ca="1">INDIRECT("'数据-取费表'!I"&amp;$G$1)</f>
        <v>5.5E-2</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34.090000000000003</v>
      </c>
      <c r="G41" s="1851"/>
      <c r="H41" s="732"/>
      <c r="I41" s="1860"/>
      <c r="J41" s="1861"/>
      <c r="K41" s="751"/>
      <c r="L41" s="732"/>
      <c r="M41" s="732"/>
    </row>
    <row r="42" spans="1:18" ht="18" customHeight="1">
      <c r="A42" s="353"/>
      <c r="B42" s="354"/>
      <c r="C42" s="355"/>
      <c r="D42" s="373"/>
      <c r="E42" s="347" t="s">
        <v>1472</v>
      </c>
      <c r="F42" s="357">
        <f ca="1">INDIRECT("'数据-取费表'!v"&amp;$G$1)</f>
        <v>3.5000000000000003E-2</v>
      </c>
      <c r="G42" s="1851"/>
      <c r="H42" s="732"/>
      <c r="I42" s="1860"/>
      <c r="J42" s="1861"/>
      <c r="K42" s="751"/>
      <c r="L42" s="732"/>
      <c r="M42" s="732"/>
    </row>
    <row r="43" spans="1:18" ht="18" customHeight="1" thickBot="1">
      <c r="A43" s="380" t="s">
        <v>1030</v>
      </c>
      <c r="B43" s="381" t="s">
        <v>1482</v>
      </c>
      <c r="C43" s="382">
        <f ca="1">ROUND(C40*10000/F43,0)</f>
        <v>11360</v>
      </c>
      <c r="D43" s="383" t="s">
        <v>1483</v>
      </c>
      <c r="E43" s="384" t="s">
        <v>1484</v>
      </c>
      <c r="F43" s="385">
        <f ca="1">INDIRECT("'数据-取费表'!k"&amp;$G$1)</f>
        <v>57392.160000000003</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6"/>
      <c r="O45" s="1869" t="s">
        <v>1514</v>
      </c>
      <c r="P45" s="1839"/>
      <c r="Q45" s="1839"/>
      <c r="R45" s="1839"/>
    </row>
    <row r="46" spans="1:18" s="1842" customFormat="1" ht="13.8" thickBot="1">
      <c r="A46" s="1870" t="s">
        <v>1515</v>
      </c>
      <c r="C46" s="1871">
        <f ca="1">C68-C40</f>
        <v>-153520</v>
      </c>
      <c r="D46" s="1872" t="str">
        <f>C2</f>
        <v>万元</v>
      </c>
      <c r="E46" s="1866"/>
      <c r="F46" s="1866"/>
      <c r="I46" s="1873" t="s">
        <v>1516</v>
      </c>
      <c r="J46" s="1874"/>
      <c r="K46" s="1875"/>
      <c r="L46" s="1876">
        <f ca="1">IF(M47="住宅",0,IF(L48&gt;J51,L60,J60))</f>
        <v>1286</v>
      </c>
      <c r="O46" s="1877" t="s">
        <v>1517</v>
      </c>
      <c r="P46" s="1878" t="s">
        <v>1518</v>
      </c>
      <c r="Q46" s="1879" t="s">
        <v>1519</v>
      </c>
      <c r="R46" s="1879" t="s">
        <v>1520</v>
      </c>
    </row>
    <row r="47" spans="1:18" s="1842" customFormat="1" ht="13.8" thickBot="1">
      <c r="A47" s="1165" t="s">
        <v>1391</v>
      </c>
      <c r="B47" s="1197" t="s">
        <v>1392</v>
      </c>
      <c r="C47" s="1367" t="s">
        <v>1393</v>
      </c>
      <c r="D47" s="1197" t="s">
        <v>1394</v>
      </c>
      <c r="E47" s="1279" t="s">
        <v>1395</v>
      </c>
      <c r="F47" s="1280"/>
      <c r="G47" s="792"/>
      <c r="I47" s="1880" t="s">
        <v>1521</v>
      </c>
      <c r="J47" s="1881" t="s">
        <v>3417</v>
      </c>
      <c r="K47" s="1882" t="s">
        <v>1522</v>
      </c>
      <c r="L47" s="1883">
        <f ca="1">INDIRECT("'数据-取费表'!d"&amp;$G$1)</f>
        <v>40</v>
      </c>
      <c r="M47" s="1838" t="str">
        <f>IF(ISNUMBER(FIND("住宅",C1)),"住宅","非住宅")</f>
        <v>非住宅</v>
      </c>
      <c r="O47" s="1884" t="s">
        <v>1037</v>
      </c>
      <c r="P47" s="1885" t="s">
        <v>1523</v>
      </c>
      <c r="Q47" s="1886">
        <f ca="1">C40+J29</f>
        <v>65200</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t="s">
        <v>3418</v>
      </c>
      <c r="K48" s="1889" t="s">
        <v>1526</v>
      </c>
      <c r="L48" s="1890">
        <f ca="1">INDIRECT("'数据-取费表'!f"&amp;$G$1)</f>
        <v>34.090000000000003</v>
      </c>
      <c r="O48" s="1884" t="s">
        <v>1038</v>
      </c>
      <c r="P48" s="1885" t="s">
        <v>1527</v>
      </c>
      <c r="Q48" s="1886">
        <f ca="1">J60</f>
        <v>1286</v>
      </c>
      <c r="R48" s="1886" t="s">
        <v>1528</v>
      </c>
    </row>
    <row r="49" spans="1:18" s="1842" customFormat="1" ht="13.8" thickBot="1">
      <c r="A49" s="1194" t="s">
        <v>1133</v>
      </c>
      <c r="B49" s="1829" t="s">
        <v>1485</v>
      </c>
      <c r="C49" s="1364">
        <f ca="1">ROUND(F49*F51*F50*(1-F52)/10000,0)</f>
        <v>0</v>
      </c>
      <c r="D49" s="1276" t="s">
        <v>3029</v>
      </c>
      <c r="E49" s="1830" t="s">
        <v>1486</v>
      </c>
      <c r="F49" s="1281"/>
      <c r="G49" s="1891"/>
      <c r="H49" s="793"/>
      <c r="I49" s="1887" t="s">
        <v>1529</v>
      </c>
      <c r="J49" s="1892">
        <v>2017</v>
      </c>
      <c r="K49" s="1889" t="s">
        <v>1530</v>
      </c>
      <c r="L49" s="1893"/>
      <c r="O49" s="1894" t="s">
        <v>1039</v>
      </c>
      <c r="P49" s="1885" t="s">
        <v>1531</v>
      </c>
      <c r="Q49" s="1886">
        <f ca="1">C29</f>
        <v>60665</v>
      </c>
      <c r="R49" s="1886" t="s">
        <v>1524</v>
      </c>
    </row>
    <row r="50" spans="1:18" s="1842" customFormat="1" ht="13.8" thickBot="1">
      <c r="A50" s="1195"/>
      <c r="B50" s="1198"/>
      <c r="C50" s="1368"/>
      <c r="D50" s="1172"/>
      <c r="E50" s="1277" t="s">
        <v>1401</v>
      </c>
      <c r="F50" s="1278">
        <f ca="1">F7</f>
        <v>57392.160000000003</v>
      </c>
      <c r="H50" s="793"/>
      <c r="I50" s="1887" t="s">
        <v>1532</v>
      </c>
      <c r="J50" s="1895">
        <f>SUMPRODUCT((I63:I65=J47)*(J62:L62=J48)*(J63:L65))</f>
        <v>60</v>
      </c>
      <c r="K50" s="1889" t="s">
        <v>1533</v>
      </c>
      <c r="L50" s="1893"/>
      <c r="M50" s="1896"/>
      <c r="O50" s="1894" t="s">
        <v>1040</v>
      </c>
      <c r="P50" s="1885" t="s">
        <v>1534</v>
      </c>
      <c r="Q50" s="1897">
        <f ca="1">J58</f>
        <v>0.4</v>
      </c>
      <c r="R50" s="1886"/>
    </row>
    <row r="51" spans="1:18" s="1842" customFormat="1" ht="13.8" thickBot="1">
      <c r="A51" s="1196"/>
      <c r="B51" s="1198"/>
      <c r="C51" s="1199"/>
      <c r="D51" s="1172"/>
      <c r="E51" s="1200" t="s">
        <v>1402</v>
      </c>
      <c r="F51" s="348">
        <f ca="1">F8</f>
        <v>365</v>
      </c>
      <c r="I51" s="1898" t="s">
        <v>1535</v>
      </c>
      <c r="J51" s="1899">
        <f>IF(J49="",J50,J49+J50-YEAR('数据-取费表'!B2))</f>
        <v>58</v>
      </c>
      <c r="K51" s="1900" t="s">
        <v>1536</v>
      </c>
      <c r="L51" s="1901">
        <f ca="1">ROUND(-PV(INDIRECT("'数据-取费表'!h"&amp;$G$1),L48,(C39-C13*C76),0),0)</f>
        <v>-36971</v>
      </c>
      <c r="M51" s="1902"/>
      <c r="O51" s="1894" t="s">
        <v>1041</v>
      </c>
      <c r="P51" s="1885" t="s">
        <v>1537</v>
      </c>
      <c r="Q51" s="1897">
        <f>J52</f>
        <v>0.09</v>
      </c>
      <c r="R51" s="1886"/>
    </row>
    <row r="52" spans="1:18" s="1842" customFormat="1" ht="13.8" thickBot="1">
      <c r="A52" s="1196"/>
      <c r="B52" s="1198"/>
      <c r="C52" s="1199"/>
      <c r="D52" s="1172"/>
      <c r="E52" s="1200" t="s">
        <v>1403</v>
      </c>
      <c r="F52" s="1275"/>
      <c r="I52" s="1903" t="s">
        <v>1538</v>
      </c>
      <c r="J52" s="1904">
        <v>0.09</v>
      </c>
      <c r="K52" s="1903" t="s">
        <v>1539</v>
      </c>
      <c r="L52" s="1904"/>
      <c r="O52" s="1894" t="s">
        <v>1042</v>
      </c>
      <c r="P52" s="1885" t="s">
        <v>1540</v>
      </c>
      <c r="Q52" s="1886">
        <f ca="1">J53</f>
        <v>34.090000000000003</v>
      </c>
      <c r="R52" s="1886" t="s">
        <v>1541</v>
      </c>
    </row>
    <row r="53" spans="1:18" s="1842" customFormat="1" ht="36.6" thickBot="1">
      <c r="A53" s="1405" t="s">
        <v>1134</v>
      </c>
      <c r="B53" s="1831" t="s">
        <v>1404</v>
      </c>
      <c r="C53" s="361">
        <f ca="1">ROUND(IF(F53="押一",C49/12*F11,IF(F53="押二",C49/12*2*F11,IF(F53="押三",C49/12*3*F11,C54*F11))),0)</f>
        <v>0</v>
      </c>
      <c r="D53" s="1824" t="s">
        <v>3036</v>
      </c>
      <c r="E53" s="358" t="s">
        <v>1405</v>
      </c>
      <c r="F53" s="1366"/>
      <c r="I53" s="1905" t="s">
        <v>1542</v>
      </c>
      <c r="J53" s="2949">
        <f ca="1">IF(M47="住宅",IF(D1="——",MAX(J51,L48),MAX(J51,L48-'数据-取费表'!B24)),IF(D1="——",MIN(J51,L48),MIN(J51,L48-'数据-取费表'!B24)))</f>
        <v>34.090000000000003</v>
      </c>
      <c r="K53" s="3155" t="s">
        <v>1543</v>
      </c>
      <c r="L53" s="3156"/>
      <c r="O53" s="1884" t="s">
        <v>1043</v>
      </c>
      <c r="P53" s="1885" t="s">
        <v>1544</v>
      </c>
      <c r="Q53" s="1886">
        <f ca="1">Q47+Q48</f>
        <v>66486</v>
      </c>
      <c r="R53" s="1886" t="s">
        <v>1044</v>
      </c>
    </row>
    <row r="54" spans="1:18" s="1842" customFormat="1" ht="24.6" thickBot="1">
      <c r="A54" s="1406"/>
      <c r="B54" s="1825" t="s">
        <v>1383</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8"/>
      <c r="K54" s="1908"/>
      <c r="L54" s="1908"/>
      <c r="M54" s="1891"/>
      <c r="O54" s="1869" t="s">
        <v>1545</v>
      </c>
      <c r="P54" s="1839"/>
      <c r="Q54" s="1839"/>
      <c r="R54" s="1839"/>
    </row>
    <row r="55" spans="1:18" s="1842" customFormat="1" ht="13.8" thickBot="1">
      <c r="A55" s="1333" t="s">
        <v>1072</v>
      </c>
      <c r="B55" s="1827" t="s">
        <v>1408</v>
      </c>
      <c r="C55" s="1334"/>
      <c r="D55" s="1824"/>
      <c r="E55" s="1832"/>
      <c r="F55" s="1906"/>
      <c r="I55" s="1909" t="s">
        <v>1546</v>
      </c>
      <c r="J55" s="1910">
        <f ca="1">ROUND(IF(J47="钢混",J57/J50,1-(1-2%)*(J50-J57)/J50),3)</f>
        <v>0.39900000000000002</v>
      </c>
      <c r="K55" s="1911" t="s">
        <v>1547</v>
      </c>
      <c r="L55" s="1912" t="s">
        <v>1548</v>
      </c>
      <c r="O55" s="1877" t="s">
        <v>1517</v>
      </c>
      <c r="P55" s="1878" t="s">
        <v>1518</v>
      </c>
      <c r="Q55" s="1879" t="s">
        <v>1519</v>
      </c>
      <c r="R55" s="1879" t="s">
        <v>1520</v>
      </c>
    </row>
    <row r="56" spans="1:18" s="1842" customFormat="1" ht="37.200000000000003" thickTop="1" thickBot="1">
      <c r="A56" s="1176">
        <v>2</v>
      </c>
      <c r="B56" s="1177" t="s">
        <v>1409</v>
      </c>
      <c r="C56" s="276">
        <f ca="1">C13</f>
        <v>58845</v>
      </c>
      <c r="D56" s="1913"/>
      <c r="E56" s="1914"/>
      <c r="F56" s="1906"/>
      <c r="I56" s="1915" t="s">
        <v>1549</v>
      </c>
      <c r="J56" s="1916" t="s">
        <v>70</v>
      </c>
      <c r="K56" s="1887" t="s">
        <v>1550</v>
      </c>
      <c r="L56" s="1890" t="str">
        <f ca="1">IF(L48&lt;J51,"——",L48-J53)</f>
        <v>——</v>
      </c>
      <c r="O56" s="1884" t="s">
        <v>1037</v>
      </c>
      <c r="P56" s="1885" t="s">
        <v>1523</v>
      </c>
      <c r="Q56" s="1886">
        <f ca="1">C40+J29</f>
        <v>65200</v>
      </c>
      <c r="R56" s="1886" t="s">
        <v>1524</v>
      </c>
    </row>
    <row r="57" spans="1:18" s="1842" customFormat="1" ht="24.6" thickBot="1">
      <c r="A57" s="1917"/>
      <c r="B57" s="1169" t="s">
        <v>1473</v>
      </c>
      <c r="C57" s="282">
        <f ca="1">C29</f>
        <v>60665</v>
      </c>
      <c r="D57" s="1918"/>
      <c r="E57" s="1919"/>
      <c r="F57" s="1920"/>
      <c r="I57" s="1921" t="s">
        <v>1551</v>
      </c>
      <c r="J57" s="1922">
        <f ca="1">IF(OR(M47="住宅",J51&lt;L48,J56="是"),"——",J51-L48)</f>
        <v>23.909999999999997</v>
      </c>
      <c r="K57" s="1887" t="s">
        <v>1552</v>
      </c>
      <c r="L57" s="1890" t="str">
        <f ca="1">IF(L48&lt;J51,"——",IF(L55="比较法",L49,IF(L55="基准地价",L50,L51)))</f>
        <v>——</v>
      </c>
      <c r="O57" s="1884" t="s">
        <v>1038</v>
      </c>
      <c r="P57" s="1885" t="s">
        <v>1553</v>
      </c>
      <c r="Q57" s="1886">
        <f ca="1">L60</f>
        <v>0</v>
      </c>
      <c r="R57" s="1886" t="s">
        <v>1554</v>
      </c>
    </row>
    <row r="58" spans="1:18" s="1842" customFormat="1" ht="24.6" thickBot="1">
      <c r="A58" s="360" t="s">
        <v>1027</v>
      </c>
      <c r="B58" s="1177" t="s">
        <v>1419</v>
      </c>
      <c r="C58" s="361">
        <f ca="1">ROUND(C59+C64+C65+C66,0)</f>
        <v>5791</v>
      </c>
      <c r="D58" s="1179" t="s">
        <v>1420</v>
      </c>
      <c r="E58" s="1180"/>
      <c r="F58" s="1181"/>
      <c r="I58" s="1921" t="s">
        <v>1555</v>
      </c>
      <c r="J58" s="1923">
        <f ca="1">IF(J55&lt;0.4,0.4,J55)</f>
        <v>0.4</v>
      </c>
      <c r="K58" s="1900" t="s">
        <v>1556</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ROUND(IF(项目基本情况!B11="自然人",C48*F59,C60+C61+C62),1)</f>
        <v>5095.8999999999996</v>
      </c>
      <c r="D59" s="1182" t="s">
        <v>1425</v>
      </c>
      <c r="E59" s="1183" t="s">
        <v>1426</v>
      </c>
      <c r="F59" s="368" t="str">
        <f ca="1">IF(项目基本情况!B11="企业","",IF(INDIRECT("'数据-取费表'!c"&amp;$G$1)="住宅",5%,IF(F49*F50*F51/12/(1+'数据-取费表'!C42)&gt;20000,12%,7%)))</f>
        <v/>
      </c>
      <c r="I59" s="1921" t="s">
        <v>1558</v>
      </c>
      <c r="J59" s="1922">
        <f ca="1">IF(OR(M47="住宅",J51&lt;L48,J56="是"),"——",ROUND(C29*J58,0))</f>
        <v>24266</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IF(项目基本情况!B11="自然人","——",ROUND(C48*F60/(1+'数据-取费表'!C42),2))</f>
        <v>0</v>
      </c>
      <c r="D60" s="1183" t="s">
        <v>1429</v>
      </c>
      <c r="E60" s="1169" t="s">
        <v>1417</v>
      </c>
      <c r="F60" s="377">
        <f t="shared" ref="F60:F66" si="0">F32</f>
        <v>5.6000000000000001E-2</v>
      </c>
      <c r="I60" s="1924" t="s">
        <v>1560</v>
      </c>
      <c r="J60" s="1925">
        <f ca="1">IF(OR(M47="住宅",J51&lt;L48,J56="是"),"0",ROUND(J59/(1+J52)^J53,0))</f>
        <v>1286</v>
      </c>
      <c r="K60" s="1926" t="s">
        <v>1561</v>
      </c>
      <c r="L60" s="1925">
        <f ca="1">IF(OR(M47="住宅",L48&lt;J51),0,ROUND(L57*(L58/L59-1),0))</f>
        <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IF(项目基本情况!B11="自然人","——",IF(D61="按租金收入计税",ROUND(C48*F61,2),IF(D61="按房产原值计税",ROUND(C57*F61*0.7,2),INDIRECT("'数据-取费表'!Aj"&amp;$G$1))))</f>
        <v>5095.8599999999997</v>
      </c>
      <c r="D61" s="1828" t="s">
        <v>1433</v>
      </c>
      <c r="E61" s="1169" t="s">
        <v>1489</v>
      </c>
      <c r="F61" s="367">
        <f t="shared" si="0"/>
        <v>0.12</v>
      </c>
      <c r="I61" s="1927"/>
      <c r="J61" s="1927"/>
      <c r="K61" s="1927"/>
      <c r="L61" s="1927"/>
      <c r="O61" s="1894" t="s">
        <v>1042</v>
      </c>
      <c r="P61" s="1885" t="str">
        <f>K59</f>
        <v>建筑物剩余耐用年限下的土地年期修正系数Kn</v>
      </c>
      <c r="Q61" s="1886" t="e">
        <f ca="1">L59</f>
        <v>#DIV/0!</v>
      </c>
      <c r="R61" s="1886" t="s">
        <v>1564</v>
      </c>
    </row>
    <row r="62" spans="1:18" s="1842" customFormat="1" ht="13.8" thickBot="1">
      <c r="A62" s="1201" t="s">
        <v>1490</v>
      </c>
      <c r="B62" s="1168" t="s">
        <v>1491</v>
      </c>
      <c r="C62" s="25">
        <f ca="1">IF(项目基本情况!B11="自然人","——",ROUND(F62*F63/10000,2))</f>
        <v>0</v>
      </c>
      <c r="D62" s="1184" t="s">
        <v>1492</v>
      </c>
      <c r="E62" s="1169" t="s">
        <v>1493</v>
      </c>
      <c r="F62" s="371">
        <f t="shared" si="0"/>
        <v>9.6</v>
      </c>
      <c r="I62" s="1928" t="s">
        <v>1565</v>
      </c>
      <c r="J62" s="1929" t="s">
        <v>1566</v>
      </c>
      <c r="K62" s="1929" t="s">
        <v>1567</v>
      </c>
      <c r="L62" s="1929" t="s">
        <v>1568</v>
      </c>
      <c r="M62" s="1930" t="s">
        <v>1569</v>
      </c>
      <c r="O62" s="1884" t="s">
        <v>1043</v>
      </c>
      <c r="P62" s="1885" t="s">
        <v>1570</v>
      </c>
      <c r="Q62" s="1886">
        <f ca="1">Q56+Q57</f>
        <v>65200</v>
      </c>
      <c r="R62" s="1886" t="s">
        <v>1044</v>
      </c>
    </row>
    <row r="63" spans="1:18" s="1842" customFormat="1" ht="13.8"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8" thickBot="1">
      <c r="A64" s="1201" t="s">
        <v>1495</v>
      </c>
      <c r="B64" s="1169" t="s">
        <v>1496</v>
      </c>
      <c r="C64" s="24">
        <f ca="1">ROUND(C57*F64,1)</f>
        <v>606.70000000000005</v>
      </c>
      <c r="D64" s="1183" t="s">
        <v>1497</v>
      </c>
      <c r="E64" s="1169" t="s">
        <v>1489</v>
      </c>
      <c r="F64" s="374">
        <f t="shared" ca="1" si="0"/>
        <v>0.01</v>
      </c>
      <c r="I64" s="1928" t="s">
        <v>1573</v>
      </c>
      <c r="J64" s="1929">
        <v>50</v>
      </c>
      <c r="K64" s="1929">
        <v>35</v>
      </c>
      <c r="L64" s="1929">
        <v>60</v>
      </c>
      <c r="M64" s="1930">
        <v>0</v>
      </c>
      <c r="O64" s="1877" t="s">
        <v>1517</v>
      </c>
      <c r="P64" s="1878" t="s">
        <v>1518</v>
      </c>
      <c r="Q64" s="1879" t="s">
        <v>1519</v>
      </c>
      <c r="R64" s="1879" t="s">
        <v>1520</v>
      </c>
    </row>
    <row r="65" spans="1:18" s="1842" customFormat="1" ht="13.8" thickBot="1">
      <c r="A65" s="1201" t="s">
        <v>1498</v>
      </c>
      <c r="B65" s="1169" t="s">
        <v>1448</v>
      </c>
      <c r="C65" s="24">
        <f ca="1">ROUND(C56*F65,1)</f>
        <v>88.3</v>
      </c>
      <c r="D65" s="1183" t="s">
        <v>1449</v>
      </c>
      <c r="E65" s="1169" t="s">
        <v>1450</v>
      </c>
      <c r="F65" s="376">
        <f t="shared" ca="1" si="0"/>
        <v>1.5E-3</v>
      </c>
      <c r="I65" s="1928" t="s">
        <v>1574</v>
      </c>
      <c r="J65" s="1929">
        <v>40</v>
      </c>
      <c r="K65" s="1929">
        <v>30</v>
      </c>
      <c r="L65" s="1929">
        <v>50</v>
      </c>
      <c r="M65" s="1931">
        <v>0.02</v>
      </c>
      <c r="O65" s="1884" t="s">
        <v>1037</v>
      </c>
      <c r="P65" s="1885" t="s">
        <v>1575</v>
      </c>
      <c r="Q65" s="1886">
        <f ca="1">C40+J29</f>
        <v>65200</v>
      </c>
      <c r="R65" s="1886" t="s">
        <v>1524</v>
      </c>
    </row>
    <row r="66" spans="1:18" s="1842" customFormat="1" ht="16.2" thickBot="1">
      <c r="A66" s="1201" t="s">
        <v>1499</v>
      </c>
      <c r="B66" s="1169" t="s">
        <v>1434</v>
      </c>
      <c r="C66" s="24">
        <f ca="1">ROUND(C48*F66,1)</f>
        <v>0</v>
      </c>
      <c r="D66" s="1183" t="s">
        <v>1500</v>
      </c>
      <c r="E66" s="1169" t="s">
        <v>1417</v>
      </c>
      <c r="F66" s="357">
        <f t="shared" ca="1" si="0"/>
        <v>0.01</v>
      </c>
      <c r="O66" s="1884" t="s">
        <v>1038</v>
      </c>
      <c r="P66" s="1885" t="s">
        <v>1553</v>
      </c>
      <c r="Q66" s="1886">
        <f ca="1">L60</f>
        <v>0</v>
      </c>
      <c r="R66" s="1886" t="s">
        <v>1576</v>
      </c>
    </row>
    <row r="67" spans="1:18" s="1842" customFormat="1" ht="24.6" thickBot="1">
      <c r="A67" s="1176" t="s">
        <v>1028</v>
      </c>
      <c r="B67" s="1186" t="s">
        <v>1458</v>
      </c>
      <c r="C67" s="361">
        <f ca="1">C48-C58</f>
        <v>-5791</v>
      </c>
      <c r="D67" s="1182" t="s">
        <v>1459</v>
      </c>
      <c r="E67" s="1187"/>
      <c r="F67" s="1188"/>
      <c r="O67" s="1894" t="s">
        <v>1039</v>
      </c>
      <c r="P67" s="1885" t="s">
        <v>1557</v>
      </c>
      <c r="Q67" s="1932">
        <f ca="1">L51</f>
        <v>-36971</v>
      </c>
      <c r="R67" s="1886" t="s">
        <v>1577</v>
      </c>
    </row>
    <row r="68" spans="1:18" s="1842" customFormat="1" ht="16.2" thickBot="1">
      <c r="A68" s="1166" t="s">
        <v>1029</v>
      </c>
      <c r="B68" s="1167" t="s">
        <v>1480</v>
      </c>
      <c r="C68" s="346">
        <f ca="1">ROUND(C67*(1-((1+F70)/(1+F68))^F69)/(F68-F70),0)</f>
        <v>-88320</v>
      </c>
      <c r="D68" s="1184" t="s">
        <v>1464</v>
      </c>
      <c r="E68" s="1169" t="s">
        <v>1465</v>
      </c>
      <c r="F68" s="357">
        <f ca="1">F40</f>
        <v>5.5E-2</v>
      </c>
      <c r="O68" s="1894" t="s">
        <v>1040</v>
      </c>
      <c r="P68" s="1933" t="s">
        <v>1578</v>
      </c>
      <c r="Q68" s="1886">
        <f ca="1">ROUND(Q69-Q70*Q71,0)</f>
        <v>-2281</v>
      </c>
      <c r="R68" s="1886" t="s">
        <v>1048</v>
      </c>
    </row>
    <row r="69" spans="1:18" s="1842" customFormat="1" ht="13.8" thickBot="1">
      <c r="A69" s="1170"/>
      <c r="B69" s="1171"/>
      <c r="C69" s="351"/>
      <c r="D69" s="1189" t="s">
        <v>1468</v>
      </c>
      <c r="E69" s="1169" t="s">
        <v>1469</v>
      </c>
      <c r="F69" s="379">
        <f ca="1">F41</f>
        <v>34.090000000000003</v>
      </c>
      <c r="O69" s="1894" t="s">
        <v>1045</v>
      </c>
      <c r="P69" s="1933" t="s">
        <v>1579</v>
      </c>
      <c r="Q69" s="1886">
        <f ca="1">C39</f>
        <v>2721</v>
      </c>
      <c r="R69" s="1886" t="s">
        <v>1524</v>
      </c>
    </row>
    <row r="70" spans="1:18" s="1842" customFormat="1" ht="13.8" thickBot="1">
      <c r="A70" s="1173"/>
      <c r="B70" s="1174"/>
      <c r="C70" s="355"/>
      <c r="D70" s="1185"/>
      <c r="E70" s="1169" t="s">
        <v>1472</v>
      </c>
      <c r="F70" s="1275"/>
      <c r="O70" s="1894" t="s">
        <v>1046</v>
      </c>
      <c r="P70" s="1933" t="s">
        <v>1580</v>
      </c>
      <c r="Q70" s="1886">
        <f ca="1">C13</f>
        <v>58845</v>
      </c>
      <c r="R70" s="1886" t="s">
        <v>1524</v>
      </c>
    </row>
    <row r="71" spans="1:18" s="1842" customFormat="1" ht="13.8" thickBot="1">
      <c r="A71" s="1190" t="s">
        <v>1030</v>
      </c>
      <c r="B71" s="1191" t="s">
        <v>1482</v>
      </c>
      <c r="C71" s="382">
        <f ca="1">ROUND(C68*10000/F71,0)</f>
        <v>-15389</v>
      </c>
      <c r="D71" s="1192" t="s">
        <v>1483</v>
      </c>
      <c r="E71" s="1193" t="s">
        <v>1484</v>
      </c>
      <c r="F71" s="385">
        <f ca="1">F43</f>
        <v>57392.160000000003</v>
      </c>
      <c r="O71" s="1894" t="s">
        <v>1047</v>
      </c>
      <c r="P71" s="1933" t="s">
        <v>1581</v>
      </c>
      <c r="Q71" s="1897">
        <f ca="1">C76</f>
        <v>8.5000000000000006E-2</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5"/>
      <c r="D74" s="1842"/>
      <c r="E74" s="1842"/>
      <c r="F74" s="1842"/>
      <c r="O74" s="1894" t="s">
        <v>1049</v>
      </c>
      <c r="P74" s="1885" t="str">
        <f>K59</f>
        <v>建筑物剩余耐用年限下的土地年期修正系数Kn</v>
      </c>
      <c r="Q74" s="1886" t="e">
        <f ca="1">L59</f>
        <v>#DIV/0!</v>
      </c>
      <c r="R74" s="1886" t="s">
        <v>1564</v>
      </c>
    </row>
    <row r="75" spans="1:18" ht="13.8" thickBot="1">
      <c r="A75" s="1842"/>
      <c r="B75" s="386" t="s">
        <v>1501</v>
      </c>
      <c r="C75" s="387">
        <f ca="1">ROUND(C13*C76,0)</f>
        <v>5002</v>
      </c>
      <c r="D75" s="1842"/>
      <c r="E75" s="1842"/>
      <c r="F75" s="1842"/>
      <c r="K75" s="1868"/>
      <c r="L75" s="1842"/>
      <c r="O75" s="1884" t="s">
        <v>1043</v>
      </c>
      <c r="P75" s="1885" t="s">
        <v>1544</v>
      </c>
      <c r="Q75" s="1886">
        <f ca="1">Q65+Q66</f>
        <v>65200</v>
      </c>
      <c r="R75" s="1886" t="s">
        <v>1044</v>
      </c>
    </row>
    <row r="76" spans="1:18">
      <c r="B76" s="388" t="s">
        <v>1502</v>
      </c>
      <c r="C76" s="389">
        <f ca="1">INDIRECT("'数据-取费表'!j"&amp;$G$1)</f>
        <v>8.5000000000000006E-2</v>
      </c>
      <c r="I76" s="1842"/>
      <c r="J76" s="1842"/>
      <c r="K76" s="1868"/>
      <c r="L76" s="1842"/>
    </row>
    <row r="77" spans="1:18">
      <c r="B77" s="390" t="s">
        <v>1503</v>
      </c>
      <c r="C77" s="391"/>
      <c r="I77" s="1842"/>
      <c r="J77" s="1842"/>
      <c r="K77" s="1868"/>
      <c r="L77" s="1842"/>
    </row>
    <row r="78" spans="1:18">
      <c r="B78" s="314" t="s">
        <v>1504</v>
      </c>
      <c r="C78" s="392"/>
    </row>
    <row r="79" spans="1:18">
      <c r="B79" s="386" t="s">
        <v>1505</v>
      </c>
      <c r="C79" s="318">
        <f ca="1">1-C80</f>
        <v>-0.83800000000000008</v>
      </c>
    </row>
    <row r="80" spans="1:18">
      <c r="B80" s="386" t="s">
        <v>1506</v>
      </c>
      <c r="C80" s="318">
        <f ca="1">ROUND(C75/C39,3)</f>
        <v>1.8380000000000001</v>
      </c>
    </row>
    <row r="81" spans="2:3">
      <c r="B81" s="314" t="s">
        <v>1507</v>
      </c>
      <c r="C81" s="282"/>
    </row>
    <row r="82" spans="2:3">
      <c r="B82" s="317" t="s">
        <v>1508</v>
      </c>
      <c r="C82" s="319">
        <f ca="1">1-C83</f>
        <v>9.6999999999999975E-2</v>
      </c>
    </row>
    <row r="83" spans="2:3">
      <c r="B83" s="317" t="s">
        <v>1509</v>
      </c>
      <c r="C83" s="318">
        <f ca="1">ROUND(C13/C40,3)</f>
        <v>0.90300000000000002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J53" sqref="J5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4"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1584</v>
      </c>
      <c r="B1" s="782"/>
      <c r="C1" s="1837"/>
      <c r="D1" s="1820"/>
      <c r="E1" s="1821" t="s">
        <v>1382</v>
      </c>
      <c r="F1" s="1283">
        <f ca="1">J53</f>
        <v>0</v>
      </c>
      <c r="G1" s="1836">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3" t="s">
        <v>1585</v>
      </c>
      <c r="B2" s="1844" t="e">
        <f ca="1">ROUND(D2/10000,0)</f>
        <v>#DIV/0!</v>
      </c>
      <c r="C2" s="1845" t="s">
        <v>1586</v>
      </c>
      <c r="D2" s="1937" t="e">
        <f ca="1">C40+J29+L46</f>
        <v>#DIV/0!</v>
      </c>
      <c r="E2" s="1846" t="s">
        <v>1587</v>
      </c>
      <c r="F2" s="1847"/>
      <c r="G2" s="1848"/>
      <c r="H2" s="1840"/>
      <c r="I2" s="1840"/>
      <c r="J2" s="1840"/>
      <c r="K2" s="1841"/>
      <c r="L2" s="1840"/>
      <c r="M2" s="1840"/>
    </row>
    <row r="3" spans="1:37" ht="18" customHeight="1" thickBot="1">
      <c r="A3" s="1849" t="s">
        <v>1588</v>
      </c>
      <c r="B3" s="1850">
        <f ca="1">IF(ISERROR(D2/F43),0,ROUND(D2/F43,0))</f>
        <v>0</v>
      </c>
      <c r="C3" s="1845" t="s">
        <v>1589</v>
      </c>
      <c r="D3" s="1845"/>
      <c r="E3" s="1846"/>
      <c r="F3" s="1847"/>
      <c r="G3" s="1848"/>
      <c r="H3" s="744" t="s">
        <v>1583</v>
      </c>
      <c r="I3" s="1840"/>
      <c r="J3" s="1840"/>
      <c r="K3" s="1841"/>
      <c r="L3" s="1840"/>
      <c r="M3" s="1840"/>
    </row>
    <row r="4" spans="1:37" ht="18" customHeight="1">
      <c r="A4" s="340" t="s">
        <v>1590</v>
      </c>
      <c r="B4" s="341" t="s">
        <v>1591</v>
      </c>
      <c r="C4" s="341" t="s">
        <v>1592</v>
      </c>
      <c r="D4" s="341" t="s">
        <v>1593</v>
      </c>
      <c r="E4" s="342" t="s">
        <v>1594</v>
      </c>
      <c r="F4" s="343"/>
      <c r="G4" s="1851"/>
      <c r="H4" s="340" t="s">
        <v>1590</v>
      </c>
      <c r="I4" s="341" t="s">
        <v>1591</v>
      </c>
      <c r="J4" s="341" t="s">
        <v>1592</v>
      </c>
      <c r="K4" s="341" t="s">
        <v>1593</v>
      </c>
      <c r="L4" s="342" t="s">
        <v>1594</v>
      </c>
      <c r="M4" s="343"/>
    </row>
    <row r="5" spans="1:37" ht="18" customHeight="1">
      <c r="A5" s="344">
        <v>1</v>
      </c>
      <c r="B5" s="345" t="s">
        <v>1595</v>
      </c>
      <c r="C5" s="1292">
        <f ca="1">C6+C10+C12</f>
        <v>0</v>
      </c>
      <c r="D5" s="1822" t="s">
        <v>1596</v>
      </c>
      <c r="E5" s="1293"/>
      <c r="F5" s="1294"/>
      <c r="G5" s="1851"/>
      <c r="H5" s="344">
        <v>1</v>
      </c>
      <c r="I5" s="345" t="s">
        <v>1595</v>
      </c>
      <c r="J5" s="1292">
        <f ca="1">J6+J10+J12</f>
        <v>0</v>
      </c>
      <c r="K5" s="1822" t="s">
        <v>1596</v>
      </c>
      <c r="L5" s="1293"/>
      <c r="M5" s="1294"/>
    </row>
    <row r="6" spans="1:37" ht="18" customHeight="1">
      <c r="A6" s="1291" t="s">
        <v>1032</v>
      </c>
      <c r="B6" s="3157" t="s">
        <v>1398</v>
      </c>
      <c r="C6" s="1296">
        <f ca="1">ROUND(F6*F8*F7*(1-F9),0)</f>
        <v>0</v>
      </c>
      <c r="D6" s="164" t="s">
        <v>3025</v>
      </c>
      <c r="E6" s="347" t="s">
        <v>1400</v>
      </c>
      <c r="F6" s="348">
        <f ca="1">INDIRECT("'数据-取费表'!u"&amp;$G$1)</f>
        <v>0</v>
      </c>
      <c r="G6" s="1851"/>
      <c r="H6" s="1291" t="s">
        <v>1032</v>
      </c>
      <c r="I6" s="3157" t="s">
        <v>1398</v>
      </c>
      <c r="J6" s="346">
        <f ca="1">ROUND(M6*M8*M7*(1-M9),0)</f>
        <v>0</v>
      </c>
      <c r="K6" s="1834" t="s">
        <v>3026</v>
      </c>
      <c r="L6" s="347" t="s">
        <v>1400</v>
      </c>
      <c r="M6" s="348">
        <f ca="1">INDIRECT("'数据-取费表'!z"&amp;$G$1)</f>
        <v>0</v>
      </c>
    </row>
    <row r="7" spans="1:37" ht="18" customHeight="1">
      <c r="A7" s="1295"/>
      <c r="B7" s="3158"/>
      <c r="C7" s="1297"/>
      <c r="D7" s="352"/>
      <c r="E7" s="1298" t="s">
        <v>1401</v>
      </c>
      <c r="F7" s="348">
        <f ca="1">IF(INDIRECT("'数据-取费表'!ah"&amp;$G$1)="",INDIRECT("'数据-取费表'!k"&amp;$G$1),INDIRECT("'数据-取费表'!ah"&amp;$G$1))</f>
        <v>0</v>
      </c>
      <c r="G7" s="1851"/>
      <c r="H7" s="349"/>
      <c r="I7" s="3158"/>
      <c r="J7" s="351"/>
      <c r="K7" s="352"/>
      <c r="L7" s="347" t="s">
        <v>1401</v>
      </c>
      <c r="M7" s="348">
        <f ca="1">F7</f>
        <v>0</v>
      </c>
    </row>
    <row r="8" spans="1:37" ht="18" customHeight="1">
      <c r="A8" s="349"/>
      <c r="B8" s="3158"/>
      <c r="C8" s="351"/>
      <c r="D8" s="352"/>
      <c r="E8" s="347" t="s">
        <v>1402</v>
      </c>
      <c r="F8" s="348">
        <f ca="1">INDIRECT("'数据-取费表'!ai"&amp;$G$1)</f>
        <v>0</v>
      </c>
      <c r="G8" s="1851"/>
      <c r="H8" s="349"/>
      <c r="I8" s="3158"/>
      <c r="J8" s="351"/>
      <c r="K8" s="352"/>
      <c r="L8" s="347" t="s">
        <v>1402</v>
      </c>
      <c r="M8" s="348">
        <f ca="1">INDIRECT("'数据-取费表'!ai"&amp;$G$1)</f>
        <v>0</v>
      </c>
    </row>
    <row r="9" spans="1:37" ht="18" customHeight="1">
      <c r="A9" s="349"/>
      <c r="B9" s="3159"/>
      <c r="C9" s="351"/>
      <c r="D9" s="352"/>
      <c r="E9" s="347" t="s">
        <v>1403</v>
      </c>
      <c r="F9" s="357">
        <f ca="1">INDIRECT("'数据-取费表'!w"&amp;$G$1)</f>
        <v>0</v>
      </c>
      <c r="G9" s="1851"/>
      <c r="H9" s="349"/>
      <c r="I9" s="3159"/>
      <c r="J9" s="351"/>
      <c r="K9" s="352"/>
      <c r="L9" s="358" t="s">
        <v>1403</v>
      </c>
      <c r="M9" s="359">
        <f ca="1">INDIRECT("'数据-取费表'!ab"&amp;$G$1)</f>
        <v>0</v>
      </c>
    </row>
    <row r="10" spans="1:37" ht="18" customHeight="1">
      <c r="A10" s="1291" t="s">
        <v>1036</v>
      </c>
      <c r="B10" s="1823" t="s">
        <v>1404</v>
      </c>
      <c r="C10" s="361">
        <f ca="1">ROUND(IF(F10="押一",C6/12*F11,IF(F10="押二",C6/12*2*F11,IF(F10="押三",C6/12*3*F11,C11*F11))),0)</f>
        <v>0</v>
      </c>
      <c r="D10" s="1824" t="s">
        <v>3036</v>
      </c>
      <c r="E10" s="358" t="s">
        <v>1405</v>
      </c>
      <c r="F10" s="1366"/>
      <c r="G10" s="1851"/>
      <c r="H10" s="1291" t="s">
        <v>1036</v>
      </c>
      <c r="I10" s="1823" t="s">
        <v>1404</v>
      </c>
      <c r="J10" s="346">
        <f ca="1">ROUND(IF(M10="押一",J6/12*M11,IF(M10="押二",J6/12*2*M11,IF(M10="押三",J6/12*3*M11,J11*M11))),0)</f>
        <v>0</v>
      </c>
      <c r="K10" s="1835" t="s">
        <v>3038</v>
      </c>
      <c r="L10" s="358" t="s">
        <v>1405</v>
      </c>
      <c r="M10" s="1366"/>
    </row>
    <row r="11" spans="1:37" ht="18" customHeight="1">
      <c r="A11" s="353"/>
      <c r="B11" s="1825" t="s">
        <v>1597</v>
      </c>
      <c r="C11" s="1178"/>
      <c r="D11" s="352"/>
      <c r="E11" s="358" t="s">
        <v>1407</v>
      </c>
      <c r="F11" s="359">
        <f ca="1">'数据-取费表'!B39</f>
        <v>1.4999999999999999E-2</v>
      </c>
      <c r="G11" s="1851"/>
      <c r="H11" s="1299"/>
      <c r="I11" s="1825" t="s">
        <v>1598</v>
      </c>
      <c r="J11" s="1178"/>
      <c r="K11" s="748"/>
      <c r="L11" s="358" t="s">
        <v>1407</v>
      </c>
      <c r="M11" s="1056">
        <f ca="1">'数据-取费表'!B39</f>
        <v>1.4999999999999999E-2</v>
      </c>
    </row>
    <row r="12" spans="1:37" ht="18" customHeight="1" thickBot="1">
      <c r="A12" s="1333" t="s">
        <v>1072</v>
      </c>
      <c r="B12" s="1827" t="s">
        <v>1408</v>
      </c>
      <c r="C12" s="1334"/>
      <c r="D12" s="1335"/>
      <c r="E12" s="1340"/>
      <c r="F12" s="1336"/>
      <c r="G12" s="1851"/>
      <c r="H12" s="1333" t="s">
        <v>1072</v>
      </c>
      <c r="I12" s="1827" t="s">
        <v>1408</v>
      </c>
      <c r="J12" s="1334"/>
      <c r="K12" s="1348"/>
      <c r="L12" s="1340"/>
      <c r="M12" s="1349"/>
    </row>
    <row r="13" spans="1:37" ht="18" customHeight="1" thickTop="1">
      <c r="A13" s="1329">
        <v>2</v>
      </c>
      <c r="B13" s="1330" t="s">
        <v>1409</v>
      </c>
      <c r="C13" s="355">
        <f ca="1">ROUND(C29*F13,0)</f>
        <v>0</v>
      </c>
      <c r="D13" s="1331" t="s">
        <v>1410</v>
      </c>
      <c r="E13" s="1331" t="s">
        <v>1411</v>
      </c>
      <c r="F13" s="1332">
        <f ca="1">INDIRECT("'数据-取费表'!y"&amp;$G$1)</f>
        <v>0</v>
      </c>
      <c r="G13" s="1851"/>
      <c r="H13" s="1329">
        <v>2</v>
      </c>
      <c r="I13" s="1330" t="s">
        <v>1409</v>
      </c>
      <c r="J13" s="1290">
        <f ca="1">ROUND(J14*J15,0)</f>
        <v>0</v>
      </c>
      <c r="K13" s="1337" t="s">
        <v>1410</v>
      </c>
      <c r="L13" s="1852"/>
      <c r="M13" s="1853"/>
    </row>
    <row r="14" spans="1:37" ht="18" customHeight="1">
      <c r="A14" s="1201" t="s">
        <v>1031</v>
      </c>
      <c r="B14" s="347" t="s">
        <v>1412</v>
      </c>
      <c r="C14" s="363">
        <f ca="1">ROUND(INDIRECT("'数据-取费表'!l"&amp;$G$1)*F43+'数据-取费表'!L14*INDIRECT("'数据-取费表'!S"&amp;$G$1),0)</f>
        <v>0</v>
      </c>
      <c r="D14" s="1800" t="s">
        <v>1413</v>
      </c>
      <c r="E14" s="1794"/>
      <c r="F14" s="364"/>
      <c r="G14" s="1851"/>
      <c r="H14" s="1201" t="s">
        <v>1032</v>
      </c>
      <c r="I14" s="347" t="s">
        <v>1414</v>
      </c>
      <c r="J14" s="24">
        <f ca="1">C29</f>
        <v>0</v>
      </c>
      <c r="K14" s="15"/>
      <c r="L14" s="979"/>
      <c r="M14" s="980"/>
    </row>
    <row r="15" spans="1:37" s="1858" customFormat="1" ht="18" customHeight="1" thickBot="1">
      <c r="A15" s="1201" t="s">
        <v>1033</v>
      </c>
      <c r="B15" s="347" t="s">
        <v>1415</v>
      </c>
      <c r="C15" s="24">
        <f ca="1">ROUND(C14*F15,0)</f>
        <v>0</v>
      </c>
      <c r="D15" s="365" t="s">
        <v>1416</v>
      </c>
      <c r="E15" s="365" t="s">
        <v>1417</v>
      </c>
      <c r="F15" s="366">
        <f>'数据-取费表'!B33</f>
        <v>0.04</v>
      </c>
      <c r="G15" s="1854"/>
      <c r="H15" s="1339" t="s">
        <v>1036</v>
      </c>
      <c r="I15" s="1340" t="s">
        <v>1411</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1384</v>
      </c>
      <c r="B16" s="347" t="s">
        <v>1418</v>
      </c>
      <c r="C16" s="24">
        <f ca="1">ROUND(INDIRECT("'数据-取费表'!l"&amp;$G$1)*F43*F16,0)</f>
        <v>0</v>
      </c>
      <c r="D16" s="347" t="s">
        <v>1416</v>
      </c>
      <c r="E16" s="347" t="s">
        <v>1417</v>
      </c>
      <c r="F16" s="367">
        <f ca="1">IF(INDIRECT("'数据-取费表'!c"&amp;$G$1)="住宅",'数据-取费表'!B34,0)</f>
        <v>0</v>
      </c>
      <c r="G16" s="1851"/>
      <c r="H16" s="1329" t="s">
        <v>1027</v>
      </c>
      <c r="I16" s="1330" t="s">
        <v>1419</v>
      </c>
      <c r="J16" s="355">
        <f ca="1">ROUND(J17+J22+J23+J24,0)</f>
        <v>0</v>
      </c>
      <c r="K16" s="1337" t="s">
        <v>1420</v>
      </c>
      <c r="L16" s="1338"/>
      <c r="M16" s="1294"/>
    </row>
    <row r="17" spans="1:37" s="1858" customFormat="1" ht="18" customHeight="1">
      <c r="A17" s="1201" t="s">
        <v>1385</v>
      </c>
      <c r="B17" s="347" t="s">
        <v>1421</v>
      </c>
      <c r="C17" s="24">
        <f ca="1">ROUND(F17*(F43+INDIRECT("'数据-取费表'!S"&amp;$G$1)),0)</f>
        <v>0</v>
      </c>
      <c r="D17" s="347" t="s">
        <v>1422</v>
      </c>
      <c r="E17" s="347" t="s">
        <v>1423</v>
      </c>
      <c r="F17" s="26">
        <f>'数据-取费表'!B35</f>
        <v>200</v>
      </c>
      <c r="G17" s="1854"/>
      <c r="H17" s="1201" t="s">
        <v>1032</v>
      </c>
      <c r="I17" s="347" t="s">
        <v>1424</v>
      </c>
      <c r="J17" s="24">
        <f ca="1">ROUND(IF(项目基本情况!B11="自然人",J6*M17/(1+'数据-取费表'!C42),J18+J19+J20),0)</f>
        <v>0</v>
      </c>
      <c r="K17" s="1800" t="s">
        <v>1425</v>
      </c>
      <c r="L17" s="1798" t="s">
        <v>1426</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1386</v>
      </c>
      <c r="B18" s="347" t="s">
        <v>1427</v>
      </c>
      <c r="C18" s="24">
        <f ca="1">ROUND(C14*F18,0)</f>
        <v>0</v>
      </c>
      <c r="D18" s="347" t="s">
        <v>1416</v>
      </c>
      <c r="E18" s="347" t="s">
        <v>1417</v>
      </c>
      <c r="F18" s="367">
        <f>'数据-取费表'!B36</f>
        <v>1.4999999999999999E-2</v>
      </c>
      <c r="G18" s="1854"/>
      <c r="H18" s="1201" t="s">
        <v>1031</v>
      </c>
      <c r="I18" s="347" t="s">
        <v>1428</v>
      </c>
      <c r="J18" s="24">
        <f ca="1">ROUND(J6*M18/(1+'数据-取费表'!C42),0)</f>
        <v>0</v>
      </c>
      <c r="K18" s="1798" t="s">
        <v>1429</v>
      </c>
      <c r="L18" s="347" t="s">
        <v>1417</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1430</v>
      </c>
      <c r="C19" s="24">
        <f ca="1">SUM(C14:C18)</f>
        <v>0</v>
      </c>
      <c r="D19" s="140" t="s">
        <v>1431</v>
      </c>
      <c r="E19" s="1818"/>
      <c r="F19" s="26"/>
      <c r="G19" s="1851"/>
      <c r="H19" s="1201" t="s">
        <v>1033</v>
      </c>
      <c r="I19" s="347" t="s">
        <v>1432</v>
      </c>
      <c r="J19" s="24">
        <f ca="1">IF(K19="按租金收入计税",ROUND(J6*M19/(1+'数据-取费表'!C42),0),ROUND(C29*M19*0.7,0))</f>
        <v>0</v>
      </c>
      <c r="K19" s="1828" t="s">
        <v>1433</v>
      </c>
      <c r="L19" s="347" t="s">
        <v>1417</v>
      </c>
      <c r="M19" s="367">
        <f>IF(K19="按租金收入计税",'数据-取费表'!B51,'数据-取费表'!B50)</f>
        <v>1.2E-2</v>
      </c>
    </row>
    <row r="20" spans="1:37" s="1858" customFormat="1" ht="18" customHeight="1">
      <c r="A20" s="1201" t="s">
        <v>1036</v>
      </c>
      <c r="B20" s="347" t="s">
        <v>1434</v>
      </c>
      <c r="C20" s="24">
        <f ca="1">ROUND(C19*F20,0)</f>
        <v>0</v>
      </c>
      <c r="D20" s="369" t="s">
        <v>1435</v>
      </c>
      <c r="E20" s="347" t="s">
        <v>1417</v>
      </c>
      <c r="F20" s="367">
        <f>'数据-取费表'!B37</f>
        <v>0.03</v>
      </c>
      <c r="G20" s="1854"/>
      <c r="H20" s="1201" t="s">
        <v>1384</v>
      </c>
      <c r="I20" s="164" t="s">
        <v>1436</v>
      </c>
      <c r="J20" s="25">
        <f ca="1">ROUND(M20*M21,0)</f>
        <v>0</v>
      </c>
      <c r="K20" s="370" t="s">
        <v>1437</v>
      </c>
      <c r="L20" s="347" t="s">
        <v>1438</v>
      </c>
      <c r="M20" s="371">
        <f>'数据-取费表'!B52</f>
        <v>9.6</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1439</v>
      </c>
      <c r="C21" s="24" t="s">
        <v>1</v>
      </c>
      <c r="D21" s="369" t="s">
        <v>1440</v>
      </c>
      <c r="E21" s="347" t="s">
        <v>1441</v>
      </c>
      <c r="F21" s="367">
        <f>'数据-取费表'!B38</f>
        <v>0.03</v>
      </c>
      <c r="G21" s="1854"/>
      <c r="H21" s="372"/>
      <c r="I21" s="356"/>
      <c r="J21" s="29"/>
      <c r="K21" s="373"/>
      <c r="L21" s="347" t="s">
        <v>1442</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1387</v>
      </c>
      <c r="B22" s="347" t="s">
        <v>1443</v>
      </c>
      <c r="C22" s="24"/>
      <c r="D22" s="140" t="str">
        <f>IF(F23&lt;=1,"单利计息。","复利计息。")&amp;"建造成本、管理费用、销售费用产生的利息。"</f>
        <v>复利计息。建造成本、管理费用、销售费用产生的利息。</v>
      </c>
      <c r="E22" s="1818"/>
      <c r="F22" s="26"/>
      <c r="G22" s="1851"/>
      <c r="H22" s="1201" t="s">
        <v>1036</v>
      </c>
      <c r="I22" s="347" t="s">
        <v>1444</v>
      </c>
      <c r="J22" s="24">
        <f ca="1">ROUND(J14*M22,0)</f>
        <v>0</v>
      </c>
      <c r="K22" s="1798" t="s">
        <v>1445</v>
      </c>
      <c r="L22" s="347" t="s">
        <v>1417</v>
      </c>
      <c r="M22" s="374">
        <f ca="1">INDIRECT("'数据-取费表'!Ak"&amp;$G$1)</f>
        <v>0</v>
      </c>
    </row>
    <row r="23" spans="1:37" s="1858" customFormat="1" ht="18" customHeight="1">
      <c r="A23" s="1201" t="s">
        <v>1031</v>
      </c>
      <c r="B23" s="347" t="s">
        <v>1446</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1447</v>
      </c>
      <c r="F23" s="371">
        <f>'数据-取费表'!B20</f>
        <v>3</v>
      </c>
      <c r="G23" s="1854"/>
      <c r="H23" s="1201" t="s">
        <v>1072</v>
      </c>
      <c r="I23" s="347" t="s">
        <v>1448</v>
      </c>
      <c r="J23" s="24">
        <f ca="1">ROUND(J13*M23,0)</f>
        <v>0</v>
      </c>
      <c r="K23" s="1798" t="s">
        <v>1449</v>
      </c>
      <c r="L23" s="347" t="s">
        <v>1450</v>
      </c>
      <c r="M23" s="376">
        <f ca="1">INDIRECT("'数据-取费表'!Al"&amp;$G$1)</f>
        <v>0</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1451</v>
      </c>
      <c r="B24" s="347" t="s">
        <v>1452</v>
      </c>
      <c r="C24" s="24">
        <f ca="1">ROUND(IF('数据-取费表'!B22&lt;=1,F21*F24*F23/2,F21*(POWER((1+F24),F23/2)-1)),4)</f>
        <v>2.2000000000000001E-3</v>
      </c>
      <c r="D24" s="375" t="str">
        <f>IF(F23&lt;=1,"销售费用×利率×(建设周期÷2)","销售费用×((1+利率)^(建设周期÷2)-1)")</f>
        <v>销售费用×((1+利率)^(建设周期÷2)-1)</v>
      </c>
      <c r="E24" s="347" t="s">
        <v>1453</v>
      </c>
      <c r="F24" s="377">
        <f ca="1">'数据-取费表'!B40</f>
        <v>4.7500000000000001E-2</v>
      </c>
      <c r="G24" s="1854"/>
      <c r="H24" s="1339" t="s">
        <v>1388</v>
      </c>
      <c r="I24" s="1340" t="s">
        <v>1434</v>
      </c>
      <c r="J24" s="1341">
        <f ca="1">ROUND(J5*M24,0)</f>
        <v>0</v>
      </c>
      <c r="K24" s="1342" t="s">
        <v>1454</v>
      </c>
      <c r="L24" s="1340" t="s">
        <v>1450</v>
      </c>
      <c r="M24" s="1336">
        <f ca="1">INDIRECT("'数据-取费表'!Am"&amp;$G$1)</f>
        <v>0</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1455</v>
      </c>
      <c r="B25" s="347" t="s">
        <v>1456</v>
      </c>
      <c r="C25" s="24"/>
      <c r="D25" s="140" t="s">
        <v>1457</v>
      </c>
      <c r="E25" s="1818"/>
      <c r="F25" s="26"/>
      <c r="G25" s="1851"/>
      <c r="H25" s="1329" t="s">
        <v>1028</v>
      </c>
      <c r="I25" s="1344" t="s">
        <v>1458</v>
      </c>
      <c r="J25" s="355">
        <f ca="1">J5-J16</f>
        <v>0</v>
      </c>
      <c r="K25" s="1345" t="s">
        <v>1459</v>
      </c>
      <c r="L25" s="1346"/>
      <c r="M25" s="1347"/>
    </row>
    <row r="26" spans="1:37" ht="18" customHeight="1">
      <c r="A26" s="1201" t="s">
        <v>1031</v>
      </c>
      <c r="B26" s="347" t="s">
        <v>1460</v>
      </c>
      <c r="C26" s="24">
        <f ca="1">ROUND((C19+C20)*F26,0)</f>
        <v>0</v>
      </c>
      <c r="D26" s="369" t="s">
        <v>1461</v>
      </c>
      <c r="E26" s="358" t="s">
        <v>1462</v>
      </c>
      <c r="F26" s="357">
        <f ca="1">INDIRECT("'数据-取费表'!q"&amp;$G$1)</f>
        <v>0</v>
      </c>
      <c r="G26" s="1851"/>
      <c r="H26" s="344" t="s">
        <v>1029</v>
      </c>
      <c r="I26" s="345" t="s">
        <v>1463</v>
      </c>
      <c r="J26" s="346">
        <f ca="1">IF(J5&lt;&gt;0,ROUND(J25*(1-((1+M28)/(1+M26))^M27)/(M26-M28),0),0)</f>
        <v>0</v>
      </c>
      <c r="K26" s="370" t="s">
        <v>1464</v>
      </c>
      <c r="L26" s="347" t="s">
        <v>1465</v>
      </c>
      <c r="M26" s="357">
        <f ca="1">INDIRECT("'数据-取费表'!I"&amp;$G$1)</f>
        <v>0</v>
      </c>
    </row>
    <row r="27" spans="1:37" ht="18" customHeight="1">
      <c r="A27" s="1201" t="s">
        <v>1033</v>
      </c>
      <c r="B27" s="347" t="s">
        <v>1466</v>
      </c>
      <c r="C27" s="24">
        <f ca="1">ROUND(F21*F26,4)</f>
        <v>0</v>
      </c>
      <c r="D27" s="369" t="s">
        <v>1467</v>
      </c>
      <c r="E27" s="365"/>
      <c r="F27" s="366"/>
      <c r="G27" s="1851"/>
      <c r="H27" s="349"/>
      <c r="I27" s="350"/>
      <c r="J27" s="351"/>
      <c r="K27" s="378" t="s">
        <v>1468</v>
      </c>
      <c r="L27" s="347" t="s">
        <v>1469</v>
      </c>
      <c r="M27" s="379">
        <f ca="1">INDIRECT("'数据-取费表'!ag"&amp;$G$1)</f>
        <v>0</v>
      </c>
    </row>
    <row r="28" spans="1:37" s="1858" customFormat="1" ht="18" customHeight="1">
      <c r="A28" s="1201" t="s">
        <v>1034</v>
      </c>
      <c r="B28" s="347" t="s">
        <v>1470</v>
      </c>
      <c r="C28" s="24">
        <f>ROUND(F28/(1+'数据-取费表'!C42),4)</f>
        <v>5.33E-2</v>
      </c>
      <c r="D28" s="369" t="s">
        <v>1471</v>
      </c>
      <c r="E28" s="347" t="s">
        <v>1417</v>
      </c>
      <c r="F28" s="367">
        <f>'数据-取费表'!B41</f>
        <v>5.6000000000000001E-2</v>
      </c>
      <c r="G28" s="1854"/>
      <c r="H28" s="353"/>
      <c r="I28" s="354"/>
      <c r="J28" s="355"/>
      <c r="K28" s="373"/>
      <c r="L28" s="347" t="s">
        <v>1472</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1473</v>
      </c>
      <c r="C29" s="1341">
        <f ca="1">ROUND((C19+C20+C23+C26)/(1-F21-C24-C27-C28),0)</f>
        <v>0</v>
      </c>
      <c r="D29" s="1342"/>
      <c r="E29" s="1340"/>
      <c r="F29" s="1343"/>
      <c r="G29" s="1854"/>
      <c r="H29" s="380" t="s">
        <v>1030</v>
      </c>
      <c r="I29" s="381" t="s">
        <v>1474</v>
      </c>
      <c r="J29" s="382">
        <f ca="1">ROUND(J26/(1+F40)^F41,0)</f>
        <v>0</v>
      </c>
      <c r="K29" s="383" t="s">
        <v>1475</v>
      </c>
      <c r="L29" s="384"/>
      <c r="M29" s="385">
        <f ca="1">INDIRECT("'数据-取费表'!k"&amp;$G$1)</f>
        <v>0</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1419</v>
      </c>
      <c r="C30" s="355">
        <f ca="1">ROUND(C31+C36+C37+C38,0)</f>
        <v>0</v>
      </c>
      <c r="D30" s="1337" t="s">
        <v>1420</v>
      </c>
      <c r="E30" s="1338"/>
      <c r="F30" s="1294"/>
      <c r="G30" s="1851"/>
      <c r="H30" s="745"/>
      <c r="I30" s="746"/>
      <c r="J30" s="747"/>
      <c r="K30" s="748"/>
      <c r="L30" s="749"/>
      <c r="M30" s="750"/>
    </row>
    <row r="31" spans="1:37" ht="18" customHeight="1">
      <c r="A31" s="1201" t="s">
        <v>1032</v>
      </c>
      <c r="B31" s="347" t="s">
        <v>1424</v>
      </c>
      <c r="C31" s="24">
        <f ca="1">ROUND(IF(项目基本情况!B11="自然人",C6*F31/(1+'数据-取费表'!C42),C32+C33+C34),0)</f>
        <v>0</v>
      </c>
      <c r="D31" s="1800" t="s">
        <v>1425</v>
      </c>
      <c r="E31" s="1798" t="s">
        <v>1476</v>
      </c>
      <c r="F31" s="368" t="str">
        <f ca="1">IF(项目基本情况!B11="企业","",IF(INDIRECT("'数据-取费表'!c"&amp;$G$1)="住宅",5%,IF(F6*F7*F8/12/(1+'数据-取费表'!C42)&gt;20000,12%,7%)))</f>
        <v/>
      </c>
      <c r="G31" s="1851"/>
      <c r="H31" s="745"/>
      <c r="I31" s="746"/>
      <c r="J31" s="747"/>
      <c r="K31" s="748"/>
      <c r="L31" s="749"/>
      <c r="M31" s="750"/>
    </row>
    <row r="32" spans="1:37" ht="18" customHeight="1">
      <c r="A32" s="1201" t="s">
        <v>1031</v>
      </c>
      <c r="B32" s="347" t="s">
        <v>1428</v>
      </c>
      <c r="C32" s="24">
        <f ca="1">IF(项目基本情况!B11="自然人","——",ROUND(C6*F32/(1+'数据-取费表'!C42),0))</f>
        <v>0</v>
      </c>
      <c r="D32" s="1798" t="s">
        <v>1429</v>
      </c>
      <c r="E32" s="347" t="s">
        <v>1417</v>
      </c>
      <c r="F32" s="377">
        <f>'数据-取费表'!B41</f>
        <v>5.6000000000000001E-2</v>
      </c>
      <c r="G32" s="1851"/>
      <c r="H32" s="745"/>
      <c r="I32" s="746"/>
      <c r="J32" s="747"/>
      <c r="K32" s="748"/>
      <c r="L32" s="749"/>
      <c r="M32" s="750"/>
    </row>
    <row r="33" spans="1:18" ht="18" customHeight="1">
      <c r="A33" s="1201" t="s">
        <v>1033</v>
      </c>
      <c r="B33" s="347" t="s">
        <v>1432</v>
      </c>
      <c r="C33" s="24">
        <f ca="1">IF(项目基本情况!B11="自然人","——",IF(D33="按租金收入计税",ROUND(C6*F33/(1+'数据-取费表'!C42),0),IF(D33="按房产原值计税",ROUND(C29*F33*0.7,0),INDIRECT("'数据-取费表'!Aj"&amp;$G$1))))</f>
        <v>0</v>
      </c>
      <c r="D33" s="1828" t="s">
        <v>1433</v>
      </c>
      <c r="E33" s="347" t="s">
        <v>1417</v>
      </c>
      <c r="F33" s="367">
        <f>IF(D33="按票据","——",IF(D33="按租金收入计税",'数据-取费表'!B51,'数据-取费表'!B50))</f>
        <v>1.2E-2</v>
      </c>
      <c r="G33" s="1851"/>
      <c r="H33" s="1859"/>
      <c r="I33" s="1860"/>
      <c r="J33" s="1861"/>
      <c r="K33" s="1862"/>
      <c r="L33" s="1859"/>
      <c r="M33" s="1859"/>
    </row>
    <row r="34" spans="1:18" ht="18" customHeight="1">
      <c r="A34" s="1291" t="s">
        <v>1384</v>
      </c>
      <c r="B34" s="164" t="s">
        <v>1436</v>
      </c>
      <c r="C34" s="25">
        <f ca="1">IF(项目基本情况!B11="自然人","——",ROUND(F34*F35,))</f>
        <v>0</v>
      </c>
      <c r="D34" s="370" t="s">
        <v>1437</v>
      </c>
      <c r="E34" s="347" t="s">
        <v>1438</v>
      </c>
      <c r="F34" s="371">
        <f>'数据-取费表'!B52</f>
        <v>9.6</v>
      </c>
      <c r="G34" s="1851"/>
      <c r="H34" s="745"/>
      <c r="I34" s="1860"/>
      <c r="J34" s="1861"/>
      <c r="K34" s="1863"/>
      <c r="L34" s="1864"/>
      <c r="M34" s="1864"/>
    </row>
    <row r="35" spans="1:18" ht="18" customHeight="1">
      <c r="A35" s="1353"/>
      <c r="B35" s="1351"/>
      <c r="C35" s="29"/>
      <c r="D35" s="373"/>
      <c r="E35" s="347" t="s">
        <v>1442</v>
      </c>
      <c r="F35" s="348">
        <f ca="1">INDIRECT("'数据-取费表'!r"&amp;$G$1)</f>
        <v>0</v>
      </c>
      <c r="G35" s="1851"/>
      <c r="H35" s="745"/>
      <c r="I35" s="1860"/>
      <c r="J35" s="1861"/>
      <c r="K35" s="1862"/>
      <c r="L35" s="1859"/>
      <c r="M35" s="1859"/>
    </row>
    <row r="36" spans="1:18" ht="18" customHeight="1">
      <c r="A36" s="1352" t="s">
        <v>1036</v>
      </c>
      <c r="B36" s="347" t="s">
        <v>1444</v>
      </c>
      <c r="C36" s="24">
        <f ca="1">ROUND(C29*F36,0)</f>
        <v>0</v>
      </c>
      <c r="D36" s="1798" t="s">
        <v>1477</v>
      </c>
      <c r="E36" s="347" t="s">
        <v>1417</v>
      </c>
      <c r="F36" s="374">
        <f ca="1">INDIRECT("'数据-取费表'!Ak"&amp;$G$1)</f>
        <v>0</v>
      </c>
      <c r="G36" s="1851"/>
      <c r="H36" s="1859"/>
      <c r="I36" s="1860"/>
      <c r="J36" s="1861"/>
      <c r="K36" s="751"/>
      <c r="L36" s="1859"/>
      <c r="M36" s="1859"/>
    </row>
    <row r="37" spans="1:18" ht="18" customHeight="1">
      <c r="A37" s="1201" t="s">
        <v>1072</v>
      </c>
      <c r="B37" s="347" t="s">
        <v>1448</v>
      </c>
      <c r="C37" s="24">
        <f ca="1">ROUND(C13*F37,0)</f>
        <v>0</v>
      </c>
      <c r="D37" s="1798" t="s">
        <v>1449</v>
      </c>
      <c r="E37" s="347" t="s">
        <v>1450</v>
      </c>
      <c r="F37" s="376">
        <f ca="1">INDIRECT("'数据-取费表'!Al"&amp;$G$1)</f>
        <v>0</v>
      </c>
      <c r="G37" s="1851"/>
      <c r="H37" s="1859"/>
      <c r="I37" s="1860"/>
      <c r="J37" s="1861"/>
      <c r="K37" s="751"/>
      <c r="L37" s="1859"/>
      <c r="M37" s="1859"/>
    </row>
    <row r="38" spans="1:18" ht="18" customHeight="1" thickBot="1">
      <c r="A38" s="1339" t="s">
        <v>1388</v>
      </c>
      <c r="B38" s="1340" t="s">
        <v>1434</v>
      </c>
      <c r="C38" s="1341">
        <f ca="1">ROUND(C5*F38,1)</f>
        <v>0</v>
      </c>
      <c r="D38" s="1342" t="s">
        <v>1454</v>
      </c>
      <c r="E38" s="1340" t="s">
        <v>1450</v>
      </c>
      <c r="F38" s="1336">
        <f ca="1">INDIRECT("'数据-取费表'!Am"&amp;$G$1)</f>
        <v>0</v>
      </c>
      <c r="G38" s="1851"/>
      <c r="H38" s="1859"/>
      <c r="I38" s="1860"/>
      <c r="J38" s="1861"/>
      <c r="K38" s="1865"/>
      <c r="L38" s="1859"/>
      <c r="M38" s="1859"/>
    </row>
    <row r="39" spans="1:18" ht="24.6" customHeight="1" thickTop="1">
      <c r="A39" s="1329" t="s">
        <v>1028</v>
      </c>
      <c r="B39" s="1344" t="s">
        <v>1478</v>
      </c>
      <c r="C39" s="355">
        <f ca="1">C5-C30</f>
        <v>0</v>
      </c>
      <c r="D39" s="1345" t="s">
        <v>1479</v>
      </c>
      <c r="E39" s="1346"/>
      <c r="F39" s="1347"/>
      <c r="G39" s="1851"/>
      <c r="H39" s="1859"/>
      <c r="I39" s="1860"/>
      <c r="J39" s="1861"/>
      <c r="K39" s="1865"/>
      <c r="L39" s="1859"/>
      <c r="M39" s="1859"/>
    </row>
    <row r="40" spans="1:18" ht="18" customHeight="1">
      <c r="A40" s="344" t="s">
        <v>1029</v>
      </c>
      <c r="B40" s="345" t="s">
        <v>1480</v>
      </c>
      <c r="C40" s="346" t="e">
        <f ca="1">ROUND(C39*(1-((1+F42)/(1+F40))^F41)/(F40-F42),0)</f>
        <v>#DIV/0!</v>
      </c>
      <c r="D40" s="370" t="s">
        <v>1464</v>
      </c>
      <c r="E40" s="347" t="s">
        <v>1465</v>
      </c>
      <c r="F40" s="357">
        <f ca="1">INDIRECT("'数据-取费表'!I"&amp;$G$1)</f>
        <v>0</v>
      </c>
      <c r="G40" s="1851"/>
      <c r="H40" s="1839"/>
      <c r="I40" s="1860"/>
      <c r="J40" s="1861"/>
      <c r="K40" s="1865"/>
      <c r="L40" s="1839"/>
      <c r="M40" s="1839"/>
    </row>
    <row r="41" spans="1:18" ht="18" customHeight="1">
      <c r="A41" s="349"/>
      <c r="B41" s="350"/>
      <c r="C41" s="351"/>
      <c r="D41" s="378" t="s">
        <v>1481</v>
      </c>
      <c r="E41" s="347" t="s">
        <v>1469</v>
      </c>
      <c r="F41" s="379">
        <f ca="1">IF(INDIRECT("'数据-取费表'!af"&amp;$G$1)=0,INDIRECT("'数据-取费表'!ae"&amp;$G$1),INDIRECT("'数据-取费表'!af"&amp;$G$1))</f>
        <v>0</v>
      </c>
      <c r="G41" s="1851"/>
      <c r="H41" s="732"/>
      <c r="I41" s="1860"/>
      <c r="J41" s="1861"/>
      <c r="K41" s="751"/>
      <c r="L41" s="732"/>
      <c r="M41" s="732"/>
    </row>
    <row r="42" spans="1:18" ht="18" customHeight="1">
      <c r="A42" s="353"/>
      <c r="B42" s="354"/>
      <c r="C42" s="355"/>
      <c r="D42" s="373"/>
      <c r="E42" s="347" t="s">
        <v>1472</v>
      </c>
      <c r="F42" s="357">
        <f ca="1">INDIRECT("'数据-取费表'!v"&amp;$G$1)</f>
        <v>0</v>
      </c>
      <c r="G42" s="1851"/>
      <c r="H42" s="732"/>
      <c r="I42" s="1860"/>
      <c r="J42" s="1861"/>
      <c r="K42" s="751"/>
      <c r="L42" s="732"/>
      <c r="M42" s="732"/>
    </row>
    <row r="43" spans="1:18" ht="18" customHeight="1" thickBot="1">
      <c r="A43" s="380" t="s">
        <v>1030</v>
      </c>
      <c r="B43" s="381" t="s">
        <v>1482</v>
      </c>
      <c r="C43" s="382" t="e">
        <f ca="1">ROUND(C40/F43,0)</f>
        <v>#DIV/0!</v>
      </c>
      <c r="D43" s="383" t="s">
        <v>1483</v>
      </c>
      <c r="E43" s="384" t="s">
        <v>1484</v>
      </c>
      <c r="F43" s="385">
        <f ca="1">INDIRECT("'数据-取费表'!k"&amp;$G$1)</f>
        <v>0</v>
      </c>
      <c r="G43" s="1851"/>
      <c r="H43" s="732"/>
      <c r="I43" s="732"/>
      <c r="J43" s="732"/>
      <c r="K43" s="751"/>
      <c r="L43" s="732"/>
      <c r="M43" s="732"/>
    </row>
    <row r="44" spans="1:18" s="1842" customFormat="1" ht="18" customHeight="1">
      <c r="A44" s="1866"/>
      <c r="B44" s="1866"/>
      <c r="C44" s="1867"/>
      <c r="D44" s="1866"/>
      <c r="E44" s="1866"/>
      <c r="F44" s="1866"/>
      <c r="K44" s="1868"/>
    </row>
    <row r="45" spans="1:18" s="1842" customFormat="1" ht="18" customHeight="1" thickBot="1">
      <c r="A45" s="1866"/>
      <c r="B45" s="1866"/>
      <c r="C45" s="1938" t="e">
        <f ca="1">C68-C40</f>
        <v>#DIV/0!</v>
      </c>
      <c r="D45" s="1939" t="s">
        <v>1599</v>
      </c>
      <c r="E45" s="1866"/>
      <c r="F45" s="1866"/>
      <c r="O45" s="1869" t="s">
        <v>1514</v>
      </c>
      <c r="P45" s="1839"/>
      <c r="Q45" s="1839"/>
      <c r="R45" s="1839"/>
    </row>
    <row r="46" spans="1:18" s="1842" customFormat="1" ht="13.8" thickBot="1">
      <c r="A46" s="1870" t="s">
        <v>1515</v>
      </c>
      <c r="C46" s="1871" t="e">
        <f ca="1">ROUND(C45/10000,0)</f>
        <v>#DIV/0!</v>
      </c>
      <c r="D46" s="1872" t="str">
        <f>C2</f>
        <v>万元</v>
      </c>
      <c r="I46" s="1873" t="s">
        <v>1516</v>
      </c>
      <c r="J46" s="1874"/>
      <c r="K46" s="1875"/>
      <c r="L46" s="1876" t="e">
        <f ca="1">IF(M47="住宅",0,IF(L48&gt;J51,L60,J60))</f>
        <v>#DIV/0!</v>
      </c>
      <c r="O46" s="1877" t="s">
        <v>1517</v>
      </c>
      <c r="P46" s="1878" t="s">
        <v>1518</v>
      </c>
      <c r="Q46" s="1879" t="s">
        <v>1519</v>
      </c>
      <c r="R46" s="1879" t="s">
        <v>1520</v>
      </c>
    </row>
    <row r="47" spans="1:18" s="1842" customFormat="1" ht="13.8" thickBot="1">
      <c r="A47" s="1165" t="s">
        <v>1391</v>
      </c>
      <c r="B47" s="1197" t="s">
        <v>1392</v>
      </c>
      <c r="C47" s="1197" t="s">
        <v>1393</v>
      </c>
      <c r="D47" s="1197" t="s">
        <v>1394</v>
      </c>
      <c r="E47" s="1279" t="s">
        <v>1395</v>
      </c>
      <c r="F47" s="1280"/>
      <c r="G47" s="792"/>
      <c r="I47" s="1880" t="s">
        <v>1521</v>
      </c>
      <c r="J47" s="1881"/>
      <c r="K47" s="1882" t="s">
        <v>1522</v>
      </c>
      <c r="L47" s="1883">
        <f ca="1">INDIRECT("'数据-取费表'!d"&amp;$G$1)</f>
        <v>0</v>
      </c>
      <c r="M47" s="1838" t="str">
        <f>IF(ISNUMBER(FIND("住宅",C1)),"住宅","非住宅")</f>
        <v>非住宅</v>
      </c>
      <c r="O47" s="1884" t="s">
        <v>1037</v>
      </c>
      <c r="P47" s="1885" t="s">
        <v>1523</v>
      </c>
      <c r="Q47" s="1886" t="e">
        <f ca="1">C40+J29</f>
        <v>#DIV/0!</v>
      </c>
      <c r="R47" s="1886" t="s">
        <v>1524</v>
      </c>
    </row>
    <row r="48" spans="1:18" s="1842" customFormat="1" ht="40.200000000000003" thickBot="1">
      <c r="A48" s="1360" t="s">
        <v>1132</v>
      </c>
      <c r="B48" s="345" t="s">
        <v>1396</v>
      </c>
      <c r="C48" s="1817">
        <f ca="1">C49+C53+C55</f>
        <v>0</v>
      </c>
      <c r="D48" s="1362"/>
      <c r="E48" s="1363"/>
      <c r="F48" s="1181"/>
      <c r="G48" s="792"/>
      <c r="H48" s="793"/>
      <c r="I48" s="1887" t="s">
        <v>1525</v>
      </c>
      <c r="J48" s="1888"/>
      <c r="K48" s="1889" t="s">
        <v>1526</v>
      </c>
      <c r="L48" s="1890">
        <f ca="1">INDIRECT("'数据-取费表'!f"&amp;$G$1)</f>
        <v>0</v>
      </c>
      <c r="O48" s="1884" t="s">
        <v>1038</v>
      </c>
      <c r="P48" s="1885" t="s">
        <v>1527</v>
      </c>
      <c r="Q48" s="1886" t="e">
        <f ca="1">J60</f>
        <v>#DIV/0!</v>
      </c>
      <c r="R48" s="1886" t="s">
        <v>1528</v>
      </c>
    </row>
    <row r="49" spans="1:18" s="1842" customFormat="1" ht="13.8" thickBot="1">
      <c r="A49" s="1194" t="s">
        <v>1133</v>
      </c>
      <c r="B49" s="1829" t="s">
        <v>1485</v>
      </c>
      <c r="C49" s="1364">
        <f ca="1">ROUND(F49*F51*F50*(1-F52),0)</f>
        <v>0</v>
      </c>
      <c r="D49" s="1276" t="s">
        <v>1399</v>
      </c>
      <c r="E49" s="1830" t="s">
        <v>1486</v>
      </c>
      <c r="F49" s="1281"/>
      <c r="G49" s="1891"/>
      <c r="H49" s="793"/>
      <c r="I49" s="1887" t="s">
        <v>1529</v>
      </c>
      <c r="J49" s="1892"/>
      <c r="K49" s="1889" t="s">
        <v>1530</v>
      </c>
      <c r="L49" s="1893"/>
      <c r="O49" s="1894" t="s">
        <v>1039</v>
      </c>
      <c r="P49" s="1885" t="s">
        <v>1531</v>
      </c>
      <c r="Q49" s="1886">
        <f ca="1">C29</f>
        <v>0</v>
      </c>
      <c r="R49" s="1886" t="s">
        <v>1524</v>
      </c>
    </row>
    <row r="50" spans="1:18" s="1842" customFormat="1" ht="13.8" thickBot="1">
      <c r="A50" s="1195"/>
      <c r="B50" s="1198"/>
      <c r="C50" s="1199"/>
      <c r="D50" s="1172"/>
      <c r="E50" s="1277" t="s">
        <v>1401</v>
      </c>
      <c r="F50" s="1278">
        <f ca="1">F7</f>
        <v>0</v>
      </c>
      <c r="H50" s="793"/>
      <c r="I50" s="1887" t="s">
        <v>1532</v>
      </c>
      <c r="J50" s="1895">
        <f>SUMPRODUCT((I63:I65=J47)*(J62:L62=J48)*(J63:L65))</f>
        <v>0</v>
      </c>
      <c r="K50" s="1889" t="s">
        <v>1533</v>
      </c>
      <c r="L50" s="1893"/>
      <c r="M50" s="1896"/>
      <c r="O50" s="1894" t="s">
        <v>1040</v>
      </c>
      <c r="P50" s="1885" t="s">
        <v>1534</v>
      </c>
      <c r="Q50" s="1897" t="e">
        <f ca="1">J58</f>
        <v>#DIV/0!</v>
      </c>
      <c r="R50" s="1886"/>
    </row>
    <row r="51" spans="1:18" s="1842" customFormat="1" ht="13.8" thickBot="1">
      <c r="A51" s="1196"/>
      <c r="B51" s="1198"/>
      <c r="C51" s="1199"/>
      <c r="D51" s="1172"/>
      <c r="E51" s="1200" t="s">
        <v>1402</v>
      </c>
      <c r="F51" s="348">
        <f ca="1">F8</f>
        <v>0</v>
      </c>
      <c r="I51" s="1898" t="s">
        <v>1535</v>
      </c>
      <c r="J51" s="1899">
        <f>IF(J49="",J50,J49+J50-YEAR('数据-取费表'!B2))</f>
        <v>0</v>
      </c>
      <c r="K51" s="1900" t="s">
        <v>1536</v>
      </c>
      <c r="L51" s="1901">
        <f ca="1">ROUND(-PV(INDIRECT("'数据-取费表'!h"&amp;$G$1),L48,(C39-C13*C76),0),0)</f>
        <v>0</v>
      </c>
      <c r="M51" s="1902"/>
      <c r="O51" s="1894" t="s">
        <v>1041</v>
      </c>
      <c r="P51" s="1885" t="s">
        <v>1537</v>
      </c>
      <c r="Q51" s="1897">
        <f>J52</f>
        <v>0</v>
      </c>
      <c r="R51" s="1886"/>
    </row>
    <row r="52" spans="1:18" s="1842" customFormat="1" ht="13.8" thickBot="1">
      <c r="A52" s="1196"/>
      <c r="B52" s="1198"/>
      <c r="C52" s="1199"/>
      <c r="D52" s="1172"/>
      <c r="E52" s="1200" t="s">
        <v>1403</v>
      </c>
      <c r="F52" s="1275"/>
      <c r="I52" s="1903" t="s">
        <v>1538</v>
      </c>
      <c r="J52" s="1904"/>
      <c r="K52" s="1903" t="s">
        <v>1539</v>
      </c>
      <c r="L52" s="1904"/>
      <c r="O52" s="1894" t="s">
        <v>1042</v>
      </c>
      <c r="P52" s="1885" t="s">
        <v>1540</v>
      </c>
      <c r="Q52" s="1886">
        <f ca="1">J53</f>
        <v>0</v>
      </c>
      <c r="R52" s="1886" t="s">
        <v>1541</v>
      </c>
    </row>
    <row r="53" spans="1:18" s="1842" customFormat="1" ht="30.75" customHeight="1" thickBot="1">
      <c r="A53" s="1361" t="s">
        <v>1134</v>
      </c>
      <c r="B53" s="369" t="s">
        <v>1404</v>
      </c>
      <c r="C53" s="361">
        <f ca="1">ROUND(IF(F53="押一",C49/12*F11,IF(F53="押二",C49/12*2*F11,IF(F53="押三",C49/12*3*F11,C54*F11))),0)</f>
        <v>0</v>
      </c>
      <c r="D53" s="1824" t="s">
        <v>3039</v>
      </c>
      <c r="E53" s="358" t="s">
        <v>1405</v>
      </c>
      <c r="F53" s="1366"/>
      <c r="I53" s="1905" t="s">
        <v>1542</v>
      </c>
      <c r="J53" s="2949">
        <f ca="1">IF(M47="住宅",IF(D1="——",MAX(J51,L48),MAX(J51,L48-'数据-取费表'!B24)),IF(D1="——",MIN(J51,L48),MIN(J51,L48-'数据-取费表'!B24)))</f>
        <v>0</v>
      </c>
      <c r="K53" s="3155" t="s">
        <v>1543</v>
      </c>
      <c r="L53" s="3156"/>
      <c r="O53" s="1884" t="s">
        <v>1043</v>
      </c>
      <c r="P53" s="1885" t="s">
        <v>1544</v>
      </c>
      <c r="Q53" s="1886" t="e">
        <f ca="1">Q47+Q48</f>
        <v>#DIV/0!</v>
      </c>
      <c r="R53" s="1886" t="s">
        <v>1044</v>
      </c>
    </row>
    <row r="54" spans="1:18" s="1842" customFormat="1" ht="13.8" thickBot="1">
      <c r="A54" s="1194"/>
      <c r="B54" s="1940" t="s">
        <v>1598</v>
      </c>
      <c r="C54" s="1178"/>
      <c r="D54" s="1824"/>
      <c r="E54" s="1832"/>
      <c r="F54" s="1906"/>
      <c r="I54" s="190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8"/>
      <c r="K54" s="1908"/>
      <c r="L54" s="1908"/>
      <c r="M54" s="1891"/>
      <c r="O54" s="1869" t="s">
        <v>1545</v>
      </c>
      <c r="P54" s="1839"/>
      <c r="Q54" s="1839"/>
      <c r="R54" s="1839"/>
    </row>
    <row r="55" spans="1:18" s="1842" customFormat="1" ht="13.8" thickBot="1">
      <c r="A55" s="1333" t="s">
        <v>1072</v>
      </c>
      <c r="B55" s="1827" t="s">
        <v>1408</v>
      </c>
      <c r="C55" s="1334"/>
      <c r="D55" s="1824"/>
      <c r="E55" s="1832"/>
      <c r="F55" s="1906"/>
      <c r="I55" s="1909" t="s">
        <v>1546</v>
      </c>
      <c r="J55" s="1910" t="e">
        <f ca="1">ROUND(IF(J47="钢混",J57/J50,1-(1-2%)*(J50-J57)/J50),3)</f>
        <v>#DIV/0!</v>
      </c>
      <c r="K55" s="1911" t="s">
        <v>1547</v>
      </c>
      <c r="L55" s="1912"/>
      <c r="O55" s="1877" t="s">
        <v>1517</v>
      </c>
      <c r="P55" s="1878" t="s">
        <v>1518</v>
      </c>
      <c r="Q55" s="1879" t="s">
        <v>1519</v>
      </c>
      <c r="R55" s="1879" t="s">
        <v>1520</v>
      </c>
    </row>
    <row r="56" spans="1:18" s="1842" customFormat="1" ht="36" customHeight="1" thickTop="1" thickBot="1">
      <c r="A56" s="1176">
        <v>2</v>
      </c>
      <c r="B56" s="1177" t="s">
        <v>1409</v>
      </c>
      <c r="C56" s="276">
        <f ca="1">C13</f>
        <v>0</v>
      </c>
      <c r="D56" s="1913"/>
      <c r="E56" s="1914"/>
      <c r="F56" s="1906"/>
      <c r="I56" s="1915" t="s">
        <v>1549</v>
      </c>
      <c r="J56" s="1916"/>
      <c r="K56" s="1887" t="s">
        <v>1550</v>
      </c>
      <c r="L56" s="1890">
        <f ca="1">IF(L48&lt;J51,"——",L48-J51)</f>
        <v>0</v>
      </c>
      <c r="O56" s="1884" t="s">
        <v>1037</v>
      </c>
      <c r="P56" s="1885" t="s">
        <v>1523</v>
      </c>
      <c r="Q56" s="1886" t="e">
        <f ca="1">C40+J29</f>
        <v>#DIV/0!</v>
      </c>
      <c r="R56" s="1886" t="s">
        <v>1524</v>
      </c>
    </row>
    <row r="57" spans="1:18" s="1842" customFormat="1" ht="24.6" thickBot="1">
      <c r="A57" s="1917"/>
      <c r="B57" s="1169" t="s">
        <v>1473</v>
      </c>
      <c r="C57" s="282">
        <f ca="1">C29</f>
        <v>0</v>
      </c>
      <c r="D57" s="1918"/>
      <c r="E57" s="1919"/>
      <c r="F57" s="1920"/>
      <c r="I57" s="1921" t="s">
        <v>1551</v>
      </c>
      <c r="J57" s="1922">
        <f ca="1">IF(OR(M47="住宅",J51&lt;L48,J56="是"),"——",J51-L48)</f>
        <v>0</v>
      </c>
      <c r="K57" s="1887" t="s">
        <v>1600</v>
      </c>
      <c r="L57" s="1890">
        <f ca="1">IF(L48&lt;J51,"——",IF(L55="比较法",L49,IF(L55="基准地价",L50,L51)))</f>
        <v>0</v>
      </c>
      <c r="O57" s="1884" t="s">
        <v>1038</v>
      </c>
      <c r="P57" s="1885" t="s">
        <v>1601</v>
      </c>
      <c r="Q57" s="1886" t="e">
        <f ca="1">L60</f>
        <v>#DIV/0!</v>
      </c>
      <c r="R57" s="1886" t="s">
        <v>1602</v>
      </c>
    </row>
    <row r="58" spans="1:18" s="1842" customFormat="1" ht="24.6" thickBot="1">
      <c r="A58" s="360" t="s">
        <v>1027</v>
      </c>
      <c r="B58" s="1177" t="s">
        <v>1419</v>
      </c>
      <c r="C58" s="361">
        <f ca="1">ROUND(C59+C64+C65+C66,0)</f>
        <v>0</v>
      </c>
      <c r="D58" s="1179" t="s">
        <v>1420</v>
      </c>
      <c r="E58" s="1180"/>
      <c r="F58" s="1181"/>
      <c r="I58" s="1921" t="s">
        <v>1555</v>
      </c>
      <c r="J58" s="1923" t="e">
        <f ca="1">IF(J55&lt;0.4,0.4,J55)</f>
        <v>#DIV/0!</v>
      </c>
      <c r="K58" s="1900" t="s">
        <v>1603</v>
      </c>
      <c r="L58" s="1890" t="e">
        <f ca="1">ROUND(POWER(1+L52,L47-L48)*(POWER(1+L52,L48)-1)/(POWER(1+L52,L47)-1),4)</f>
        <v>#DIV/0!</v>
      </c>
      <c r="O58" s="1894" t="s">
        <v>1039</v>
      </c>
      <c r="P58" s="1885" t="s">
        <v>1557</v>
      </c>
      <c r="Q58" s="1886">
        <f>IF(L55="比较法",L49,IF(L55="基准地价",L50,0))</f>
        <v>0</v>
      </c>
      <c r="R58" s="1886" t="s">
        <v>1524</v>
      </c>
    </row>
    <row r="59" spans="1:18" s="1842" customFormat="1" ht="24.6" thickBot="1">
      <c r="A59" s="1201" t="s">
        <v>1032</v>
      </c>
      <c r="B59" s="1169" t="s">
        <v>1424</v>
      </c>
      <c r="C59" s="24">
        <f ca="1">ROUND(IF(项目基本情况!B11="自然人",C48*F59,C60+C61+C62),0)</f>
        <v>0</v>
      </c>
      <c r="D59" s="1182" t="s">
        <v>1425</v>
      </c>
      <c r="E59" s="1183" t="s">
        <v>1426</v>
      </c>
      <c r="F59" s="368" t="str">
        <f ca="1">IF(项目基本情况!B11="企业","",IF(INDIRECT("'数据-取费表'!c"&amp;$G$1)="住宅",5%,IF(F49*F50*F51/12/(1+'数据-取费表'!C42)&gt;20000,12%,7%)))</f>
        <v/>
      </c>
      <c r="I59" s="1921" t="s">
        <v>1558</v>
      </c>
      <c r="J59" s="1922" t="e">
        <f ca="1">IF(OR(M47="住宅",J51&lt;L48,J56="是"),"——",ROUND(C29*J58,0))</f>
        <v>#DIV/0!</v>
      </c>
      <c r="K59" s="188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1559</v>
      </c>
      <c r="Q59" s="1897">
        <f>L52</f>
        <v>0</v>
      </c>
      <c r="R59" s="1886"/>
    </row>
    <row r="60" spans="1:18" s="1842" customFormat="1" ht="16.2" thickBot="1">
      <c r="A60" s="1201" t="s">
        <v>1031</v>
      </c>
      <c r="B60" s="1169" t="s">
        <v>1428</v>
      </c>
      <c r="C60" s="24">
        <f ca="1">IF(项目基本情况!B11="自然人","——",ROUND(C48*F60/(1+'数据-取费表'!C42),0))</f>
        <v>0</v>
      </c>
      <c r="D60" s="1183" t="s">
        <v>1429</v>
      </c>
      <c r="E60" s="1169" t="s">
        <v>1417</v>
      </c>
      <c r="F60" s="377">
        <f t="shared" ref="F60:F66" si="0">F32</f>
        <v>5.6000000000000001E-2</v>
      </c>
      <c r="I60" s="1924" t="s">
        <v>1560</v>
      </c>
      <c r="J60" s="1925" t="e">
        <f ca="1">IF(OR(M47="住宅",J51&lt;L48,J56="是"),"0",ROUND(J59/(1+J52)^J53,0))</f>
        <v>#DIV/0!</v>
      </c>
      <c r="K60" s="1926" t="s">
        <v>1561</v>
      </c>
      <c r="L60" s="1925" t="e">
        <f ca="1">IF(OR(M47="住宅",L48&lt;J51),0,ROUND(L57*(L58/L59-1),0))</f>
        <v>#DIV/0!</v>
      </c>
      <c r="O60" s="1894" t="s">
        <v>1041</v>
      </c>
      <c r="P60" s="1885" t="s">
        <v>1562</v>
      </c>
      <c r="Q60" s="1886" t="e">
        <f ca="1">L58</f>
        <v>#DIV/0!</v>
      </c>
      <c r="R60" s="1886" t="s">
        <v>1563</v>
      </c>
    </row>
    <row r="61" spans="1:18" s="1842" customFormat="1" ht="13.8" thickBot="1">
      <c r="A61" s="1201" t="s">
        <v>1487</v>
      </c>
      <c r="B61" s="1169" t="s">
        <v>1488</v>
      </c>
      <c r="C61" s="24">
        <f ca="1">IF(项目基本情况!B11="自然人","——",IF(D61="按租金收入计税",ROUND(C48*F61,0),IF(D61="按房产原值计税",ROUND(C57*F61*0.7,0),INDIRECT("'数据-取费表'!Aj"&amp;$G$1))))</f>
        <v>0</v>
      </c>
      <c r="D61" s="1828" t="s">
        <v>1433</v>
      </c>
      <c r="E61" s="1169" t="s">
        <v>1489</v>
      </c>
      <c r="F61" s="367">
        <f t="shared" si="0"/>
        <v>1.2E-2</v>
      </c>
      <c r="I61" s="1927"/>
      <c r="J61" s="1927"/>
      <c r="K61" s="1927"/>
      <c r="L61" s="1927"/>
      <c r="O61" s="1894" t="s">
        <v>1042</v>
      </c>
      <c r="P61" s="1885" t="str">
        <f>K59</f>
        <v>建设期及建筑物耐用年限下的土地年期修正系数Kn</v>
      </c>
      <c r="Q61" s="1886" t="e">
        <f ca="1">L59</f>
        <v>#DIV/0!</v>
      </c>
      <c r="R61" s="1886" t="s">
        <v>1564</v>
      </c>
    </row>
    <row r="62" spans="1:18" s="1842" customFormat="1" ht="13.8" thickBot="1">
      <c r="A62" s="1201" t="s">
        <v>1490</v>
      </c>
      <c r="B62" s="1168" t="s">
        <v>1491</v>
      </c>
      <c r="C62" s="25">
        <f ca="1">IF(项目基本情况!B11="自然人","——",ROUND(F62*F63,0))</f>
        <v>0</v>
      </c>
      <c r="D62" s="1184" t="s">
        <v>1492</v>
      </c>
      <c r="E62" s="1169" t="s">
        <v>1493</v>
      </c>
      <c r="F62" s="371">
        <f t="shared" si="0"/>
        <v>9.6</v>
      </c>
      <c r="I62" s="1928" t="s">
        <v>1565</v>
      </c>
      <c r="J62" s="1929" t="s">
        <v>1566</v>
      </c>
      <c r="K62" s="1929" t="s">
        <v>1567</v>
      </c>
      <c r="L62" s="1929" t="s">
        <v>1568</v>
      </c>
      <c r="M62" s="1930" t="s">
        <v>1569</v>
      </c>
      <c r="O62" s="1884" t="s">
        <v>1043</v>
      </c>
      <c r="P62" s="1885" t="s">
        <v>1570</v>
      </c>
      <c r="Q62" s="1886" t="e">
        <f ca="1">Q56+Q57</f>
        <v>#DIV/0!</v>
      </c>
      <c r="R62" s="1886" t="s">
        <v>1044</v>
      </c>
    </row>
    <row r="63" spans="1:18" s="1842" customFormat="1" ht="13.8" thickBot="1">
      <c r="A63" s="372"/>
      <c r="B63" s="1175"/>
      <c r="C63" s="29"/>
      <c r="D63" s="1185"/>
      <c r="E63" s="1169" t="s">
        <v>1494</v>
      </c>
      <c r="F63" s="348">
        <f t="shared" ca="1" si="0"/>
        <v>0</v>
      </c>
      <c r="I63" s="1928" t="s">
        <v>1571</v>
      </c>
      <c r="J63" s="1929">
        <v>70</v>
      </c>
      <c r="K63" s="1929">
        <v>50</v>
      </c>
      <c r="L63" s="1929">
        <v>80</v>
      </c>
      <c r="M63" s="1931">
        <v>0.02</v>
      </c>
      <c r="O63" s="1869" t="s">
        <v>1572</v>
      </c>
      <c r="P63" s="1839"/>
      <c r="Q63" s="1839"/>
      <c r="R63" s="1839"/>
    </row>
    <row r="64" spans="1:18" s="1842" customFormat="1" ht="13.8" thickBot="1">
      <c r="A64" s="1201" t="s">
        <v>1495</v>
      </c>
      <c r="B64" s="1169" t="s">
        <v>1496</v>
      </c>
      <c r="C64" s="24">
        <f ca="1">ROUND(C57*F64,0)</f>
        <v>0</v>
      </c>
      <c r="D64" s="1183" t="s">
        <v>1497</v>
      </c>
      <c r="E64" s="1169" t="s">
        <v>1489</v>
      </c>
      <c r="F64" s="374">
        <f t="shared" ca="1" si="0"/>
        <v>0</v>
      </c>
      <c r="I64" s="1928" t="s">
        <v>1573</v>
      </c>
      <c r="J64" s="1929">
        <v>50</v>
      </c>
      <c r="K64" s="1929">
        <v>35</v>
      </c>
      <c r="L64" s="1929">
        <v>60</v>
      </c>
      <c r="M64" s="1930">
        <v>0</v>
      </c>
      <c r="O64" s="1877" t="s">
        <v>1517</v>
      </c>
      <c r="P64" s="1878" t="s">
        <v>1518</v>
      </c>
      <c r="Q64" s="1879" t="s">
        <v>1519</v>
      </c>
      <c r="R64" s="1879" t="s">
        <v>1520</v>
      </c>
    </row>
    <row r="65" spans="1:18" s="1842" customFormat="1" ht="13.8" thickBot="1">
      <c r="A65" s="1201" t="s">
        <v>1498</v>
      </c>
      <c r="B65" s="1169" t="s">
        <v>1448</v>
      </c>
      <c r="C65" s="24">
        <f ca="1">ROUND(C56*F65,0)</f>
        <v>0</v>
      </c>
      <c r="D65" s="1183" t="s">
        <v>1449</v>
      </c>
      <c r="E65" s="1169" t="s">
        <v>1450</v>
      </c>
      <c r="F65" s="376">
        <f t="shared" ca="1" si="0"/>
        <v>0</v>
      </c>
      <c r="I65" s="1928" t="s">
        <v>1574</v>
      </c>
      <c r="J65" s="1929">
        <v>40</v>
      </c>
      <c r="K65" s="1929">
        <v>30</v>
      </c>
      <c r="L65" s="1929">
        <v>50</v>
      </c>
      <c r="M65" s="1931">
        <v>0.02</v>
      </c>
      <c r="O65" s="1884" t="s">
        <v>1037</v>
      </c>
      <c r="P65" s="1885" t="s">
        <v>1575</v>
      </c>
      <c r="Q65" s="1886" t="e">
        <f ca="1">C40+J29</f>
        <v>#DIV/0!</v>
      </c>
      <c r="R65" s="1886" t="s">
        <v>1524</v>
      </c>
    </row>
    <row r="66" spans="1:18" s="1842" customFormat="1" ht="16.2" thickBot="1">
      <c r="A66" s="1201" t="s">
        <v>1499</v>
      </c>
      <c r="B66" s="1169" t="s">
        <v>1434</v>
      </c>
      <c r="C66" s="24">
        <f ca="1">ROUND(C48*F66,0)</f>
        <v>0</v>
      </c>
      <c r="D66" s="1183" t="s">
        <v>1500</v>
      </c>
      <c r="E66" s="1169" t="s">
        <v>1417</v>
      </c>
      <c r="F66" s="357">
        <f t="shared" ca="1" si="0"/>
        <v>0</v>
      </c>
      <c r="O66" s="1884" t="s">
        <v>1038</v>
      </c>
      <c r="P66" s="1885" t="s">
        <v>1553</v>
      </c>
      <c r="Q66" s="1886" t="e">
        <f ca="1">L60</f>
        <v>#DIV/0!</v>
      </c>
      <c r="R66" s="1886" t="s">
        <v>1576</v>
      </c>
    </row>
    <row r="67" spans="1:18" s="1842" customFormat="1" ht="24.6" thickBot="1">
      <c r="A67" s="1176" t="s">
        <v>1028</v>
      </c>
      <c r="B67" s="1186" t="s">
        <v>1458</v>
      </c>
      <c r="C67" s="361">
        <f ca="1">C48-C58</f>
        <v>0</v>
      </c>
      <c r="D67" s="1182" t="s">
        <v>1459</v>
      </c>
      <c r="E67" s="1187"/>
      <c r="F67" s="1188"/>
      <c r="O67" s="1894" t="s">
        <v>1039</v>
      </c>
      <c r="P67" s="1885" t="s">
        <v>1557</v>
      </c>
      <c r="Q67" s="1932">
        <f ca="1">L51</f>
        <v>0</v>
      </c>
      <c r="R67" s="1886" t="s">
        <v>1577</v>
      </c>
    </row>
    <row r="68" spans="1:18" s="1842" customFormat="1" ht="16.2" thickBot="1">
      <c r="A68" s="1166" t="s">
        <v>1029</v>
      </c>
      <c r="B68" s="1167" t="s">
        <v>1480</v>
      </c>
      <c r="C68" s="346" t="e">
        <f ca="1">ROUND(C67*(1-((1+F70)/(1+F68))^F69)/(F68-F70),0)</f>
        <v>#DIV/0!</v>
      </c>
      <c r="D68" s="1184" t="s">
        <v>1464</v>
      </c>
      <c r="E68" s="1169" t="s">
        <v>1465</v>
      </c>
      <c r="F68" s="357">
        <f ca="1">F40</f>
        <v>0</v>
      </c>
      <c r="O68" s="1894" t="s">
        <v>1040</v>
      </c>
      <c r="P68" s="1933" t="s">
        <v>1578</v>
      </c>
      <c r="Q68" s="1886">
        <f ca="1">ROUND(Q69-Q70*Q71,0)</f>
        <v>0</v>
      </c>
      <c r="R68" s="1886" t="s">
        <v>1048</v>
      </c>
    </row>
    <row r="69" spans="1:18" s="1842" customFormat="1" ht="13.8" thickBot="1">
      <c r="A69" s="1170"/>
      <c r="B69" s="1171"/>
      <c r="C69" s="351"/>
      <c r="D69" s="1189" t="s">
        <v>1468</v>
      </c>
      <c r="E69" s="1169" t="s">
        <v>1469</v>
      </c>
      <c r="F69" s="379">
        <f ca="1">F41</f>
        <v>0</v>
      </c>
      <c r="O69" s="1894" t="s">
        <v>1045</v>
      </c>
      <c r="P69" s="1933" t="s">
        <v>1579</v>
      </c>
      <c r="Q69" s="1886">
        <f ca="1">C39</f>
        <v>0</v>
      </c>
      <c r="R69" s="1886" t="s">
        <v>1524</v>
      </c>
    </row>
    <row r="70" spans="1:18" s="1842" customFormat="1" ht="13.8" thickBot="1">
      <c r="A70" s="1173"/>
      <c r="B70" s="1174"/>
      <c r="C70" s="355"/>
      <c r="D70" s="1185"/>
      <c r="E70" s="1169" t="s">
        <v>1472</v>
      </c>
      <c r="F70" s="1275">
        <f ca="1">F42</f>
        <v>0</v>
      </c>
      <c r="O70" s="1894" t="s">
        <v>1046</v>
      </c>
      <c r="P70" s="1933" t="s">
        <v>1580</v>
      </c>
      <c r="Q70" s="1886">
        <f ca="1">C13</f>
        <v>0</v>
      </c>
      <c r="R70" s="1886" t="s">
        <v>1524</v>
      </c>
    </row>
    <row r="71" spans="1:18" s="1842" customFormat="1" ht="13.8" thickBot="1">
      <c r="A71" s="1190" t="s">
        <v>1030</v>
      </c>
      <c r="B71" s="1191" t="s">
        <v>1482</v>
      </c>
      <c r="C71" s="382" t="e">
        <f ca="1">ROUND(C68/F71,0)</f>
        <v>#DIV/0!</v>
      </c>
      <c r="D71" s="1192" t="s">
        <v>1483</v>
      </c>
      <c r="E71" s="1193" t="s">
        <v>1484</v>
      </c>
      <c r="F71" s="385">
        <f ca="1">F43</f>
        <v>0</v>
      </c>
      <c r="O71" s="1894" t="s">
        <v>1047</v>
      </c>
      <c r="P71" s="1933" t="s">
        <v>1581</v>
      </c>
      <c r="Q71" s="1897">
        <f ca="1">C76</f>
        <v>0</v>
      </c>
      <c r="R71" s="1886"/>
    </row>
    <row r="72" spans="1:18" s="1842" customFormat="1" ht="13.8" thickBot="1">
      <c r="B72" s="796"/>
      <c r="C72" s="796"/>
      <c r="O72" s="1894" t="s">
        <v>1041</v>
      </c>
      <c r="P72" s="1885" t="s">
        <v>1559</v>
      </c>
      <c r="Q72" s="1897">
        <f>L52</f>
        <v>0</v>
      </c>
      <c r="R72" s="1886"/>
    </row>
    <row r="73" spans="1:18" ht="16.2" thickBot="1">
      <c r="A73" s="1842"/>
      <c r="B73" s="796"/>
      <c r="C73" s="796"/>
      <c r="D73" s="1842"/>
      <c r="E73" s="1842"/>
      <c r="F73" s="1842"/>
      <c r="O73" s="1894" t="s">
        <v>1042</v>
      </c>
      <c r="P73" s="1885" t="s">
        <v>1562</v>
      </c>
      <c r="Q73" s="1886" t="e">
        <f ca="1">L58</f>
        <v>#DIV/0!</v>
      </c>
      <c r="R73" s="1886" t="s">
        <v>1563</v>
      </c>
    </row>
    <row r="74" spans="1:18" ht="13.8" thickBot="1">
      <c r="A74" s="1842"/>
      <c r="B74" s="317" t="s">
        <v>1582</v>
      </c>
      <c r="C74" s="1935"/>
      <c r="D74" s="1842"/>
      <c r="E74" s="1842"/>
      <c r="F74" s="1842"/>
      <c r="O74" s="1894" t="s">
        <v>1049</v>
      </c>
      <c r="P74" s="1885" t="str">
        <f>K59</f>
        <v>建设期及建筑物耐用年限下的土地年期修正系数Kn</v>
      </c>
      <c r="Q74" s="1886" t="e">
        <f ca="1">L59</f>
        <v>#DIV/0!</v>
      </c>
      <c r="R74" s="1886" t="s">
        <v>1564</v>
      </c>
    </row>
    <row r="75" spans="1:18" ht="13.8" thickBot="1">
      <c r="A75" s="1842"/>
      <c r="B75" s="386" t="s">
        <v>1501</v>
      </c>
      <c r="C75" s="387">
        <f ca="1">ROUND(C13*C76,0)</f>
        <v>0</v>
      </c>
      <c r="D75" s="1842"/>
      <c r="E75" s="1842"/>
      <c r="F75" s="1842"/>
      <c r="K75" s="1868"/>
      <c r="L75" s="1842"/>
      <c r="O75" s="1884" t="s">
        <v>1043</v>
      </c>
      <c r="P75" s="1885" t="s">
        <v>1544</v>
      </c>
      <c r="Q75" s="1886" t="e">
        <f ca="1">Q65+Q66</f>
        <v>#DIV/0!</v>
      </c>
      <c r="R75" s="1886" t="s">
        <v>1044</v>
      </c>
    </row>
    <row r="76" spans="1:18">
      <c r="B76" s="388" t="s">
        <v>1502</v>
      </c>
      <c r="C76" s="389">
        <f ca="1">INDIRECT("'数据-取费表'!j"&amp;$G$1)</f>
        <v>0</v>
      </c>
      <c r="I76" s="1842"/>
      <c r="J76" s="1842"/>
      <c r="K76" s="1868"/>
      <c r="L76" s="1842"/>
    </row>
    <row r="77" spans="1:18">
      <c r="B77" s="390" t="s">
        <v>1503</v>
      </c>
      <c r="C77" s="391"/>
      <c r="I77" s="1842"/>
      <c r="J77" s="1842"/>
      <c r="K77" s="1868"/>
      <c r="L77" s="1842"/>
    </row>
    <row r="78" spans="1:18">
      <c r="B78" s="314" t="s">
        <v>1504</v>
      </c>
      <c r="C78" s="392"/>
    </row>
    <row r="79" spans="1:18">
      <c r="B79" s="386" t="s">
        <v>1505</v>
      </c>
      <c r="C79" s="318" t="e">
        <f ca="1">1-C80</f>
        <v>#DIV/0!</v>
      </c>
    </row>
    <row r="80" spans="1:18">
      <c r="B80" s="386" t="s">
        <v>1506</v>
      </c>
      <c r="C80" s="318" t="e">
        <f ca="1">ROUND(C75/C39,3)</f>
        <v>#DIV/0!</v>
      </c>
    </row>
    <row r="81" spans="2:3">
      <c r="B81" s="314" t="s">
        <v>1507</v>
      </c>
      <c r="C81" s="282"/>
    </row>
    <row r="82" spans="2:3">
      <c r="B82" s="317" t="s">
        <v>1508</v>
      </c>
      <c r="C82" s="319" t="e">
        <f ca="1">1-C83</f>
        <v>#DIV/0!</v>
      </c>
    </row>
    <row r="83" spans="2:3">
      <c r="B83" s="317" t="s">
        <v>1509</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ColWidth="9" defaultRowHeight="13.8"/>
  <cols>
    <col min="1" max="1" width="23.6640625" style="1944" customWidth="1"/>
    <col min="2" max="2" width="12" style="1944" customWidth="1"/>
    <col min="3" max="3" width="9" style="1944"/>
    <col min="4" max="4" width="14.109375" style="1944" customWidth="1"/>
    <col min="5" max="5" width="9" style="1944"/>
    <col min="6" max="6" width="12.88671875" style="1944" customWidth="1"/>
    <col min="7" max="16384" width="9" style="1944"/>
  </cols>
  <sheetData>
    <row r="1" spans="1:6" ht="21.6">
      <c r="A1" s="2560" t="s">
        <v>2522</v>
      </c>
      <c r="B1" s="2561"/>
      <c r="C1" s="2561"/>
      <c r="D1" s="2561"/>
      <c r="E1" s="2562"/>
    </row>
    <row r="2" spans="1:6" ht="15.6">
      <c r="A2" s="2563" t="s">
        <v>2323</v>
      </c>
      <c r="B2" s="2564">
        <f ca="1">SUMIF(B6:B13,"&lt;&gt;#ref!",B6:B13)</f>
        <v>66486</v>
      </c>
      <c r="C2" s="2565" t="s">
        <v>2515</v>
      </c>
      <c r="D2" s="2566" t="s">
        <v>2516</v>
      </c>
      <c r="E2" s="2567">
        <f>SUM(E6:E13)</f>
        <v>76522.880000000005</v>
      </c>
    </row>
    <row r="3" spans="1:6" ht="15.6">
      <c r="A3" s="2563" t="s">
        <v>1390</v>
      </c>
      <c r="B3" s="2564">
        <f ca="1">ROUND(B2*10000/E2,0)</f>
        <v>8688</v>
      </c>
      <c r="C3" s="2565" t="s">
        <v>2523</v>
      </c>
      <c r="D3" s="2568"/>
      <c r="E3" s="2569"/>
    </row>
    <row r="4" spans="1:6" ht="15.6">
      <c r="A4" s="2570"/>
      <c r="B4" s="2568"/>
      <c r="C4" s="2568"/>
      <c r="D4" s="2568"/>
      <c r="E4" s="2569"/>
    </row>
    <row r="5" spans="1:6" ht="14.4">
      <c r="A5" s="2571" t="s">
        <v>2517</v>
      </c>
      <c r="B5" s="3160" t="s">
        <v>2518</v>
      </c>
      <c r="C5" s="3160"/>
      <c r="D5" s="2572"/>
      <c r="E5" s="2573" t="s">
        <v>2519</v>
      </c>
      <c r="F5" s="2574" t="s">
        <v>2520</v>
      </c>
    </row>
    <row r="6" spans="1:6" ht="14.4">
      <c r="A6" s="2575" t="str">
        <f>'数据-取费表'!AN6</f>
        <v>收益法</v>
      </c>
      <c r="B6" s="2574">
        <f ca="1">IF(F6="是",'数据-取费表'!AO6,0)</f>
        <v>66486</v>
      </c>
      <c r="C6" s="2565" t="s">
        <v>2515</v>
      </c>
      <c r="D6" s="2568"/>
      <c r="E6" s="2576">
        <f>IF(OR(A6=0,F6="否"),0,'数据-取费表'!K6+'数据-取费表'!S6)</f>
        <v>76522.880000000005</v>
      </c>
      <c r="F6" s="2577" t="s">
        <v>2521</v>
      </c>
    </row>
    <row r="7" spans="1:6" ht="14.4">
      <c r="A7" s="2575">
        <f>'数据-取费表'!AN7</f>
        <v>0</v>
      </c>
      <c r="B7" s="2574" t="e">
        <f ca="1">IF(F7="是",'数据-取费表'!AO7,0)</f>
        <v>#REF!</v>
      </c>
      <c r="C7" s="2565" t="s">
        <v>2515</v>
      </c>
      <c r="D7" s="2568"/>
      <c r="E7" s="2576">
        <f>IF(OR(A7=0,F7="否"),0,'数据-取费表'!K7+'数据-取费表'!S7)</f>
        <v>0</v>
      </c>
      <c r="F7" s="2577" t="s">
        <v>2521</v>
      </c>
    </row>
    <row r="8" spans="1:6" ht="14.4">
      <c r="A8" s="2575">
        <f>'数据-取费表'!AN8</f>
        <v>0</v>
      </c>
      <c r="B8" s="2574" t="e">
        <f ca="1">IF(F8="是",'数据-取费表'!AO8,0)</f>
        <v>#REF!</v>
      </c>
      <c r="C8" s="2565" t="s">
        <v>2515</v>
      </c>
      <c r="D8" s="2568"/>
      <c r="E8" s="2576">
        <f>IF(OR(A8=0,F8="否"),0,'数据-取费表'!K8+'数据-取费表'!S8)</f>
        <v>0</v>
      </c>
      <c r="F8" s="2577" t="s">
        <v>2521</v>
      </c>
    </row>
    <row r="9" spans="1:6" ht="14.4">
      <c r="A9" s="2575">
        <f>'数据-取费表'!AN9</f>
        <v>0</v>
      </c>
      <c r="B9" s="2574" t="e">
        <f ca="1">IF(F9="是",'数据-取费表'!AO9,0)</f>
        <v>#REF!</v>
      </c>
      <c r="C9" s="2565" t="s">
        <v>2515</v>
      </c>
      <c r="D9" s="2568"/>
      <c r="E9" s="2576">
        <f>IF(OR(A9=0,F9="否"),0,'数据-取费表'!K9+'数据-取费表'!S9)</f>
        <v>0</v>
      </c>
      <c r="F9" s="2577" t="s">
        <v>2521</v>
      </c>
    </row>
    <row r="10" spans="1:6" ht="14.4">
      <c r="A10" s="2575">
        <f>'数据-取费表'!AN10</f>
        <v>0</v>
      </c>
      <c r="B10" s="2574" t="e">
        <f ca="1">IF(F10="是",'数据-取费表'!AO10,0)</f>
        <v>#REF!</v>
      </c>
      <c r="C10" s="2565" t="s">
        <v>2515</v>
      </c>
      <c r="D10" s="2568"/>
      <c r="E10" s="2576">
        <f>IF(OR(A10=0,F10="否"),0,'数据-取费表'!K10+'数据-取费表'!S10)</f>
        <v>0</v>
      </c>
      <c r="F10" s="2577" t="s">
        <v>2521</v>
      </c>
    </row>
    <row r="11" spans="1:6" ht="14.4">
      <c r="A11" s="2575">
        <f>'数据-取费表'!AN11</f>
        <v>0</v>
      </c>
      <c r="B11" s="2574" t="e">
        <f ca="1">IF(F11="是",'数据-取费表'!AO11,0)</f>
        <v>#REF!</v>
      </c>
      <c r="C11" s="2565" t="s">
        <v>2515</v>
      </c>
      <c r="D11" s="2568"/>
      <c r="E11" s="2576">
        <f>IF(OR(A11=0,F11="否"),0,'数据-取费表'!K11+'数据-取费表'!S11)</f>
        <v>0</v>
      </c>
      <c r="F11" s="2577" t="s">
        <v>2521</v>
      </c>
    </row>
    <row r="12" spans="1:6" ht="14.4">
      <c r="A12" s="2575">
        <f>'数据-取费表'!AN12</f>
        <v>0</v>
      </c>
      <c r="B12" s="2574" t="e">
        <f ca="1">IF(F12="是",'数据-取费表'!AO12,0)</f>
        <v>#REF!</v>
      </c>
      <c r="C12" s="2565" t="s">
        <v>2515</v>
      </c>
      <c r="D12" s="2568"/>
      <c r="E12" s="2576">
        <f>IF(OR(A12=0,F12="否"),0,'数据-取费表'!K12+'数据-取费表'!S12)</f>
        <v>0</v>
      </c>
      <c r="F12" s="2577" t="s">
        <v>2521</v>
      </c>
    </row>
    <row r="13" spans="1:6" ht="15" thickBot="1">
      <c r="A13" s="2578">
        <f>'数据-取费表'!AN13</f>
        <v>0</v>
      </c>
      <c r="B13" s="2574" t="e">
        <f ca="1">IF(F13="是",'数据-取费表'!AO13,0)</f>
        <v>#REF!</v>
      </c>
      <c r="C13" s="2579" t="s">
        <v>2515</v>
      </c>
      <c r="D13" s="2580"/>
      <c r="E13" s="2576">
        <f>IF(OR(A13=0,F13="否"),0,'数据-取费表'!K13+'数据-取费表'!S13)</f>
        <v>0</v>
      </c>
      <c r="F13" s="2577"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4.4"/>
  <cols>
    <col min="1" max="1" width="10.44140625" customWidth="1"/>
    <col min="2" max="2" width="12.88671875" customWidth="1"/>
    <col min="3" max="3" width="8.77734375" customWidth="1"/>
  </cols>
  <sheetData>
    <row r="1" spans="1:9" ht="15.6">
      <c r="A1" s="3161" t="s">
        <v>1073</v>
      </c>
      <c r="B1" s="3162"/>
      <c r="C1" s="3163"/>
      <c r="D1" s="3164">
        <f>SUM(I10,I15,I20,I21,I23)</f>
        <v>0</v>
      </c>
      <c r="E1" s="3164"/>
      <c r="F1" s="3164"/>
      <c r="G1" s="3164"/>
      <c r="H1" s="3164"/>
      <c r="I1" s="3165"/>
    </row>
    <row r="2" spans="1:9">
      <c r="A2" s="3166" t="s">
        <v>1074</v>
      </c>
      <c r="B2" s="3167" t="s">
        <v>1075</v>
      </c>
      <c r="C2" s="3167"/>
      <c r="D2" s="1301" t="s">
        <v>1076</v>
      </c>
      <c r="E2" s="1301" t="s">
        <v>1077</v>
      </c>
      <c r="F2" s="1301" t="s">
        <v>1078</v>
      </c>
      <c r="G2" s="1301" t="s">
        <v>1079</v>
      </c>
      <c r="H2" s="1301" t="s">
        <v>1080</v>
      </c>
      <c r="I2" s="1302" t="s">
        <v>1081</v>
      </c>
    </row>
    <row r="3" spans="1:9">
      <c r="A3" s="3166"/>
      <c r="B3" s="3167" t="s">
        <v>1082</v>
      </c>
      <c r="C3" s="3167"/>
      <c r="D3" s="1303"/>
      <c r="E3" s="1301"/>
      <c r="F3" s="1304"/>
      <c r="G3" s="1304"/>
      <c r="H3" s="1305"/>
      <c r="I3" s="1306">
        <f>ROUND(D3*E3*F3*G3*H3/10000,0)</f>
        <v>0</v>
      </c>
    </row>
    <row r="4" spans="1:9">
      <c r="A4" s="3166"/>
      <c r="B4" s="3167" t="s">
        <v>1083</v>
      </c>
      <c r="C4" s="3167"/>
      <c r="D4" s="1303"/>
      <c r="E4" s="1301"/>
      <c r="F4" s="1304"/>
      <c r="G4" s="1304"/>
      <c r="H4" s="1305"/>
      <c r="I4" s="1306">
        <f t="shared" ref="I4:I9" si="0">ROUND(D4*E4*F4*G4*H4/10000,0)</f>
        <v>0</v>
      </c>
    </row>
    <row r="5" spans="1:9">
      <c r="A5" s="3166"/>
      <c r="B5" s="3167" t="s">
        <v>1084</v>
      </c>
      <c r="C5" s="3167"/>
      <c r="D5" s="1303"/>
      <c r="E5" s="1301"/>
      <c r="F5" s="1304"/>
      <c r="G5" s="1304"/>
      <c r="H5" s="1305"/>
      <c r="I5" s="1306">
        <f t="shared" si="0"/>
        <v>0</v>
      </c>
    </row>
    <row r="6" spans="1:9">
      <c r="A6" s="3166"/>
      <c r="B6" s="3167" t="s">
        <v>1085</v>
      </c>
      <c r="C6" s="3167"/>
      <c r="D6" s="1303"/>
      <c r="E6" s="1301"/>
      <c r="F6" s="1304"/>
      <c r="G6" s="1304"/>
      <c r="H6" s="1305"/>
      <c r="I6" s="1306">
        <f t="shared" si="0"/>
        <v>0</v>
      </c>
    </row>
    <row r="7" spans="1:9">
      <c r="A7" s="3166"/>
      <c r="B7" s="3167" t="s">
        <v>1086</v>
      </c>
      <c r="C7" s="3167"/>
      <c r="D7" s="1303"/>
      <c r="E7" s="1301"/>
      <c r="F7" s="1304"/>
      <c r="G7" s="1304"/>
      <c r="H7" s="1305"/>
      <c r="I7" s="1306">
        <f t="shared" si="0"/>
        <v>0</v>
      </c>
    </row>
    <row r="8" spans="1:9">
      <c r="A8" s="3166"/>
      <c r="B8" s="3167" t="s">
        <v>1087</v>
      </c>
      <c r="C8" s="3167"/>
      <c r="D8" s="1303"/>
      <c r="E8" s="1301"/>
      <c r="F8" s="1304"/>
      <c r="G8" s="1304"/>
      <c r="H8" s="1305"/>
      <c r="I8" s="1306">
        <f t="shared" si="0"/>
        <v>0</v>
      </c>
    </row>
    <row r="9" spans="1:9">
      <c r="A9" s="3166"/>
      <c r="B9" s="3167" t="s">
        <v>1088</v>
      </c>
      <c r="C9" s="3167"/>
      <c r="D9" s="1303"/>
      <c r="E9" s="1301"/>
      <c r="F9" s="1304"/>
      <c r="G9" s="1304"/>
      <c r="H9" s="1305"/>
      <c r="I9" s="1306">
        <f t="shared" si="0"/>
        <v>0</v>
      </c>
    </row>
    <row r="10" spans="1:9">
      <c r="A10" s="3166"/>
      <c r="B10" s="3168" t="s">
        <v>1089</v>
      </c>
      <c r="C10" s="3168"/>
      <c r="D10" s="1307"/>
      <c r="E10" s="1307" t="e">
        <f>ROUND(D1*10000/D10/H9,0)</f>
        <v>#DIV/0!</v>
      </c>
      <c r="F10" s="1308"/>
      <c r="G10" s="1308"/>
      <c r="H10" s="1309"/>
      <c r="I10" s="1310">
        <f>SUM(I3:I9)</f>
        <v>0</v>
      </c>
    </row>
    <row r="11" spans="1:9" ht="15.6">
      <c r="A11" s="3166" t="s">
        <v>1090</v>
      </c>
      <c r="B11" s="3167" t="s">
        <v>1091</v>
      </c>
      <c r="C11" s="3167"/>
      <c r="D11" s="1303" t="s">
        <v>1092</v>
      </c>
      <c r="E11" s="1303" t="s">
        <v>1093</v>
      </c>
      <c r="F11" s="1304" t="s">
        <v>1094</v>
      </c>
      <c r="G11" s="1304" t="s">
        <v>1080</v>
      </c>
      <c r="H11" s="1311" t="s">
        <v>1095</v>
      </c>
      <c r="I11" s="1302" t="s">
        <v>1081</v>
      </c>
    </row>
    <row r="12" spans="1:9">
      <c r="A12" s="3166"/>
      <c r="B12" s="3167" t="s">
        <v>1096</v>
      </c>
      <c r="C12" s="3167"/>
      <c r="D12" s="1303"/>
      <c r="E12" s="1303"/>
      <c r="F12" s="1304"/>
      <c r="G12" s="1305"/>
      <c r="H12" s="1312"/>
      <c r="I12" s="1302">
        <f>ROUND(D12*E12*F12*G12/10000,0)</f>
        <v>0</v>
      </c>
    </row>
    <row r="13" spans="1:9">
      <c r="A13" s="3166"/>
      <c r="B13" s="3167" t="s">
        <v>1097</v>
      </c>
      <c r="C13" s="3167"/>
      <c r="D13" s="1303"/>
      <c r="E13" s="1303"/>
      <c r="F13" s="1304"/>
      <c r="G13" s="1305"/>
      <c r="H13" s="1312"/>
      <c r="I13" s="1302">
        <f>ROUND(D13*E13*F13*G13/10000,0)</f>
        <v>0</v>
      </c>
    </row>
    <row r="14" spans="1:9">
      <c r="A14" s="3166"/>
      <c r="B14" s="3167" t="s">
        <v>1098</v>
      </c>
      <c r="C14" s="3167"/>
      <c r="D14" s="1303"/>
      <c r="E14" s="1303"/>
      <c r="F14" s="1304"/>
      <c r="G14" s="1305"/>
      <c r="H14" s="1312"/>
      <c r="I14" s="1302">
        <f>ROUND(D14*E14*F14*G14/10000,0)</f>
        <v>0</v>
      </c>
    </row>
    <row r="15" spans="1:9">
      <c r="A15" s="3166"/>
      <c r="B15" s="3168" t="s">
        <v>1089</v>
      </c>
      <c r="C15" s="3168"/>
      <c r="D15" s="1307"/>
      <c r="E15" s="1307">
        <f>SUM(E12:E14)</f>
        <v>0</v>
      </c>
      <c r="F15" s="1308"/>
      <c r="G15" s="1305"/>
      <c r="H15" s="1312"/>
      <c r="I15" s="1313">
        <f>SUM(I12:I14)</f>
        <v>0</v>
      </c>
    </row>
    <row r="16" spans="1:9" ht="24">
      <c r="A16" s="3166" t="s">
        <v>1099</v>
      </c>
      <c r="B16" s="3167" t="s">
        <v>1100</v>
      </c>
      <c r="C16" s="3167"/>
      <c r="D16" s="1303" t="s">
        <v>1076</v>
      </c>
      <c r="E16" s="1314" t="s">
        <v>1101</v>
      </c>
      <c r="F16" s="1304" t="s">
        <v>1102</v>
      </c>
      <c r="G16" s="1305" t="s">
        <v>1080</v>
      </c>
      <c r="H16" s="1311" t="s">
        <v>1095</v>
      </c>
      <c r="I16" s="1302" t="s">
        <v>1081</v>
      </c>
    </row>
    <row r="17" spans="1:9" ht="15.6">
      <c r="A17" s="3166"/>
      <c r="B17" s="3167" t="s">
        <v>1103</v>
      </c>
      <c r="C17" s="3167"/>
      <c r="D17" s="1303"/>
      <c r="E17" s="1303"/>
      <c r="F17" s="1304"/>
      <c r="G17" s="1305"/>
      <c r="H17" s="1315"/>
      <c r="I17" s="1316">
        <f>ROUND(D17*E17*F17*G17/10000,0)</f>
        <v>0</v>
      </c>
    </row>
    <row r="18" spans="1:9" ht="15.6">
      <c r="A18" s="3166"/>
      <c r="B18" s="3167" t="s">
        <v>1104</v>
      </c>
      <c r="C18" s="3167"/>
      <c r="D18" s="1303"/>
      <c r="E18" s="1303"/>
      <c r="F18" s="1304"/>
      <c r="G18" s="1305"/>
      <c r="H18" s="1315"/>
      <c r="I18" s="1316">
        <f>ROUND(D18*E18*F18*G18/10000,0)</f>
        <v>0</v>
      </c>
    </row>
    <row r="19" spans="1:9" ht="15.6">
      <c r="A19" s="3166"/>
      <c r="B19" s="3167" t="s">
        <v>1105</v>
      </c>
      <c r="C19" s="3167"/>
      <c r="D19" s="1303"/>
      <c r="E19" s="1303"/>
      <c r="F19" s="1304"/>
      <c r="G19" s="1305"/>
      <c r="H19" s="1315"/>
      <c r="I19" s="1316">
        <f>ROUND(D19*E19*F19*G19/10000,0)</f>
        <v>0</v>
      </c>
    </row>
    <row r="20" spans="1:9">
      <c r="A20" s="3166"/>
      <c r="B20" s="3168" t="s">
        <v>1089</v>
      </c>
      <c r="C20" s="3168"/>
      <c r="D20" s="1307">
        <f>SUM(D17:D19)</f>
        <v>0</v>
      </c>
      <c r="E20" s="1307"/>
      <c r="F20" s="1308"/>
      <c r="G20" s="1305"/>
      <c r="H20" s="1312"/>
      <c r="I20" s="1313">
        <f>SUM(I17:I19)</f>
        <v>0</v>
      </c>
    </row>
    <row r="21" spans="1:9">
      <c r="A21" s="3166" t="s">
        <v>1106</v>
      </c>
      <c r="B21" s="3170"/>
      <c r="C21" s="3170"/>
      <c r="D21" s="3170"/>
      <c r="E21" s="3170"/>
      <c r="F21" s="3170"/>
      <c r="G21" s="3170"/>
      <c r="H21" s="1765">
        <v>0.1</v>
      </c>
      <c r="I21" s="1310">
        <f>ROUND(I10*H21,0)</f>
        <v>0</v>
      </c>
    </row>
    <row r="22" spans="1:9" ht="15.6">
      <c r="A22" s="3171" t="s">
        <v>1107</v>
      </c>
      <c r="B22" s="3172"/>
      <c r="C22" s="3173"/>
      <c r="D22" s="1317" t="s">
        <v>1108</v>
      </c>
      <c r="E22" s="1317" t="s">
        <v>1109</v>
      </c>
      <c r="F22" s="1318" t="s">
        <v>1110</v>
      </c>
      <c r="G22" s="1318" t="s">
        <v>1111</v>
      </c>
      <c r="H22" s="1311" t="s">
        <v>1112</v>
      </c>
      <c r="I22" s="1302" t="s">
        <v>1113</v>
      </c>
    </row>
    <row r="23" spans="1:9" ht="15" thickBot="1">
      <c r="A23" s="3174"/>
      <c r="B23" s="3175"/>
      <c r="C23" s="3176"/>
      <c r="D23" s="1319"/>
      <c r="E23" s="1319"/>
      <c r="F23" s="1319"/>
      <c r="G23" s="1320"/>
      <c r="H23" s="1321"/>
      <c r="I23" s="1322">
        <f>ROUND(E23*D23*F23*(1-G23)/10000,0)</f>
        <v>0</v>
      </c>
    </row>
    <row r="26" spans="1:9">
      <c r="A26" s="1323" t="s">
        <v>1114</v>
      </c>
      <c r="B26" s="1323"/>
      <c r="C26" s="1323"/>
      <c r="D26" s="1323"/>
      <c r="E26" s="3177">
        <f>C27-C30-C31-C32</f>
        <v>0</v>
      </c>
      <c r="F26" s="3177"/>
      <c r="G26" s="3177"/>
      <c r="H26" s="1737" t="s">
        <v>1336</v>
      </c>
    </row>
    <row r="27" spans="1:9">
      <c r="A27" s="1324">
        <v>1</v>
      </c>
      <c r="B27" s="1325" t="s">
        <v>1115</v>
      </c>
      <c r="C27" s="1325">
        <f>C28+C29</f>
        <v>0</v>
      </c>
      <c r="D27" s="1325"/>
      <c r="E27" s="3178"/>
      <c r="F27" s="3178"/>
      <c r="G27" s="3178"/>
    </row>
    <row r="28" spans="1:9">
      <c r="A28" s="1326" t="s">
        <v>1116</v>
      </c>
      <c r="B28" s="1325" t="s">
        <v>1117</v>
      </c>
      <c r="C28" s="1325"/>
      <c r="D28" s="1325"/>
      <c r="E28" s="3178"/>
      <c r="F28" s="3178"/>
      <c r="G28" s="3178"/>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169"/>
      <c r="F32" s="3169"/>
      <c r="G32" s="3169"/>
    </row>
    <row r="33" spans="1:7" hidden="1">
      <c r="A33" s="3179" t="s">
        <v>1126</v>
      </c>
      <c r="B33" s="3180"/>
      <c r="C33" s="3180"/>
      <c r="D33" s="3181"/>
      <c r="E33" s="3177"/>
      <c r="F33" s="3177"/>
      <c r="G33" s="3177"/>
    </row>
    <row r="34" spans="1:7" hidden="1">
      <c r="A34" s="1328">
        <v>1</v>
      </c>
      <c r="B34" s="1325" t="s">
        <v>1127</v>
      </c>
      <c r="C34" s="1325"/>
      <c r="D34" s="1325"/>
      <c r="E34" s="3178"/>
      <c r="F34" s="3178"/>
      <c r="G34" s="3178"/>
    </row>
    <row r="35" spans="1:7" hidden="1">
      <c r="A35" s="1328">
        <v>2</v>
      </c>
      <c r="B35" s="1325" t="s">
        <v>1128</v>
      </c>
      <c r="C35" s="1325"/>
      <c r="D35" s="1325"/>
      <c r="E35" s="3178"/>
      <c r="F35" s="3178"/>
      <c r="G35" s="3178"/>
    </row>
    <row r="36" spans="1:7" hidden="1">
      <c r="A36" s="1328">
        <v>3</v>
      </c>
      <c r="B36" s="1325" t="s">
        <v>1129</v>
      </c>
      <c r="C36" s="1325"/>
      <c r="D36" s="1325"/>
      <c r="E36" s="3178"/>
      <c r="F36" s="3178"/>
      <c r="G36" s="3178"/>
    </row>
    <row r="37" spans="1:7" hidden="1">
      <c r="A37" s="1328">
        <v>4</v>
      </c>
      <c r="B37" s="1325" t="s">
        <v>1130</v>
      </c>
      <c r="C37" s="1325"/>
      <c r="D37" s="1325"/>
      <c r="E37" s="3178"/>
      <c r="F37" s="3178"/>
      <c r="G37" s="3178"/>
    </row>
    <row r="38" spans="1:7" hidden="1">
      <c r="A38" s="3179" t="s">
        <v>1131</v>
      </c>
      <c r="B38" s="3180"/>
      <c r="C38" s="3180"/>
      <c r="D38" s="3181"/>
      <c r="E38" s="3177"/>
      <c r="F38" s="3177"/>
      <c r="G38" s="3177"/>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581" t="s">
        <v>2525</v>
      </c>
      <c r="C1" s="1634" t="s">
        <v>2526</v>
      </c>
      <c r="D1" s="1621"/>
      <c r="E1" s="2582"/>
      <c r="F1" s="2583" t="s">
        <v>2527</v>
      </c>
      <c r="G1" s="1631" t="s">
        <v>2528</v>
      </c>
      <c r="H1" s="1630"/>
      <c r="I1" s="1630"/>
      <c r="J1" s="1630"/>
      <c r="K1" s="1632"/>
      <c r="L1" s="1633"/>
      <c r="M1" s="1634"/>
      <c r="N1" s="1634"/>
      <c r="O1" s="1634"/>
      <c r="P1" s="2584"/>
      <c r="Q1" s="1620"/>
      <c r="R1" s="1620"/>
      <c r="S1" s="1620"/>
      <c r="T1" s="1620"/>
      <c r="U1" s="1620"/>
      <c r="V1" s="1620"/>
      <c r="W1" s="1620"/>
      <c r="X1" s="1620"/>
      <c r="Y1" s="1620"/>
      <c r="Z1" s="1620"/>
      <c r="AA1" s="1620"/>
      <c r="AB1" s="1620"/>
      <c r="AC1" s="1628"/>
    </row>
    <row r="2" spans="1:29" s="393" customFormat="1" ht="28.5" customHeight="1" thickTop="1">
      <c r="A2" s="1617" t="s">
        <v>1389</v>
      </c>
      <c r="B2" s="1418" t="e">
        <f ca="1">IF(C2="——",ROUND(C49*D3/10000,0),ROUND(C49*D3/10000,0)-D2)</f>
        <v>#DIV/0!</v>
      </c>
      <c r="C2" s="2585"/>
      <c r="D2" s="1365" t="e">
        <f ca="1">SUMIF(INDIRECT("'"&amp;F2&amp;"'"&amp;"!A:A"),"承租人权益价值",INDIRECT("'"&amp;F2&amp;"'"&amp;"!c:c"))</f>
        <v>#REF!</v>
      </c>
      <c r="E2" s="2586" t="s">
        <v>2529</v>
      </c>
      <c r="F2" s="2587"/>
      <c r="G2" s="1124"/>
      <c r="H2" s="1124"/>
      <c r="I2" s="1124"/>
      <c r="J2" s="1124"/>
      <c r="K2" s="2588"/>
      <c r="L2" s="2589"/>
      <c r="M2" s="2590"/>
      <c r="N2" s="2590"/>
      <c r="O2" s="2590"/>
      <c r="P2" s="2591"/>
      <c r="Q2" s="2592"/>
      <c r="R2" s="2592"/>
      <c r="S2" s="2592"/>
      <c r="T2" s="2592"/>
      <c r="U2" s="2592"/>
      <c r="V2" s="2592"/>
      <c r="W2" s="2592"/>
      <c r="X2" s="2592"/>
      <c r="Y2" s="2592"/>
      <c r="Z2" s="2592"/>
      <c r="AA2" s="2592"/>
      <c r="AB2" s="2592"/>
      <c r="AC2" s="2593"/>
    </row>
    <row r="3" spans="1:29" s="393" customFormat="1" ht="28.5" customHeight="1" thickBot="1">
      <c r="A3" s="247" t="s">
        <v>1390</v>
      </c>
      <c r="B3" s="399" t="e">
        <f ca="1">IF(C2="——",C49,ROUND(B2*10000/D3,0))</f>
        <v>#DIV/0!</v>
      </c>
      <c r="C3" s="400" t="s">
        <v>2530</v>
      </c>
      <c r="D3" s="399">
        <f>IF(D1="",'数据-汇总表'!E3,SUMIF('数据-汇总表'!$C19:$C33,D1,'数据-汇总表'!$E19:$E33))</f>
        <v>76522.880000000005</v>
      </c>
      <c r="E3" s="1124"/>
      <c r="F3" s="2594"/>
      <c r="G3" s="1124"/>
      <c r="H3" s="1124"/>
      <c r="I3" s="1124"/>
      <c r="J3" s="1124"/>
      <c r="K3" s="2588"/>
      <c r="L3" s="2589"/>
      <c r="M3" s="2590"/>
      <c r="N3" s="2590"/>
      <c r="O3" s="2590"/>
      <c r="P3" s="2591"/>
      <c r="Q3" s="2592"/>
      <c r="R3" s="2592"/>
      <c r="S3" s="2592"/>
      <c r="T3" s="2592"/>
      <c r="U3" s="2592"/>
      <c r="V3" s="2592"/>
      <c r="W3" s="2592"/>
      <c r="X3" s="2592"/>
      <c r="Y3" s="2592"/>
      <c r="Z3" s="2592"/>
      <c r="AA3" s="2592"/>
      <c r="AB3" s="2592"/>
      <c r="AC3" s="1282"/>
    </row>
    <row r="4" spans="1:29" ht="14.4">
      <c r="A4" s="401" t="s">
        <v>2531</v>
      </c>
      <c r="B4" s="402"/>
      <c r="C4" s="3200" t="s">
        <v>2532</v>
      </c>
      <c r="D4" s="3201"/>
      <c r="E4" s="3202" t="s">
        <v>2533</v>
      </c>
      <c r="F4" s="3203"/>
      <c r="G4" s="3200" t="s">
        <v>2534</v>
      </c>
      <c r="H4" s="3201"/>
      <c r="I4" s="3200" t="s">
        <v>2535</v>
      </c>
      <c r="J4" s="3201"/>
      <c r="K4" s="2595" t="s">
        <v>2536</v>
      </c>
      <c r="L4" s="1130"/>
      <c r="M4" s="1131"/>
      <c r="N4" s="1131"/>
      <c r="O4" s="1131"/>
      <c r="P4" s="3204" t="s">
        <v>2537</v>
      </c>
      <c r="Q4" s="3205"/>
      <c r="R4" s="3187" t="s">
        <v>2533</v>
      </c>
      <c r="S4" s="3188"/>
      <c r="T4" s="3187" t="s">
        <v>2534</v>
      </c>
      <c r="U4" s="3188"/>
      <c r="V4" s="3212" t="s">
        <v>2535</v>
      </c>
      <c r="W4" s="3212"/>
      <c r="X4" s="1813"/>
      <c r="Y4" s="3187" t="s">
        <v>2537</v>
      </c>
      <c r="Z4" s="3188"/>
      <c r="AA4" s="3182" t="s">
        <v>2533</v>
      </c>
      <c r="AB4" s="3182" t="s">
        <v>2534</v>
      </c>
      <c r="AC4" s="3182" t="s">
        <v>2535</v>
      </c>
    </row>
    <row r="5" spans="1:29">
      <c r="A5" s="404"/>
      <c r="B5" s="405"/>
      <c r="C5" s="3193" t="s">
        <v>2538</v>
      </c>
      <c r="D5" s="3194"/>
      <c r="E5" s="3191" t="s">
        <v>2539</v>
      </c>
      <c r="F5" s="3192"/>
      <c r="G5" s="3193" t="s">
        <v>2540</v>
      </c>
      <c r="H5" s="3194"/>
      <c r="I5" s="3193" t="s">
        <v>2541</v>
      </c>
      <c r="J5" s="3194"/>
      <c r="K5" s="2596"/>
      <c r="L5" s="1130"/>
      <c r="M5" s="1131"/>
      <c r="N5" s="1131"/>
      <c r="O5" s="1131"/>
      <c r="P5" s="3206"/>
      <c r="Q5" s="3207"/>
      <c r="R5" s="3189"/>
      <c r="S5" s="3190"/>
      <c r="T5" s="3189"/>
      <c r="U5" s="3190"/>
      <c r="V5" s="3212"/>
      <c r="W5" s="3212"/>
      <c r="X5" s="1813"/>
      <c r="Y5" s="3189"/>
      <c r="Z5" s="3190"/>
      <c r="AA5" s="3183"/>
      <c r="AB5" s="3183"/>
      <c r="AC5" s="3183"/>
    </row>
    <row r="6" spans="1:29" ht="15" thickBot="1">
      <c r="A6" s="406"/>
      <c r="B6" s="407"/>
      <c r="C6" s="3195" t="s">
        <v>2542</v>
      </c>
      <c r="D6" s="3196"/>
      <c r="E6" s="3197" t="s">
        <v>2542</v>
      </c>
      <c r="F6" s="3198"/>
      <c r="G6" s="3195" t="s">
        <v>2542</v>
      </c>
      <c r="H6" s="3196"/>
      <c r="I6" s="3195" t="s">
        <v>2542</v>
      </c>
      <c r="J6" s="3196"/>
      <c r="K6" s="2596" t="s">
        <v>2543</v>
      </c>
      <c r="L6" s="1130"/>
      <c r="M6" s="1131"/>
      <c r="N6" s="1131"/>
      <c r="O6" s="1131"/>
      <c r="P6" s="3208"/>
      <c r="Q6" s="3209"/>
      <c r="R6" s="3189"/>
      <c r="S6" s="3190"/>
      <c r="T6" s="3210"/>
      <c r="U6" s="3211"/>
      <c r="V6" s="3212"/>
      <c r="W6" s="3212"/>
      <c r="X6" s="1813"/>
      <c r="Y6" s="3210"/>
      <c r="Z6" s="3211"/>
      <c r="AA6" s="3184"/>
      <c r="AB6" s="3184"/>
      <c r="AC6" s="3184"/>
    </row>
    <row r="7" spans="1:29" s="117" customFormat="1" ht="15" thickBot="1">
      <c r="A7" s="408" t="s">
        <v>2544</v>
      </c>
      <c r="B7" s="409"/>
      <c r="C7" s="410">
        <f>'数据-取费表'!B2</f>
        <v>43692</v>
      </c>
      <c r="D7" s="411">
        <v>100</v>
      </c>
      <c r="E7" s="412"/>
      <c r="F7" s="413">
        <f>SUMIF(58:58,YEAR(E7)&amp;"-"&amp;MONTH(E7),59:59)</f>
        <v>0</v>
      </c>
      <c r="G7" s="412"/>
      <c r="H7" s="411">
        <f>SUMIF(58:58,YEAR(G7)&amp;"-"&amp;MONTH(G7),59:59)</f>
        <v>0</v>
      </c>
      <c r="I7" s="412"/>
      <c r="J7" s="411">
        <f>SUMIF(58:58,YEAR(I7)&amp;"-"&amp;MONTH(I7),59:59)</f>
        <v>0</v>
      </c>
      <c r="K7" s="2597"/>
      <c r="L7" s="1132"/>
      <c r="M7" s="1133"/>
      <c r="N7" s="1133"/>
      <c r="O7" s="1133"/>
      <c r="P7" s="3185" t="s">
        <v>2545</v>
      </c>
      <c r="Q7" s="3213"/>
      <c r="R7" s="770" t="s">
        <v>23</v>
      </c>
      <c r="S7" s="771">
        <f t="shared" ref="S7:S15" si="0">F7</f>
        <v>0</v>
      </c>
      <c r="T7" s="770" t="s">
        <v>23</v>
      </c>
      <c r="U7" s="771">
        <f t="shared" ref="U7:U15" si="1">H7</f>
        <v>0</v>
      </c>
      <c r="V7" s="770" t="s">
        <v>23</v>
      </c>
      <c r="W7" s="771">
        <f t="shared" ref="W7:W15" si="2">J7</f>
        <v>0</v>
      </c>
      <c r="X7" s="772"/>
      <c r="Y7" s="3185" t="s">
        <v>2545</v>
      </c>
      <c r="Z7" s="3186"/>
      <c r="AA7" s="773" t="e">
        <f>D7/F7</f>
        <v>#DIV/0!</v>
      </c>
      <c r="AB7" s="773" t="e">
        <f>D7/H7</f>
        <v>#DIV/0!</v>
      </c>
      <c r="AC7" s="773" t="e">
        <f>D7/J7</f>
        <v>#DIV/0!</v>
      </c>
    </row>
    <row r="8" spans="1:29" s="117" customFormat="1" ht="15" thickBot="1">
      <c r="A8" s="408" t="s">
        <v>2546</v>
      </c>
      <c r="B8" s="409"/>
      <c r="C8" s="414" t="s">
        <v>2547</v>
      </c>
      <c r="D8" s="411">
        <v>100</v>
      </c>
      <c r="E8" s="2598"/>
      <c r="F8" s="413">
        <f>SUMIF(61:61,E8,62:62)-SUMIF(61:61,C8,62:62)+100</f>
        <v>0</v>
      </c>
      <c r="G8" s="414"/>
      <c r="H8" s="411">
        <f>SUMIF(61:61,G8,62:62)-SUMIF(61:61,C8,62:62)+100</f>
        <v>0</v>
      </c>
      <c r="I8" s="2598"/>
      <c r="J8" s="411">
        <f>SUMIF(61:61,I8,62:62)-SUMIF(61:61,C8,62:62)+100</f>
        <v>0</v>
      </c>
      <c r="K8" s="2597"/>
      <c r="L8" s="1132"/>
      <c r="M8" s="1133"/>
      <c r="N8" s="1133"/>
      <c r="O8" s="1133"/>
      <c r="P8" s="3185" t="s">
        <v>2548</v>
      </c>
      <c r="Q8" s="3186"/>
      <c r="R8" s="770" t="s">
        <v>23</v>
      </c>
      <c r="S8" s="771">
        <f t="shared" si="0"/>
        <v>0</v>
      </c>
      <c r="T8" s="770" t="s">
        <v>23</v>
      </c>
      <c r="U8" s="771">
        <f t="shared" si="1"/>
        <v>0</v>
      </c>
      <c r="V8" s="770" t="s">
        <v>23</v>
      </c>
      <c r="W8" s="771">
        <f t="shared" si="2"/>
        <v>0</v>
      </c>
      <c r="X8" s="772"/>
      <c r="Y8" s="3185" t="s">
        <v>2548</v>
      </c>
      <c r="Z8" s="3186"/>
      <c r="AA8" s="773" t="e">
        <f t="shared" ref="AA8:AA19" si="3">D8/F8</f>
        <v>#DIV/0!</v>
      </c>
      <c r="AB8" s="773" t="e">
        <f t="shared" ref="AB8:AB19" si="4">D8/H8</f>
        <v>#DIV/0!</v>
      </c>
      <c r="AC8" s="773" t="e">
        <f t="shared" ref="AC8:AC19" si="5">D8/J8</f>
        <v>#DIV/0!</v>
      </c>
    </row>
    <row r="9" spans="1:29" s="117" customFormat="1" ht="14.4">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7"/>
      <c r="L9" s="1132"/>
      <c r="M9" s="1133"/>
      <c r="N9" s="1133"/>
      <c r="O9" s="1133"/>
      <c r="P9" s="3199"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99"/>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99"/>
      <c r="Q11" s="1795" t="str">
        <f t="shared" si="6"/>
        <v>容积率</v>
      </c>
      <c r="R11" s="770" t="s">
        <v>21</v>
      </c>
      <c r="S11" s="771" t="e">
        <f t="shared" si="0"/>
        <v>#N/A</v>
      </c>
      <c r="T11" s="770" t="s">
        <v>21</v>
      </c>
      <c r="U11" s="771" t="e">
        <f t="shared" si="1"/>
        <v>#N/A</v>
      </c>
      <c r="V11" s="770" t="s">
        <v>21</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9">
        <v>111</v>
      </c>
      <c r="C12" s="432"/>
      <c r="D12" s="433">
        <v>100</v>
      </c>
      <c r="E12" s="432"/>
      <c r="F12" s="425">
        <f>SUMIF(70:70,E12,71:71)-SUMIF(70:70,C12,71:71)+100</f>
        <v>100</v>
      </c>
      <c r="G12" s="432"/>
      <c r="H12" s="136">
        <f>SUMIF(70:70,G12,71:71)-SUMIF(70:70,C12,71:71)+100</f>
        <v>100</v>
      </c>
      <c r="I12" s="432"/>
      <c r="J12" s="136">
        <f>SUMIF(70:70,I12,71:71)-SUMIF(70:70,C12,71:71)+100</f>
        <v>100</v>
      </c>
      <c r="K12" s="2600"/>
      <c r="L12" s="1132"/>
      <c r="M12" s="1133"/>
      <c r="N12" s="1133"/>
      <c r="O12" s="1133"/>
      <c r="P12" s="3199"/>
      <c r="Q12" s="1795">
        <f t="shared" si="6"/>
        <v>111</v>
      </c>
      <c r="R12" s="770" t="s">
        <v>21</v>
      </c>
      <c r="S12" s="771">
        <f t="shared" si="0"/>
        <v>100</v>
      </c>
      <c r="T12" s="770" t="s">
        <v>21</v>
      </c>
      <c r="U12" s="771">
        <f t="shared" si="1"/>
        <v>100</v>
      </c>
      <c r="V12" s="770" t="s">
        <v>21</v>
      </c>
      <c r="W12" s="771">
        <f t="shared" si="2"/>
        <v>100</v>
      </c>
      <c r="X12" s="772"/>
      <c r="Y12" s="3032"/>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2600"/>
      <c r="L13" s="1140"/>
      <c r="M13" s="1131"/>
      <c r="N13" s="1131"/>
      <c r="O13" s="1131"/>
      <c r="P13" s="3199"/>
      <c r="Q13" s="1795">
        <f t="shared" si="6"/>
        <v>111</v>
      </c>
      <c r="R13" s="770" t="s">
        <v>21</v>
      </c>
      <c r="S13" s="771">
        <f t="shared" si="0"/>
        <v>100</v>
      </c>
      <c r="T13" s="770" t="s">
        <v>21</v>
      </c>
      <c r="U13" s="771">
        <f t="shared" si="1"/>
        <v>100</v>
      </c>
      <c r="V13" s="770" t="s">
        <v>21</v>
      </c>
      <c r="W13" s="771">
        <f t="shared" si="2"/>
        <v>100</v>
      </c>
      <c r="X13" s="772"/>
      <c r="Y13" s="3032"/>
      <c r="Z13" s="55">
        <f t="shared" si="7"/>
        <v>111</v>
      </c>
      <c r="AA13" s="773">
        <f t="shared" si="3"/>
        <v>1</v>
      </c>
      <c r="AB13" s="773">
        <f t="shared" si="4"/>
        <v>1</v>
      </c>
      <c r="AC13" s="773">
        <f t="shared" si="5"/>
        <v>1</v>
      </c>
    </row>
    <row r="14" spans="1:29" ht="15.6" thickBot="1">
      <c r="A14" s="436"/>
      <c r="B14" s="2601">
        <v>111</v>
      </c>
      <c r="C14" s="437"/>
      <c r="D14" s="438">
        <v>100</v>
      </c>
      <c r="E14" s="437"/>
      <c r="F14" s="439">
        <f>SUMIF(74:74,E14,75:75)-SUMIF(74:74,C14,75:75)+100</f>
        <v>100</v>
      </c>
      <c r="G14" s="437"/>
      <c r="H14" s="438">
        <f>SUMIF(74:74,G14,75:75)-SUMIF(74:74,C14,75:75)+100</f>
        <v>100</v>
      </c>
      <c r="I14" s="437"/>
      <c r="J14" s="438">
        <f>SUMIF(74:74,I14,75:75)-SUMIF(74:74,C14,75:75)+100</f>
        <v>100</v>
      </c>
      <c r="K14" s="2600"/>
      <c r="L14" s="1140"/>
      <c r="M14" s="1131"/>
      <c r="N14" s="1131"/>
      <c r="O14" s="1131"/>
      <c r="P14" s="3199"/>
      <c r="Q14" s="1795">
        <f t="shared" si="6"/>
        <v>111</v>
      </c>
      <c r="R14" s="770" t="s">
        <v>21</v>
      </c>
      <c r="S14" s="771">
        <f t="shared" si="0"/>
        <v>100</v>
      </c>
      <c r="T14" s="770" t="s">
        <v>21</v>
      </c>
      <c r="U14" s="771">
        <f t="shared" si="1"/>
        <v>100</v>
      </c>
      <c r="V14" s="770" t="s">
        <v>21</v>
      </c>
      <c r="W14" s="771">
        <f t="shared" si="2"/>
        <v>100</v>
      </c>
      <c r="X14" s="772"/>
      <c r="Y14" s="3032"/>
      <c r="Z14" s="55">
        <f t="shared" si="7"/>
        <v>111</v>
      </c>
      <c r="AA14" s="773">
        <f t="shared" si="3"/>
        <v>1</v>
      </c>
      <c r="AB14" s="773">
        <f t="shared" si="4"/>
        <v>1</v>
      </c>
      <c r="AC14" s="773">
        <f t="shared" si="5"/>
        <v>1</v>
      </c>
    </row>
    <row r="15" spans="1:29" ht="15">
      <c r="A15" s="440" t="s">
        <v>2555</v>
      </c>
      <c r="B15" s="69" t="s">
        <v>2084</v>
      </c>
      <c r="C15" s="2602" t="str">
        <f>估价对象房地状况!C3</f>
        <v>较好</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26" t="s">
        <v>2556</v>
      </c>
      <c r="Q15" s="1810" t="str">
        <f t="shared" si="6"/>
        <v>居住社区成熟度</v>
      </c>
      <c r="R15" s="774" t="s">
        <v>21</v>
      </c>
      <c r="S15" s="775">
        <f t="shared" si="0"/>
        <v>100</v>
      </c>
      <c r="T15" s="774" t="s">
        <v>21</v>
      </c>
      <c r="U15" s="775">
        <f t="shared" si="1"/>
        <v>100</v>
      </c>
      <c r="V15" s="774" t="s">
        <v>21</v>
      </c>
      <c r="W15" s="775">
        <f t="shared" si="2"/>
        <v>100</v>
      </c>
      <c r="X15" s="1813"/>
      <c r="Y15" s="3219" t="s">
        <v>2556</v>
      </c>
      <c r="Z15" s="1814" t="str">
        <f t="shared" si="7"/>
        <v>居住社区成熟度</v>
      </c>
      <c r="AA15" s="1811">
        <f t="shared" si="3"/>
        <v>1</v>
      </c>
      <c r="AB15" s="1811">
        <f t="shared" si="4"/>
        <v>1</v>
      </c>
      <c r="AC15" s="1811">
        <f t="shared" si="5"/>
        <v>1</v>
      </c>
    </row>
    <row r="16" spans="1:29" ht="15">
      <c r="A16" s="428"/>
      <c r="B16" s="446"/>
      <c r="C16" s="447"/>
      <c r="D16" s="448"/>
      <c r="E16" s="2603"/>
      <c r="F16" s="448"/>
      <c r="G16" s="2604"/>
      <c r="H16" s="450"/>
      <c r="I16" s="2604"/>
      <c r="J16" s="448"/>
      <c r="K16" s="2605"/>
      <c r="L16" s="1140"/>
      <c r="M16" s="1131"/>
      <c r="N16" s="1131"/>
      <c r="O16" s="1131"/>
      <c r="P16" s="3227"/>
      <c r="Q16" s="1810"/>
      <c r="R16" s="774"/>
      <c r="S16" s="775"/>
      <c r="T16" s="774"/>
      <c r="U16" s="775"/>
      <c r="V16" s="774"/>
      <c r="W16" s="775"/>
      <c r="X16" s="1813"/>
      <c r="Y16" s="3220"/>
      <c r="Z16" s="1814"/>
      <c r="AA16" s="1811">
        <v>1</v>
      </c>
      <c r="AB16" s="1811">
        <v>1</v>
      </c>
      <c r="AC16" s="1811">
        <v>1</v>
      </c>
    </row>
    <row r="17" spans="1:29" ht="15">
      <c r="A17" s="428"/>
      <c r="B17" s="451" t="s">
        <v>2093</v>
      </c>
      <c r="C17" s="2606" t="str">
        <f>估价对象房地状况!C6</f>
        <v>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27"/>
      <c r="Q17" s="1810" t="str">
        <f>B17</f>
        <v>交通便捷度</v>
      </c>
      <c r="R17" s="774" t="s">
        <v>21</v>
      </c>
      <c r="S17" s="775">
        <f>F17</f>
        <v>100</v>
      </c>
      <c r="T17" s="774" t="s">
        <v>21</v>
      </c>
      <c r="U17" s="775">
        <f>H17</f>
        <v>100</v>
      </c>
      <c r="V17" s="774" t="s">
        <v>21</v>
      </c>
      <c r="W17" s="775">
        <f>J17</f>
        <v>100</v>
      </c>
      <c r="X17" s="1813"/>
      <c r="Y17" s="3220"/>
      <c r="Z17" s="1814" t="str">
        <f>Q17</f>
        <v>交通便捷度</v>
      </c>
      <c r="AA17" s="1811">
        <f t="shared" si="3"/>
        <v>1</v>
      </c>
      <c r="AB17" s="1811">
        <f t="shared" si="4"/>
        <v>1</v>
      </c>
      <c r="AC17" s="1811">
        <f t="shared" si="5"/>
        <v>1</v>
      </c>
    </row>
    <row r="18" spans="1:29" ht="15">
      <c r="A18" s="428"/>
      <c r="B18" s="456"/>
      <c r="C18" s="2607"/>
      <c r="D18" s="450"/>
      <c r="E18" s="2608"/>
      <c r="F18" s="450"/>
      <c r="G18" s="2609"/>
      <c r="H18" s="448"/>
      <c r="I18" s="2609"/>
      <c r="J18" s="448"/>
      <c r="K18" s="2605"/>
      <c r="L18" s="1140"/>
      <c r="M18" s="1131"/>
      <c r="N18" s="1131"/>
      <c r="O18" s="1131"/>
      <c r="P18" s="3227"/>
      <c r="Q18" s="1810"/>
      <c r="R18" s="774"/>
      <c r="S18" s="775"/>
      <c r="T18" s="774"/>
      <c r="U18" s="775"/>
      <c r="V18" s="774"/>
      <c r="W18" s="775"/>
      <c r="X18" s="1813"/>
      <c r="Y18" s="3220"/>
      <c r="Z18" s="1814"/>
      <c r="AA18" s="1811">
        <v>1</v>
      </c>
      <c r="AB18" s="1811">
        <v>1</v>
      </c>
      <c r="AC18" s="1811">
        <v>1</v>
      </c>
    </row>
    <row r="19" spans="1:29" ht="15">
      <c r="A19" s="428"/>
      <c r="B19" s="451" t="s">
        <v>2091</v>
      </c>
      <c r="C19" s="2606" t="str">
        <f>估价对象房地状况!C7</f>
        <v>较好</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27"/>
      <c r="Q19" s="1810" t="str">
        <f>B19</f>
        <v>公共配套设施</v>
      </c>
      <c r="R19" s="774" t="s">
        <v>21</v>
      </c>
      <c r="S19" s="775">
        <f>F19</f>
        <v>100</v>
      </c>
      <c r="T19" s="774" t="s">
        <v>21</v>
      </c>
      <c r="U19" s="775">
        <f>H19</f>
        <v>100</v>
      </c>
      <c r="V19" s="774" t="s">
        <v>21</v>
      </c>
      <c r="W19" s="775">
        <f>J19</f>
        <v>100</v>
      </c>
      <c r="X19" s="1813"/>
      <c r="Y19" s="3220"/>
      <c r="Z19" s="1814" t="str">
        <f>Q19</f>
        <v>公共配套设施</v>
      </c>
      <c r="AA19" s="1811">
        <f t="shared" si="3"/>
        <v>1</v>
      </c>
      <c r="AB19" s="1811">
        <f t="shared" si="4"/>
        <v>1</v>
      </c>
      <c r="AC19" s="1811">
        <f t="shared" si="5"/>
        <v>1</v>
      </c>
    </row>
    <row r="20" spans="1:29" ht="15">
      <c r="A20" s="428"/>
      <c r="B20" s="456"/>
      <c r="C20" s="447"/>
      <c r="D20" s="448"/>
      <c r="E20" s="2603"/>
      <c r="F20" s="448"/>
      <c r="G20" s="2604"/>
      <c r="H20" s="448"/>
      <c r="I20" s="2604"/>
      <c r="J20" s="448"/>
      <c r="K20" s="2605"/>
      <c r="L20" s="1140"/>
      <c r="M20" s="1131"/>
      <c r="N20" s="1131"/>
      <c r="O20" s="1131"/>
      <c r="P20" s="3227"/>
      <c r="Q20" s="1810"/>
      <c r="R20" s="774"/>
      <c r="S20" s="775"/>
      <c r="T20" s="774"/>
      <c r="U20" s="775"/>
      <c r="V20" s="774"/>
      <c r="W20" s="775"/>
      <c r="X20" s="1813"/>
      <c r="Y20" s="3220"/>
      <c r="Z20" s="1814"/>
      <c r="AA20" s="1811">
        <v>1</v>
      </c>
      <c r="AB20" s="1811">
        <v>1</v>
      </c>
      <c r="AC20" s="1811">
        <v>1</v>
      </c>
    </row>
    <row r="21" spans="1:29" ht="15">
      <c r="A21" s="428"/>
      <c r="B21" s="1384" t="s">
        <v>2094</v>
      </c>
      <c r="C21" s="2606" t="str">
        <f>估价对象房地状况!C8</f>
        <v>六通</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27"/>
      <c r="Q21" s="1810" t="str">
        <f>B21</f>
        <v>基础设施水平</v>
      </c>
      <c r="R21" s="774" t="s">
        <v>17</v>
      </c>
      <c r="S21" s="775">
        <f>F21</f>
        <v>100</v>
      </c>
      <c r="T21" s="774" t="s">
        <v>17</v>
      </c>
      <c r="U21" s="775">
        <f>H21</f>
        <v>100</v>
      </c>
      <c r="V21" s="774" t="s">
        <v>17</v>
      </c>
      <c r="W21" s="775">
        <f>J21</f>
        <v>100</v>
      </c>
      <c r="X21" s="1813"/>
      <c r="Y21" s="3220"/>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8"/>
      <c r="G22" s="2610"/>
      <c r="H22" s="448"/>
      <c r="I22" s="447"/>
      <c r="J22" s="448"/>
      <c r="K22" s="2611"/>
      <c r="L22" s="1140"/>
      <c r="M22" s="1131"/>
      <c r="N22" s="1131"/>
      <c r="O22" s="1131"/>
      <c r="P22" s="3227"/>
      <c r="Q22" s="1810"/>
      <c r="R22" s="774"/>
      <c r="S22" s="775"/>
      <c r="T22" s="774"/>
      <c r="U22" s="775"/>
      <c r="V22" s="774"/>
      <c r="W22" s="775"/>
      <c r="X22" s="1813"/>
      <c r="Y22" s="3220"/>
      <c r="Z22" s="1814"/>
      <c r="AA22" s="1811">
        <v>1</v>
      </c>
      <c r="AB22" s="1811">
        <v>1</v>
      </c>
      <c r="AC22" s="1811">
        <v>1</v>
      </c>
    </row>
    <row r="23" spans="1:29" ht="15">
      <c r="A23" s="428"/>
      <c r="B23" s="451" t="s">
        <v>2098</v>
      </c>
      <c r="C23" s="2606" t="str">
        <f>估价对象房地状况!C9</f>
        <v>较好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27"/>
      <c r="Q23" s="1810" t="str">
        <f>B23</f>
        <v>自然及人文环境</v>
      </c>
      <c r="R23" s="774" t="s">
        <v>21</v>
      </c>
      <c r="S23" s="775">
        <f>F23</f>
        <v>100</v>
      </c>
      <c r="T23" s="774" t="s">
        <v>21</v>
      </c>
      <c r="U23" s="775">
        <f>H23</f>
        <v>100</v>
      </c>
      <c r="V23" s="774" t="s">
        <v>21</v>
      </c>
      <c r="W23" s="775">
        <f>J23</f>
        <v>100</v>
      </c>
      <c r="X23" s="1813"/>
      <c r="Y23" s="3220"/>
      <c r="Z23" s="1814" t="str">
        <f>Q23</f>
        <v>自然及人文环境</v>
      </c>
      <c r="AA23" s="1811">
        <f>D23/F23</f>
        <v>1</v>
      </c>
      <c r="AB23" s="1811">
        <f>D23/H23</f>
        <v>1</v>
      </c>
      <c r="AC23" s="1811">
        <f>D23/J23</f>
        <v>1</v>
      </c>
    </row>
    <row r="24" spans="1:29" ht="15">
      <c r="A24" s="428"/>
      <c r="B24" s="456"/>
      <c r="C24" s="447"/>
      <c r="D24" s="448"/>
      <c r="E24" s="2603"/>
      <c r="F24" s="448"/>
      <c r="G24" s="2604"/>
      <c r="H24" s="448"/>
      <c r="I24" s="2604"/>
      <c r="J24" s="448"/>
      <c r="K24" s="2605"/>
      <c r="L24" s="1140"/>
      <c r="M24" s="1131"/>
      <c r="N24" s="1131"/>
      <c r="O24" s="1131"/>
      <c r="P24" s="3227"/>
      <c r="Q24" s="1810"/>
      <c r="R24" s="774"/>
      <c r="S24" s="775"/>
      <c r="T24" s="774"/>
      <c r="U24" s="775"/>
      <c r="V24" s="774"/>
      <c r="W24" s="775"/>
      <c r="X24" s="1813"/>
      <c r="Y24" s="3220"/>
      <c r="Z24" s="1814"/>
      <c r="AA24" s="1811">
        <v>1</v>
      </c>
      <c r="AB24" s="1811">
        <v>1</v>
      </c>
      <c r="AC24" s="1811">
        <v>1</v>
      </c>
    </row>
    <row r="25" spans="1:29" ht="15">
      <c r="A25" s="428"/>
      <c r="B25" s="422" t="s">
        <v>2557</v>
      </c>
      <c r="C25" s="460"/>
      <c r="D25" s="435">
        <v>100</v>
      </c>
      <c r="E25" s="2612"/>
      <c r="F25" s="435">
        <f>SUMIF(86:86,E25,87:87)-SUMIF(86:86,C25,87:87)+100</f>
        <v>100</v>
      </c>
      <c r="G25" s="2613"/>
      <c r="H25" s="435">
        <f>SUMIF(86:86,G25,87:87)-SUMIF(86:86,C25,87:87)+100</f>
        <v>100</v>
      </c>
      <c r="I25" s="2613"/>
      <c r="J25" s="435">
        <f>SUMIF(86:86,I25,87:87)-SUMIF(86:86,C25,87:87)+100</f>
        <v>100</v>
      </c>
      <c r="K25" s="426"/>
      <c r="L25" s="1140"/>
      <c r="M25" s="1131"/>
      <c r="N25" s="1131"/>
      <c r="O25" s="1131"/>
      <c r="P25" s="3227"/>
      <c r="Q25" s="1810" t="str">
        <f t="shared" ref="Q25:Q46" si="11">B25</f>
        <v>楼层-1</v>
      </c>
      <c r="R25" s="774" t="s">
        <v>21</v>
      </c>
      <c r="S25" s="775">
        <f t="shared" ref="S25:S46" si="12">F25</f>
        <v>100</v>
      </c>
      <c r="T25" s="774" t="s">
        <v>21</v>
      </c>
      <c r="U25" s="775">
        <f t="shared" ref="U25:U46" si="13">H25</f>
        <v>100</v>
      </c>
      <c r="V25" s="774" t="s">
        <v>21</v>
      </c>
      <c r="W25" s="775">
        <f t="shared" ref="W25:W46" si="14">J25</f>
        <v>100</v>
      </c>
      <c r="X25" s="1813"/>
      <c r="Y25" s="3220"/>
      <c r="Z25" s="1814" t="str">
        <f>Q25</f>
        <v>楼层-1</v>
      </c>
      <c r="AA25" s="1811">
        <f t="shared" ref="AA25:AA46" si="15">D25/F25</f>
        <v>1</v>
      </c>
      <c r="AB25" s="1811">
        <f t="shared" ref="AB25:AB46" si="16">D25/H25</f>
        <v>1</v>
      </c>
      <c r="AC25" s="1811">
        <f t="shared" ref="AC25:AC46" si="17">D25/J25</f>
        <v>1</v>
      </c>
    </row>
    <row r="26" spans="1:29" ht="15">
      <c r="A26" s="428"/>
      <c r="B26" s="422" t="s">
        <v>2558</v>
      </c>
      <c r="C26" s="460"/>
      <c r="D26" s="435">
        <v>100</v>
      </c>
      <c r="E26" s="2612"/>
      <c r="F26" s="435">
        <f>SUMIF(88:88,E26,89:89)-SUMIF(88:88,C26,89:89)+100</f>
        <v>100</v>
      </c>
      <c r="G26" s="2613"/>
      <c r="H26" s="435">
        <f>SUMIF(88:88,G26,89:89)-SUMIF(88:88,C26,89:89)+100</f>
        <v>100</v>
      </c>
      <c r="I26" s="2613"/>
      <c r="J26" s="435">
        <f>SUMIF(88:88,I26,89:89)-SUMIF(88:88,C26,89:89)+100</f>
        <v>100</v>
      </c>
      <c r="K26" s="426"/>
      <c r="L26" s="1140"/>
      <c r="M26" s="1131"/>
      <c r="N26" s="1131"/>
      <c r="O26" s="1131"/>
      <c r="P26" s="3227"/>
      <c r="Q26" s="1810" t="str">
        <f t="shared" si="11"/>
        <v>朝向</v>
      </c>
      <c r="R26" s="774" t="s">
        <v>21</v>
      </c>
      <c r="S26" s="775">
        <f t="shared" si="12"/>
        <v>100</v>
      </c>
      <c r="T26" s="774" t="s">
        <v>21</v>
      </c>
      <c r="U26" s="775">
        <f t="shared" si="13"/>
        <v>100</v>
      </c>
      <c r="V26" s="774" t="s">
        <v>21</v>
      </c>
      <c r="W26" s="775">
        <f t="shared" si="14"/>
        <v>100</v>
      </c>
      <c r="X26" s="1813"/>
      <c r="Y26" s="3220"/>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600"/>
      <c r="L27" s="1132"/>
      <c r="M27" s="1133"/>
      <c r="N27" s="1133"/>
      <c r="O27" s="1133"/>
      <c r="P27" s="3227"/>
      <c r="Q27" s="1795">
        <f t="shared" si="11"/>
        <v>111</v>
      </c>
      <c r="R27" s="770" t="s">
        <v>21</v>
      </c>
      <c r="S27" s="771">
        <f t="shared" si="12"/>
        <v>100</v>
      </c>
      <c r="T27" s="770" t="s">
        <v>21</v>
      </c>
      <c r="U27" s="771">
        <f t="shared" si="13"/>
        <v>100</v>
      </c>
      <c r="V27" s="770" t="s">
        <v>21</v>
      </c>
      <c r="W27" s="771">
        <f t="shared" si="14"/>
        <v>100</v>
      </c>
      <c r="X27" s="772"/>
      <c r="Y27" s="3220"/>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4"/>
      <c r="H28" s="435">
        <f>SUMIF(92:92,G28,93:93)-SUMIF(92:92,C28,93:93)+100</f>
        <v>100</v>
      </c>
      <c r="I28" s="434"/>
      <c r="J28" s="435">
        <f>SUMIF(92:92,I28,93:93)-SUMIF(92:92,C28,93:93)+100</f>
        <v>100</v>
      </c>
      <c r="K28" s="2600"/>
      <c r="L28" s="1140"/>
      <c r="M28" s="1131"/>
      <c r="N28" s="1131"/>
      <c r="O28" s="1131"/>
      <c r="P28" s="3227"/>
      <c r="Q28" s="1810">
        <f t="shared" si="11"/>
        <v>111</v>
      </c>
      <c r="R28" s="774" t="s">
        <v>21</v>
      </c>
      <c r="S28" s="775">
        <f t="shared" si="12"/>
        <v>100</v>
      </c>
      <c r="T28" s="774" t="s">
        <v>21</v>
      </c>
      <c r="U28" s="775">
        <f t="shared" si="13"/>
        <v>100</v>
      </c>
      <c r="V28" s="774" t="s">
        <v>21</v>
      </c>
      <c r="W28" s="775">
        <f t="shared" si="14"/>
        <v>100</v>
      </c>
      <c r="X28" s="1813"/>
      <c r="Y28" s="3220"/>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4"/>
      <c r="H29" s="435">
        <f>SUMIF(94:94,G29,95:95)-SUMIF(94:94,C29,95:95)+100</f>
        <v>100</v>
      </c>
      <c r="I29" s="434"/>
      <c r="J29" s="435">
        <f>SUMIF(94:94,I29,95:95)-SUMIF(94:94,C29,95:95)+100</f>
        <v>100</v>
      </c>
      <c r="K29" s="2600"/>
      <c r="L29" s="1140"/>
      <c r="M29" s="1131"/>
      <c r="N29" s="1131"/>
      <c r="O29" s="1131"/>
      <c r="P29" s="3227"/>
      <c r="Q29" s="1810">
        <f t="shared" si="11"/>
        <v>111</v>
      </c>
      <c r="R29" s="774" t="s">
        <v>21</v>
      </c>
      <c r="S29" s="775">
        <f t="shared" si="12"/>
        <v>100</v>
      </c>
      <c r="T29" s="774" t="s">
        <v>21</v>
      </c>
      <c r="U29" s="775">
        <f t="shared" si="13"/>
        <v>100</v>
      </c>
      <c r="V29" s="774" t="s">
        <v>21</v>
      </c>
      <c r="W29" s="775">
        <f t="shared" si="14"/>
        <v>100</v>
      </c>
      <c r="X29" s="1813"/>
      <c r="Y29" s="3220"/>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4"/>
      <c r="H30" s="435">
        <f>SUMIF(96:96,G30,97:97)-SUMIF(96:96,C30,97:97)+100</f>
        <v>100</v>
      </c>
      <c r="I30" s="434"/>
      <c r="J30" s="435">
        <f>SUMIF(96:96,I30,97:97)-SUMIF(96:96,C30,97:97)+100</f>
        <v>100</v>
      </c>
      <c r="K30" s="2600"/>
      <c r="L30" s="1140"/>
      <c r="M30" s="1131"/>
      <c r="N30" s="1131"/>
      <c r="O30" s="1131"/>
      <c r="P30" s="3227"/>
      <c r="Q30" s="1810">
        <f t="shared" si="11"/>
        <v>111</v>
      </c>
      <c r="R30" s="774" t="s">
        <v>21</v>
      </c>
      <c r="S30" s="775">
        <f t="shared" si="12"/>
        <v>100</v>
      </c>
      <c r="T30" s="774" t="s">
        <v>21</v>
      </c>
      <c r="U30" s="775">
        <f t="shared" si="13"/>
        <v>100</v>
      </c>
      <c r="V30" s="774" t="s">
        <v>21</v>
      </c>
      <c r="W30" s="775">
        <f t="shared" si="14"/>
        <v>100</v>
      </c>
      <c r="X30" s="1813"/>
      <c r="Y30" s="3220"/>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5"/>
      <c r="H31" s="438">
        <f>SUMIF(98:98,G31,99:99)-SUMIF(98:98,C31,99:99)+100</f>
        <v>100</v>
      </c>
      <c r="I31" s="437"/>
      <c r="J31" s="438">
        <f>SUMIF(98:98,I31,99:99)-SUMIF(98:98,C31,99:99)+100</f>
        <v>100</v>
      </c>
      <c r="K31" s="2600"/>
      <c r="L31" s="1140"/>
      <c r="M31" s="1131"/>
      <c r="N31" s="1131"/>
      <c r="O31" s="1131"/>
      <c r="P31" s="3227"/>
      <c r="Q31" s="1810">
        <f t="shared" si="11"/>
        <v>111</v>
      </c>
      <c r="R31" s="774" t="s">
        <v>21</v>
      </c>
      <c r="S31" s="775">
        <f t="shared" si="12"/>
        <v>100</v>
      </c>
      <c r="T31" s="774" t="s">
        <v>21</v>
      </c>
      <c r="U31" s="775">
        <f t="shared" si="13"/>
        <v>100</v>
      </c>
      <c r="V31" s="774" t="s">
        <v>21</v>
      </c>
      <c r="W31" s="775">
        <f t="shared" si="14"/>
        <v>100</v>
      </c>
      <c r="X31" s="1813"/>
      <c r="Y31" s="3220"/>
      <c r="Z31" s="1814">
        <f t="shared" si="18"/>
        <v>111</v>
      </c>
      <c r="AA31" s="1811">
        <f t="shared" si="15"/>
        <v>1</v>
      </c>
      <c r="AB31" s="1811">
        <f t="shared" si="16"/>
        <v>1</v>
      </c>
      <c r="AC31" s="1811">
        <f t="shared" si="17"/>
        <v>1</v>
      </c>
    </row>
    <row r="32" spans="1:29" ht="15">
      <c r="A32" s="440" t="s">
        <v>2559</v>
      </c>
      <c r="B32" s="71" t="s">
        <v>2560</v>
      </c>
      <c r="C32" s="2616"/>
      <c r="D32" s="467">
        <v>100</v>
      </c>
      <c r="E32" s="2617"/>
      <c r="F32" s="461">
        <f>SUMIF(100:100,E32,101:101)-SUMIF(100:100,C32,101:101)+100</f>
        <v>100</v>
      </c>
      <c r="G32" s="2616"/>
      <c r="H32" s="467">
        <f>SUMIF(100:100,G32,101:101)-SUMIF(100:100,C32,101:101)+100</f>
        <v>100</v>
      </c>
      <c r="I32" s="2617"/>
      <c r="J32" s="435">
        <f>SUMIF(100:100,I32,101:101)-SUMIF(100:100,C32,101:101)+100</f>
        <v>100</v>
      </c>
      <c r="K32" s="426"/>
      <c r="L32" s="1140"/>
      <c r="M32" s="1131"/>
      <c r="N32" s="1131"/>
      <c r="O32" s="1131"/>
      <c r="P32" s="3221" t="s">
        <v>2561</v>
      </c>
      <c r="Q32" s="1810" t="str">
        <f t="shared" si="11"/>
        <v>建筑类型</v>
      </c>
      <c r="R32" s="774" t="s">
        <v>21</v>
      </c>
      <c r="S32" s="775">
        <f t="shared" si="12"/>
        <v>100</v>
      </c>
      <c r="T32" s="774" t="s">
        <v>21</v>
      </c>
      <c r="U32" s="775">
        <f t="shared" si="13"/>
        <v>100</v>
      </c>
      <c r="V32" s="774" t="s">
        <v>21</v>
      </c>
      <c r="W32" s="775">
        <f t="shared" si="14"/>
        <v>100</v>
      </c>
      <c r="X32" s="1813"/>
      <c r="Y32" s="3224" t="s">
        <v>2561</v>
      </c>
      <c r="Z32" s="1814" t="str">
        <f t="shared" si="18"/>
        <v>建筑类型</v>
      </c>
      <c r="AA32" s="1811">
        <f t="shared" si="15"/>
        <v>1</v>
      </c>
      <c r="AB32" s="1811">
        <f t="shared" si="16"/>
        <v>1</v>
      </c>
      <c r="AC32" s="1811">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0"/>
      <c r="L33" s="1138"/>
      <c r="M33" s="1141"/>
      <c r="N33" s="1141"/>
      <c r="O33" s="1141"/>
      <c r="P33" s="3222"/>
      <c r="Q33" s="776" t="str">
        <f t="shared" si="11"/>
        <v>项目建筑规模</v>
      </c>
      <c r="R33" s="777" t="s">
        <v>21</v>
      </c>
      <c r="S33" s="778" t="e">
        <f t="shared" si="12"/>
        <v>#N/A</v>
      </c>
      <c r="T33" s="777" t="s">
        <v>21</v>
      </c>
      <c r="U33" s="778" t="e">
        <f t="shared" si="13"/>
        <v>#N/A</v>
      </c>
      <c r="V33" s="777" t="s">
        <v>21</v>
      </c>
      <c r="W33" s="778" t="e">
        <f t="shared" si="14"/>
        <v>#N/A</v>
      </c>
      <c r="X33" s="779"/>
      <c r="Y33" s="3224"/>
      <c r="Z33" s="780" t="str">
        <f t="shared" si="18"/>
        <v>项目建筑规模</v>
      </c>
      <c r="AA33" s="1811" t="e">
        <f t="shared" si="15"/>
        <v>#N/A</v>
      </c>
      <c r="AB33" s="1811" t="e">
        <f t="shared" si="16"/>
        <v>#N/A</v>
      </c>
      <c r="AC33" s="1811" t="e">
        <f t="shared" si="17"/>
        <v>#N/A</v>
      </c>
    </row>
    <row r="34" spans="1:29" ht="15">
      <c r="A34" s="472"/>
      <c r="B34" s="422" t="s">
        <v>2563</v>
      </c>
      <c r="C34" s="2618"/>
      <c r="D34" s="435">
        <v>100</v>
      </c>
      <c r="E34" s="2619"/>
      <c r="F34" s="461">
        <f>SUMIF(105:105,E34,106:106)-SUMIF(105:105,C34,106:106)+100</f>
        <v>100</v>
      </c>
      <c r="G34" s="2618"/>
      <c r="H34" s="435">
        <f>SUMIF(105:105,G34,106:106)-SUMIF(105:105,C34,106:106)+100</f>
        <v>100</v>
      </c>
      <c r="I34" s="2619"/>
      <c r="J34" s="435">
        <f>SUMIF(105:105,I34,106:106)-SUMIF(105:105,C34,106:106)+100</f>
        <v>100</v>
      </c>
      <c r="K34" s="426"/>
      <c r="L34" s="1140"/>
      <c r="M34" s="1131"/>
      <c r="N34" s="1131"/>
      <c r="O34" s="1131"/>
      <c r="P34" s="3222"/>
      <c r="Q34" s="1810" t="str">
        <f t="shared" si="11"/>
        <v>建筑结构</v>
      </c>
      <c r="R34" s="774" t="s">
        <v>21</v>
      </c>
      <c r="S34" s="775">
        <f t="shared" si="12"/>
        <v>100</v>
      </c>
      <c r="T34" s="774" t="s">
        <v>21</v>
      </c>
      <c r="U34" s="775">
        <f t="shared" si="13"/>
        <v>100</v>
      </c>
      <c r="V34" s="774" t="s">
        <v>21</v>
      </c>
      <c r="W34" s="775">
        <f t="shared" si="14"/>
        <v>100</v>
      </c>
      <c r="X34" s="1813"/>
      <c r="Y34" s="3224"/>
      <c r="Z34" s="1814" t="str">
        <f t="shared" si="18"/>
        <v>建筑结构</v>
      </c>
      <c r="AA34" s="1811">
        <f t="shared" si="15"/>
        <v>1</v>
      </c>
      <c r="AB34" s="1811">
        <f t="shared" si="16"/>
        <v>1</v>
      </c>
      <c r="AC34" s="1811">
        <f t="shared" si="17"/>
        <v>1</v>
      </c>
    </row>
    <row r="35" spans="1:29" ht="15">
      <c r="A35" s="472"/>
      <c r="B35" s="422" t="s">
        <v>2564</v>
      </c>
      <c r="C35" s="2612"/>
      <c r="D35" s="435">
        <v>100</v>
      </c>
      <c r="E35" s="2613"/>
      <c r="F35" s="461">
        <f>SUMIF(107:107,E35,108:108)-SUMIF(107:107,C35,108:108)+100</f>
        <v>100</v>
      </c>
      <c r="G35" s="2612"/>
      <c r="H35" s="435">
        <f>SUMIF(107:107,G35,108:108)-SUMIF(107:107,C35,108:108)+100</f>
        <v>100</v>
      </c>
      <c r="I35" s="2613"/>
      <c r="J35" s="435">
        <f>SUMIF(107:107,I35,108:108)-SUMIF(107:107,C35,108:108)+100</f>
        <v>100</v>
      </c>
      <c r="K35" s="426"/>
      <c r="L35" s="1140"/>
      <c r="M35" s="1131"/>
      <c r="N35" s="1131"/>
      <c r="O35" s="1131"/>
      <c r="P35" s="3222"/>
      <c r="Q35" s="1810" t="str">
        <f t="shared" si="11"/>
        <v>建筑品质</v>
      </c>
      <c r="R35" s="774" t="s">
        <v>21</v>
      </c>
      <c r="S35" s="775">
        <f t="shared" si="12"/>
        <v>100</v>
      </c>
      <c r="T35" s="774" t="s">
        <v>21</v>
      </c>
      <c r="U35" s="775">
        <f t="shared" si="13"/>
        <v>100</v>
      </c>
      <c r="V35" s="774" t="s">
        <v>21</v>
      </c>
      <c r="W35" s="775">
        <f t="shared" si="14"/>
        <v>100</v>
      </c>
      <c r="X35" s="1813"/>
      <c r="Y35" s="3224"/>
      <c r="Z35" s="1814" t="str">
        <f t="shared" si="18"/>
        <v>建筑品质</v>
      </c>
      <c r="AA35" s="1811">
        <f t="shared" si="15"/>
        <v>1</v>
      </c>
      <c r="AB35" s="1811">
        <f t="shared" si="16"/>
        <v>1</v>
      </c>
      <c r="AC35" s="1811">
        <f t="shared" si="17"/>
        <v>1</v>
      </c>
    </row>
    <row r="36" spans="1:29" ht="15">
      <c r="A36" s="472"/>
      <c r="B36" s="422" t="s">
        <v>2565</v>
      </c>
      <c r="C36" s="2612"/>
      <c r="D36" s="435">
        <v>100</v>
      </c>
      <c r="E36" s="2613"/>
      <c r="F36" s="461">
        <f>SUMIF(109:109,E36,110:110)-SUMIF(109:109,C36,110:110)+100</f>
        <v>100</v>
      </c>
      <c r="G36" s="2612"/>
      <c r="H36" s="435">
        <f>SUMIF(109:109,G36,110:110)-SUMIF(109:109,C36,110:110)+100</f>
        <v>100</v>
      </c>
      <c r="I36" s="2613"/>
      <c r="J36" s="435">
        <f>SUMIF(109:109,I36,110:110)-SUMIF(109:109,C36,110:110)+100</f>
        <v>100</v>
      </c>
      <c r="K36" s="426"/>
      <c r="L36" s="1140"/>
      <c r="M36" s="1131"/>
      <c r="N36" s="1131"/>
      <c r="O36" s="1131"/>
      <c r="P36" s="3222"/>
      <c r="Q36" s="1810" t="str">
        <f t="shared" si="11"/>
        <v>公共部分装修</v>
      </c>
      <c r="R36" s="774" t="s">
        <v>21</v>
      </c>
      <c r="S36" s="775">
        <f t="shared" si="12"/>
        <v>100</v>
      </c>
      <c r="T36" s="774" t="s">
        <v>21</v>
      </c>
      <c r="U36" s="775">
        <f t="shared" si="13"/>
        <v>100</v>
      </c>
      <c r="V36" s="774" t="s">
        <v>21</v>
      </c>
      <c r="W36" s="775">
        <f t="shared" si="14"/>
        <v>100</v>
      </c>
      <c r="X36" s="1813"/>
      <c r="Y36" s="3224"/>
      <c r="Z36" s="1814" t="str">
        <f t="shared" si="18"/>
        <v>公共部分装修</v>
      </c>
      <c r="AA36" s="1811">
        <f t="shared" si="15"/>
        <v>1</v>
      </c>
      <c r="AB36" s="1811">
        <f t="shared" si="16"/>
        <v>1</v>
      </c>
      <c r="AC36" s="1811">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22"/>
      <c r="Q37" s="1795" t="str">
        <f t="shared" si="11"/>
        <v>成新度</v>
      </c>
      <c r="R37" s="770" t="s">
        <v>21</v>
      </c>
      <c r="S37" s="771" t="e">
        <f t="shared" si="12"/>
        <v>#N/A</v>
      </c>
      <c r="T37" s="770" t="s">
        <v>21</v>
      </c>
      <c r="U37" s="771" t="e">
        <f t="shared" si="13"/>
        <v>#N/A</v>
      </c>
      <c r="V37" s="770" t="s">
        <v>21</v>
      </c>
      <c r="W37" s="771" t="e">
        <f t="shared" si="14"/>
        <v>#N/A</v>
      </c>
      <c r="X37" s="772"/>
      <c r="Y37" s="3224"/>
      <c r="Z37" s="55" t="str">
        <f t="shared" si="18"/>
        <v>成新度</v>
      </c>
      <c r="AA37" s="773" t="e">
        <f t="shared" si="15"/>
        <v>#N/A</v>
      </c>
      <c r="AB37" s="773" t="e">
        <f t="shared" si="16"/>
        <v>#N/A</v>
      </c>
      <c r="AC37" s="773" t="e">
        <f t="shared" si="17"/>
        <v>#N/A</v>
      </c>
    </row>
    <row r="38" spans="1:29" ht="15">
      <c r="A38" s="472"/>
      <c r="B38" s="422" t="s">
        <v>2567</v>
      </c>
      <c r="C38" s="2612"/>
      <c r="D38" s="435">
        <v>100</v>
      </c>
      <c r="E38" s="2613"/>
      <c r="F38" s="461">
        <f>SUMIF(114:114,E38,115:115)-SUMIF(114:114,C38,115:115)+100</f>
        <v>100</v>
      </c>
      <c r="G38" s="2612"/>
      <c r="H38" s="435">
        <f>SUMIF(114:114,G38,115:115)-SUMIF(114:114,C38,115:115)+100</f>
        <v>100</v>
      </c>
      <c r="I38" s="2613"/>
      <c r="J38" s="435">
        <f>SUMIF(114:114,I38,115:115)-SUMIF(114:114,C38,115:115)+100</f>
        <v>100</v>
      </c>
      <c r="K38" s="426"/>
      <c r="L38" s="1140"/>
      <c r="M38" s="1131"/>
      <c r="N38" s="1131"/>
      <c r="O38" s="1131"/>
      <c r="P38" s="3222" t="s">
        <v>2561</v>
      </c>
      <c r="Q38" s="1810" t="str">
        <f t="shared" si="11"/>
        <v>物业管理</v>
      </c>
      <c r="R38" s="774" t="s">
        <v>21</v>
      </c>
      <c r="S38" s="775">
        <f t="shared" si="12"/>
        <v>100</v>
      </c>
      <c r="T38" s="774" t="s">
        <v>21</v>
      </c>
      <c r="U38" s="775">
        <f t="shared" si="13"/>
        <v>100</v>
      </c>
      <c r="V38" s="774" t="s">
        <v>21</v>
      </c>
      <c r="W38" s="775">
        <f t="shared" si="14"/>
        <v>100</v>
      </c>
      <c r="X38" s="1813"/>
      <c r="Y38" s="3224" t="s">
        <v>2561</v>
      </c>
      <c r="Z38" s="1814" t="str">
        <f t="shared" si="18"/>
        <v>物业管理</v>
      </c>
      <c r="AA38" s="1811">
        <f t="shared" si="15"/>
        <v>1</v>
      </c>
      <c r="AB38" s="1811">
        <f t="shared" si="16"/>
        <v>1</v>
      </c>
      <c r="AC38" s="1811">
        <f t="shared" si="17"/>
        <v>1</v>
      </c>
    </row>
    <row r="39" spans="1:29" ht="15">
      <c r="A39" s="472"/>
      <c r="B39" s="422" t="s">
        <v>2568</v>
      </c>
      <c r="C39" s="2612"/>
      <c r="D39" s="435">
        <v>100</v>
      </c>
      <c r="E39" s="2613"/>
      <c r="F39" s="461">
        <f>SUMIF(116:116,E39,117:117)-SUMIF(116:116,C39,117:117)+100</f>
        <v>100</v>
      </c>
      <c r="G39" s="2612"/>
      <c r="H39" s="435">
        <f>SUMIF(116:116,G39,117:117)-SUMIF(116:116,C39,117:117)+100</f>
        <v>100</v>
      </c>
      <c r="I39" s="2613"/>
      <c r="J39" s="435">
        <f>SUMIF(116:116,I39,117:117)-SUMIF(116:116,C39,117:117)+100</f>
        <v>100</v>
      </c>
      <c r="K39" s="426"/>
      <c r="L39" s="1140"/>
      <c r="M39" s="1131"/>
      <c r="N39" s="1131"/>
      <c r="O39" s="1131"/>
      <c r="P39" s="3222"/>
      <c r="Q39" s="1810" t="str">
        <f t="shared" si="11"/>
        <v>市政基础设施</v>
      </c>
      <c r="R39" s="774" t="s">
        <v>21</v>
      </c>
      <c r="S39" s="775">
        <f t="shared" si="12"/>
        <v>100</v>
      </c>
      <c r="T39" s="774" t="s">
        <v>21</v>
      </c>
      <c r="U39" s="775">
        <f t="shared" si="13"/>
        <v>100</v>
      </c>
      <c r="V39" s="774" t="s">
        <v>21</v>
      </c>
      <c r="W39" s="775">
        <f t="shared" si="14"/>
        <v>100</v>
      </c>
      <c r="X39" s="1813"/>
      <c r="Y39" s="3224"/>
      <c r="Z39" s="1814" t="str">
        <f t="shared" si="18"/>
        <v>市政基础设施</v>
      </c>
      <c r="AA39" s="1811">
        <f t="shared" si="15"/>
        <v>1</v>
      </c>
      <c r="AB39" s="1811">
        <f t="shared" si="16"/>
        <v>1</v>
      </c>
      <c r="AC39" s="1811">
        <f t="shared" si="17"/>
        <v>1</v>
      </c>
    </row>
    <row r="40" spans="1:29" ht="15">
      <c r="A40" s="472"/>
      <c r="B40" s="422" t="s">
        <v>2569</v>
      </c>
      <c r="C40" s="2612"/>
      <c r="D40" s="435">
        <v>100</v>
      </c>
      <c r="E40" s="2613"/>
      <c r="F40" s="461">
        <f>SUMIF(118:118,E40,119:119)-SUMIF(118:118,C40,119:119)+100</f>
        <v>100</v>
      </c>
      <c r="G40" s="2612"/>
      <c r="H40" s="435">
        <f>SUMIF(118:118,G40,119:119)-SUMIF(118:118,C40,119:119)+100</f>
        <v>100</v>
      </c>
      <c r="I40" s="2613"/>
      <c r="J40" s="435">
        <f>SUMIF(118:118,I40,119:119)-SUMIF(118:118,C40,119:119)+100</f>
        <v>100</v>
      </c>
      <c r="K40" s="426"/>
      <c r="L40" s="1140"/>
      <c r="M40" s="1131"/>
      <c r="N40" s="1131"/>
      <c r="O40" s="1131"/>
      <c r="P40" s="3222"/>
      <c r="Q40" s="1810" t="str">
        <f t="shared" si="11"/>
        <v>房型</v>
      </c>
      <c r="R40" s="774" t="s">
        <v>21</v>
      </c>
      <c r="S40" s="775">
        <f t="shared" si="12"/>
        <v>100</v>
      </c>
      <c r="T40" s="774" t="s">
        <v>21</v>
      </c>
      <c r="U40" s="775">
        <f t="shared" si="13"/>
        <v>100</v>
      </c>
      <c r="V40" s="774" t="s">
        <v>21</v>
      </c>
      <c r="W40" s="775">
        <f t="shared" si="14"/>
        <v>100</v>
      </c>
      <c r="X40" s="1813"/>
      <c r="Y40" s="3224"/>
      <c r="Z40" s="1814" t="str">
        <f t="shared" si="18"/>
        <v>房型</v>
      </c>
      <c r="AA40" s="1811">
        <f t="shared" si="15"/>
        <v>1</v>
      </c>
      <c r="AB40" s="1811">
        <f t="shared" si="16"/>
        <v>1</v>
      </c>
      <c r="AC40" s="1811">
        <f t="shared" si="17"/>
        <v>1</v>
      </c>
    </row>
    <row r="41" spans="1:29" s="471" customFormat="1" ht="28.8">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0"/>
      <c r="L41" s="1138"/>
      <c r="M41" s="1141"/>
      <c r="N41" s="1141"/>
      <c r="O41" s="1141"/>
      <c r="P41" s="3222"/>
      <c r="Q41" s="776" t="str">
        <f t="shared" si="11"/>
        <v>单套/主力户型建筑面积</v>
      </c>
      <c r="R41" s="777" t="s">
        <v>21</v>
      </c>
      <c r="S41" s="778">
        <f t="shared" si="12"/>
        <v>100</v>
      </c>
      <c r="T41" s="777" t="s">
        <v>21</v>
      </c>
      <c r="U41" s="778">
        <f t="shared" si="13"/>
        <v>100</v>
      </c>
      <c r="V41" s="777" t="s">
        <v>21</v>
      </c>
      <c r="W41" s="778">
        <f t="shared" si="14"/>
        <v>100</v>
      </c>
      <c r="X41" s="779"/>
      <c r="Y41" s="3224"/>
      <c r="Z41" s="780" t="str">
        <f t="shared" si="18"/>
        <v>单套/主力户型建筑面积</v>
      </c>
      <c r="AA41" s="1811">
        <f t="shared" si="15"/>
        <v>1</v>
      </c>
      <c r="AB41" s="1811">
        <f t="shared" si="16"/>
        <v>1</v>
      </c>
      <c r="AC41" s="1811">
        <f t="shared" si="17"/>
        <v>1</v>
      </c>
    </row>
    <row r="42" spans="1:29" ht="15">
      <c r="A42" s="472"/>
      <c r="B42" s="422" t="s">
        <v>2571</v>
      </c>
      <c r="C42" s="2612"/>
      <c r="D42" s="435">
        <v>100</v>
      </c>
      <c r="E42" s="2613"/>
      <c r="F42" s="461">
        <f>SUMIF(122:122,E42,123:123)-SUMIF(122:122,C42,123:123)+100</f>
        <v>100</v>
      </c>
      <c r="G42" s="2612"/>
      <c r="H42" s="435">
        <f>SUMIF(122:122,G42,123:123)-SUMIF(122:122,C42,123:123)+100</f>
        <v>100</v>
      </c>
      <c r="I42" s="2613"/>
      <c r="J42" s="435">
        <f>SUMIF(122:122,I42,123:123)-SUMIF(122:122,C42,123:123)+100</f>
        <v>100</v>
      </c>
      <c r="K42" s="426"/>
      <c r="L42" s="1140"/>
      <c r="M42" s="1131"/>
      <c r="N42" s="1131"/>
      <c r="O42" s="1131"/>
      <c r="P42" s="3222"/>
      <c r="Q42" s="1810" t="str">
        <f t="shared" si="11"/>
        <v>内部装修</v>
      </c>
      <c r="R42" s="774" t="s">
        <v>21</v>
      </c>
      <c r="S42" s="775">
        <f t="shared" si="12"/>
        <v>100</v>
      </c>
      <c r="T42" s="774" t="s">
        <v>21</v>
      </c>
      <c r="U42" s="775">
        <f t="shared" si="13"/>
        <v>100</v>
      </c>
      <c r="V42" s="774" t="s">
        <v>21</v>
      </c>
      <c r="W42" s="775">
        <f t="shared" si="14"/>
        <v>100</v>
      </c>
      <c r="X42" s="1813"/>
      <c r="Y42" s="3224"/>
      <c r="Z42" s="1814" t="str">
        <f t="shared" si="18"/>
        <v>内部装修</v>
      </c>
      <c r="AA42" s="1811">
        <f t="shared" si="15"/>
        <v>1</v>
      </c>
      <c r="AB42" s="1811">
        <f t="shared" si="16"/>
        <v>1</v>
      </c>
      <c r="AC42" s="1811">
        <f t="shared" si="17"/>
        <v>1</v>
      </c>
    </row>
    <row r="43" spans="1:29" ht="28.8">
      <c r="A43" s="472"/>
      <c r="B43" s="422" t="s">
        <v>2572</v>
      </c>
      <c r="C43" s="2612"/>
      <c r="D43" s="435">
        <v>100</v>
      </c>
      <c r="E43" s="2613"/>
      <c r="F43" s="461">
        <f>SUMIF(124:124,E43,125:125)-SUMIF(124:124,C43,125:125)+100</f>
        <v>100</v>
      </c>
      <c r="G43" s="2612"/>
      <c r="H43" s="435">
        <f>SUMIF(124:124,G43,125:125)-SUMIF(124:124,C43,125:125)+100</f>
        <v>100</v>
      </c>
      <c r="I43" s="2613"/>
      <c r="J43" s="435">
        <f>SUMIF(124:124,I43,125:125)-SUMIF(124:124,C43,125:125)+100</f>
        <v>100</v>
      </c>
      <c r="K43" s="426"/>
      <c r="L43" s="1140"/>
      <c r="M43" s="1131"/>
      <c r="N43" s="1131"/>
      <c r="O43" s="1131"/>
      <c r="P43" s="3222"/>
      <c r="Q43" s="1810" t="str">
        <f t="shared" si="11"/>
        <v>内部装修维护情况</v>
      </c>
      <c r="R43" s="774" t="s">
        <v>21</v>
      </c>
      <c r="S43" s="775">
        <f t="shared" si="12"/>
        <v>100</v>
      </c>
      <c r="T43" s="774" t="s">
        <v>21</v>
      </c>
      <c r="U43" s="775">
        <f t="shared" si="13"/>
        <v>100</v>
      </c>
      <c r="V43" s="774" t="s">
        <v>21</v>
      </c>
      <c r="W43" s="775">
        <f t="shared" si="14"/>
        <v>100</v>
      </c>
      <c r="X43" s="1813"/>
      <c r="Y43" s="3224"/>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0"/>
      <c r="L44" s="1132"/>
      <c r="M44" s="1133"/>
      <c r="N44" s="1133"/>
      <c r="O44" s="1133"/>
      <c r="P44" s="3222"/>
      <c r="Q44" s="1795">
        <f t="shared" si="11"/>
        <v>111</v>
      </c>
      <c r="R44" s="770" t="s">
        <v>21</v>
      </c>
      <c r="S44" s="771">
        <f t="shared" si="12"/>
        <v>100</v>
      </c>
      <c r="T44" s="770" t="s">
        <v>21</v>
      </c>
      <c r="U44" s="771">
        <f t="shared" si="13"/>
        <v>100</v>
      </c>
      <c r="V44" s="770" t="s">
        <v>21</v>
      </c>
      <c r="W44" s="771">
        <f t="shared" si="14"/>
        <v>100</v>
      </c>
      <c r="X44" s="772"/>
      <c r="Y44" s="3224"/>
      <c r="Z44" s="55">
        <f t="shared" si="18"/>
        <v>111</v>
      </c>
      <c r="AA44" s="773">
        <f t="shared" si="15"/>
        <v>1</v>
      </c>
      <c r="AB44" s="773">
        <f t="shared" si="16"/>
        <v>1</v>
      </c>
      <c r="AC44" s="773">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0"/>
      <c r="L45" s="1140"/>
      <c r="M45" s="1131"/>
      <c r="N45" s="1131"/>
      <c r="O45" s="1131"/>
      <c r="P45" s="3222"/>
      <c r="Q45" s="1810">
        <f t="shared" si="11"/>
        <v>111</v>
      </c>
      <c r="R45" s="774" t="s">
        <v>21</v>
      </c>
      <c r="S45" s="775">
        <f t="shared" si="12"/>
        <v>100</v>
      </c>
      <c r="T45" s="774" t="s">
        <v>21</v>
      </c>
      <c r="U45" s="775">
        <f t="shared" si="13"/>
        <v>100</v>
      </c>
      <c r="V45" s="774" t="s">
        <v>21</v>
      </c>
      <c r="W45" s="775">
        <f t="shared" si="14"/>
        <v>100</v>
      </c>
      <c r="X45" s="1813"/>
      <c r="Y45" s="3224"/>
      <c r="Z45" s="1814">
        <f t="shared" si="18"/>
        <v>111</v>
      </c>
      <c r="AA45" s="1811">
        <f t="shared" si="15"/>
        <v>1</v>
      </c>
      <c r="AB45" s="1811">
        <f t="shared" si="16"/>
        <v>1</v>
      </c>
      <c r="AC45" s="1811">
        <f t="shared" si="17"/>
        <v>1</v>
      </c>
    </row>
    <row r="46" spans="1:29" ht="15.6" thickBot="1">
      <c r="A46" s="478"/>
      <c r="B46" s="2601">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0"/>
      <c r="L46" s="1140"/>
      <c r="M46" s="1131"/>
      <c r="N46" s="1131"/>
      <c r="O46" s="1131"/>
      <c r="P46" s="3223"/>
      <c r="Q46" s="1810">
        <f t="shared" si="11"/>
        <v>111</v>
      </c>
      <c r="R46" s="774" t="s">
        <v>20</v>
      </c>
      <c r="S46" s="775">
        <f t="shared" si="12"/>
        <v>100</v>
      </c>
      <c r="T46" s="774" t="s">
        <v>20</v>
      </c>
      <c r="U46" s="775">
        <f t="shared" si="13"/>
        <v>100</v>
      </c>
      <c r="V46" s="774" t="s">
        <v>20</v>
      </c>
      <c r="W46" s="775">
        <f t="shared" si="14"/>
        <v>100</v>
      </c>
      <c r="X46" s="1813"/>
      <c r="Y46" s="3225"/>
      <c r="Z46" s="1814">
        <f t="shared" si="18"/>
        <v>111</v>
      </c>
      <c r="AA46" s="1811">
        <f t="shared" si="15"/>
        <v>1</v>
      </c>
      <c r="AB46" s="1811">
        <f t="shared" si="16"/>
        <v>1</v>
      </c>
      <c r="AC46" s="1811">
        <f t="shared" si="17"/>
        <v>1</v>
      </c>
    </row>
    <row r="47" spans="1:29" ht="14.4">
      <c r="A47" s="479" t="s">
        <v>2573</v>
      </c>
      <c r="B47" s="480"/>
      <c r="C47" s="1407" t="s">
        <v>19</v>
      </c>
      <c r="D47" s="1408"/>
      <c r="E47" s="1409"/>
      <c r="F47" s="1410"/>
      <c r="G47" s="1411"/>
      <c r="H47" s="1412"/>
      <c r="I47" s="1409"/>
      <c r="J47" s="1412"/>
      <c r="K47" s="2620"/>
      <c r="L47" s="1143"/>
      <c r="M47" s="1144"/>
      <c r="N47" s="1131"/>
      <c r="O47" s="1144"/>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 thickBot="1">
      <c r="A48" s="486" t="s">
        <v>2574</v>
      </c>
      <c r="B48" s="487"/>
      <c r="C48" s="1413" t="e">
        <f>R49</f>
        <v>#DIV/0!</v>
      </c>
      <c r="D48" s="1414"/>
      <c r="E48" s="1415" t="e">
        <f>R48</f>
        <v>#DIV/0!</v>
      </c>
      <c r="F48" s="1415"/>
      <c r="G48" s="1413" t="e">
        <f>T48</f>
        <v>#DIV/0!</v>
      </c>
      <c r="H48" s="1414"/>
      <c r="I48" s="1415" t="e">
        <f>V48</f>
        <v>#DIV/0!</v>
      </c>
      <c r="J48" s="1414"/>
      <c r="K48" s="2621"/>
      <c r="L48" s="1143"/>
      <c r="M48" s="1144"/>
      <c r="N48" s="1144"/>
      <c r="O48" s="1144"/>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 thickBot="1">
      <c r="A49" s="492" t="s">
        <v>2575</v>
      </c>
      <c r="B49" s="493"/>
      <c r="C49" s="1416" t="e">
        <f>R49</f>
        <v>#DIV/0!</v>
      </c>
      <c r="D49" s="1417"/>
      <c r="E49" s="1417"/>
      <c r="F49" s="1417"/>
      <c r="G49" s="1417"/>
      <c r="H49" s="1417"/>
      <c r="I49" s="1417"/>
      <c r="J49" s="1417"/>
      <c r="K49" s="2622"/>
      <c r="L49" s="1143"/>
      <c r="M49" s="1144"/>
      <c r="N49" s="1144"/>
      <c r="O49" s="1144"/>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4"/>
    </row>
    <row r="55" spans="1:29" s="502" customFormat="1">
      <c r="A55" s="1145"/>
      <c r="B55" s="1146"/>
      <c r="C55" s="1150"/>
      <c r="D55" s="1145"/>
      <c r="E55" s="1145"/>
      <c r="F55" s="1145"/>
      <c r="G55" s="1145"/>
      <c r="H55" s="1145"/>
      <c r="I55" s="1145"/>
      <c r="J55" s="1145"/>
      <c r="K55" s="1148"/>
      <c r="L55" s="1149"/>
      <c r="M55" s="1145"/>
      <c r="N55" s="1145"/>
      <c r="O55" s="1145"/>
      <c r="P55" s="2624"/>
    </row>
    <row r="56" spans="1:29">
      <c r="A56" s="1144"/>
      <c r="B56" s="1146"/>
      <c r="C56" s="1150"/>
      <c r="D56" s="1144"/>
      <c r="E56" s="1144"/>
      <c r="F56" s="1144"/>
      <c r="G56" s="1144"/>
      <c r="H56" s="1144"/>
      <c r="I56" s="1144"/>
      <c r="J56" s="1144"/>
      <c r="K56" s="1105"/>
      <c r="L56" s="1106"/>
      <c r="M56" s="1144"/>
      <c r="N56" s="1144"/>
      <c r="O56" s="1144"/>
    </row>
    <row r="57" spans="1:29" ht="22.2" thickBot="1">
      <c r="A57" s="763" t="s">
        <v>2579</v>
      </c>
      <c r="B57" s="759"/>
      <c r="C57" s="764"/>
      <c r="D57" s="764"/>
      <c r="E57" s="764"/>
      <c r="F57" s="765"/>
      <c r="G57" s="765"/>
      <c r="H57" s="764"/>
      <c r="I57" s="764"/>
      <c r="J57" s="764"/>
      <c r="K57" s="1160"/>
      <c r="L57" s="1161"/>
      <c r="M57" s="1159"/>
      <c r="N57" s="1159"/>
      <c r="O57" s="1159"/>
      <c r="P57" s="2625"/>
      <c r="Q57" s="504"/>
    </row>
    <row r="58" spans="1:29" s="508" customFormat="1" ht="14.4">
      <c r="A58" s="505" t="s">
        <v>2580</v>
      </c>
      <c r="B58" s="506"/>
      <c r="C58" s="1576" t="str">
        <f>YEAR(C7)&amp;"-"&amp;MONTH(C7)</f>
        <v>2019-8</v>
      </c>
      <c r="D58" s="1575">
        <f>EDATE(C58,-1)</f>
        <v>43647</v>
      </c>
      <c r="E58" s="1575">
        <f>EDATE(D58,-1)</f>
        <v>43617</v>
      </c>
      <c r="F58" s="1575">
        <f t="shared" ref="F58:O58" si="19">EDATE(E58,-1)</f>
        <v>43586</v>
      </c>
      <c r="G58" s="1575">
        <f t="shared" si="19"/>
        <v>43556</v>
      </c>
      <c r="H58" s="1575">
        <f t="shared" si="19"/>
        <v>43525</v>
      </c>
      <c r="I58" s="1575">
        <f t="shared" si="19"/>
        <v>43497</v>
      </c>
      <c r="J58" s="1575">
        <f t="shared" si="19"/>
        <v>43466</v>
      </c>
      <c r="K58" s="1575">
        <f t="shared" si="19"/>
        <v>43435</v>
      </c>
      <c r="L58" s="1575">
        <f t="shared" si="19"/>
        <v>43405</v>
      </c>
      <c r="M58" s="1575">
        <f t="shared" si="19"/>
        <v>43374</v>
      </c>
      <c r="N58" s="1575">
        <f t="shared" si="19"/>
        <v>43344</v>
      </c>
      <c r="O58" s="1575">
        <f t="shared" si="19"/>
        <v>43313</v>
      </c>
      <c r="P58" s="1570"/>
    </row>
    <row r="59" spans="1:29" s="117" customFormat="1">
      <c r="A59" s="509"/>
      <c r="B59" s="2626"/>
      <c r="C59" s="1573">
        <v>100</v>
      </c>
      <c r="D59" s="511"/>
      <c r="E59" s="512"/>
      <c r="F59" s="512"/>
      <c r="G59" s="512"/>
      <c r="H59" s="512"/>
      <c r="I59" s="512"/>
      <c r="J59" s="512"/>
      <c r="K59" s="512"/>
      <c r="L59" s="512"/>
      <c r="M59" s="513"/>
      <c r="N59" s="512"/>
      <c r="O59" s="513"/>
      <c r="P59" s="2627"/>
    </row>
    <row r="60" spans="1:29" s="117" customFormat="1" ht="15" thickBot="1">
      <c r="A60" s="515" t="s">
        <v>2581</v>
      </c>
      <c r="B60" s="516"/>
      <c r="C60" s="517"/>
      <c r="D60" s="518"/>
      <c r="E60" s="518"/>
      <c r="F60" s="518"/>
      <c r="G60" s="518"/>
      <c r="H60" s="518"/>
      <c r="I60" s="518"/>
      <c r="J60" s="518"/>
      <c r="K60" s="518"/>
      <c r="L60" s="518"/>
      <c r="M60" s="519"/>
      <c r="N60" s="518"/>
      <c r="O60" s="519"/>
      <c r="P60" s="2627"/>
      <c r="Q60" s="504"/>
    </row>
    <row r="61" spans="1:29" s="117" customFormat="1" ht="14.4">
      <c r="A61" s="521" t="s">
        <v>2582</v>
      </c>
      <c r="B61" s="510"/>
      <c r="C61" s="522" t="s">
        <v>2583</v>
      </c>
      <c r="D61" s="523"/>
      <c r="E61" s="523"/>
      <c r="F61" s="523"/>
      <c r="G61" s="523"/>
      <c r="H61" s="523"/>
      <c r="I61" s="523"/>
      <c r="J61" s="523"/>
      <c r="K61" s="523"/>
      <c r="L61" s="524"/>
      <c r="M61" s="525"/>
      <c r="N61" s="1151"/>
      <c r="O61" s="1151"/>
      <c r="P61" s="2628"/>
      <c r="Q61" s="504"/>
    </row>
    <row r="62" spans="1:29" s="117" customFormat="1" ht="14.4" thickBot="1">
      <c r="A62" s="521"/>
      <c r="B62" s="510"/>
      <c r="C62" s="511">
        <v>100</v>
      </c>
      <c r="D62" s="512"/>
      <c r="E62" s="512"/>
      <c r="F62" s="512"/>
      <c r="G62" s="512"/>
      <c r="H62" s="512"/>
      <c r="I62" s="512"/>
      <c r="J62" s="512"/>
      <c r="K62" s="512"/>
      <c r="L62" s="512"/>
      <c r="M62" s="514"/>
      <c r="N62" s="1151"/>
      <c r="O62" s="1151"/>
      <c r="P62" s="2627"/>
      <c r="Q62" s="504"/>
    </row>
    <row r="63" spans="1:29" ht="14.4">
      <c r="A63" s="527" t="s">
        <v>2584</v>
      </c>
      <c r="B63" s="528" t="s">
        <v>2550</v>
      </c>
      <c r="C63" s="529">
        <f>C9</f>
        <v>0</v>
      </c>
      <c r="D63" s="530"/>
      <c r="E63" s="530"/>
      <c r="F63" s="530"/>
      <c r="G63" s="530"/>
      <c r="H63" s="530"/>
      <c r="I63" s="530"/>
      <c r="J63" s="530"/>
      <c r="K63" s="531"/>
      <c r="L63" s="532"/>
      <c r="M63" s="533"/>
      <c r="N63" s="1152"/>
      <c r="O63" s="1152"/>
      <c r="P63" s="2629"/>
      <c r="Q63" s="504"/>
    </row>
    <row r="64" spans="1:29" ht="14.4" thickBot="1">
      <c r="A64" s="534"/>
      <c r="B64" s="535"/>
      <c r="C64" s="536">
        <v>100</v>
      </c>
      <c r="D64" s="536"/>
      <c r="E64" s="536"/>
      <c r="F64" s="536"/>
      <c r="G64" s="536"/>
      <c r="H64" s="536"/>
      <c r="I64" s="536"/>
      <c r="J64" s="536"/>
      <c r="K64" s="536"/>
      <c r="L64" s="536"/>
      <c r="M64" s="537"/>
      <c r="N64" s="1153"/>
      <c r="O64" s="1153"/>
      <c r="P64" s="2629"/>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29"/>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9"/>
      <c r="Q66" s="504"/>
    </row>
    <row r="67" spans="1:17" ht="1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9"/>
      <c r="Q67" s="504"/>
    </row>
    <row r="68" spans="1:17">
      <c r="A68" s="534"/>
      <c r="B68" s="548"/>
      <c r="C68" s="549"/>
      <c r="D68" s="549"/>
      <c r="E68" s="549"/>
      <c r="F68" s="549"/>
      <c r="G68" s="549"/>
      <c r="H68" s="549"/>
      <c r="I68" s="549"/>
      <c r="J68" s="549"/>
      <c r="K68" s="550"/>
      <c r="L68" s="551"/>
      <c r="M68" s="552"/>
      <c r="N68" s="1152"/>
      <c r="O68" s="1152"/>
      <c r="P68" s="2629"/>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9"/>
      <c r="Q69" s="504"/>
    </row>
    <row r="70" spans="1:17" s="471" customFormat="1" ht="14.4" thickTop="1">
      <c r="A70" s="553"/>
      <c r="B70" s="538">
        <f>B12</f>
        <v>111</v>
      </c>
      <c r="C70" s="554"/>
      <c r="D70" s="554"/>
      <c r="E70" s="554"/>
      <c r="F70" s="554"/>
      <c r="G70" s="554"/>
      <c r="H70" s="555"/>
      <c r="I70" s="555"/>
      <c r="J70" s="555"/>
      <c r="K70" s="555"/>
      <c r="L70" s="556"/>
      <c r="M70" s="557"/>
      <c r="N70" s="1154"/>
      <c r="O70" s="1154"/>
      <c r="P70" s="2630"/>
      <c r="Q70" s="559"/>
    </row>
    <row r="71" spans="1:17" s="471" customFormat="1" ht="14.4" thickBot="1">
      <c r="A71" s="553"/>
      <c r="B71" s="543"/>
      <c r="C71" s="560"/>
      <c r="D71" s="536"/>
      <c r="E71" s="536"/>
      <c r="F71" s="536"/>
      <c r="G71" s="536"/>
      <c r="H71" s="536"/>
      <c r="I71" s="536"/>
      <c r="J71" s="536"/>
      <c r="K71" s="536"/>
      <c r="L71" s="536"/>
      <c r="M71" s="537"/>
      <c r="N71" s="1153"/>
      <c r="O71" s="1153"/>
      <c r="P71" s="2630"/>
      <c r="Q71" s="559"/>
    </row>
    <row r="72" spans="1:17" s="471" customFormat="1" ht="14.4" thickTop="1">
      <c r="A72" s="553"/>
      <c r="B72" s="538">
        <f>B13</f>
        <v>111</v>
      </c>
      <c r="C72" s="554"/>
      <c r="D72" s="554"/>
      <c r="E72" s="554"/>
      <c r="F72" s="554"/>
      <c r="G72" s="554"/>
      <c r="H72" s="555"/>
      <c r="I72" s="555"/>
      <c r="J72" s="555"/>
      <c r="K72" s="555"/>
      <c r="L72" s="556"/>
      <c r="M72" s="557"/>
      <c r="N72" s="1154"/>
      <c r="O72" s="1154"/>
      <c r="P72" s="2631"/>
      <c r="Q72" s="561"/>
    </row>
    <row r="73" spans="1:17" s="471" customFormat="1" ht="14.4" thickBot="1">
      <c r="A73" s="553"/>
      <c r="B73" s="543"/>
      <c r="C73" s="560"/>
      <c r="D73" s="560"/>
      <c r="E73" s="560"/>
      <c r="F73" s="560"/>
      <c r="G73" s="560"/>
      <c r="H73" s="562"/>
      <c r="I73" s="562"/>
      <c r="J73" s="562"/>
      <c r="K73" s="562"/>
      <c r="L73" s="562"/>
      <c r="M73" s="563"/>
      <c r="N73" s="1154"/>
      <c r="O73" s="1154"/>
      <c r="P73" s="2630"/>
      <c r="Q73" s="559"/>
    </row>
    <row r="74" spans="1:17" s="471" customFormat="1" ht="14.4" thickTop="1">
      <c r="A74" s="553"/>
      <c r="B74" s="546">
        <f>B14</f>
        <v>111</v>
      </c>
      <c r="C74" s="554"/>
      <c r="D74" s="554"/>
      <c r="E74" s="554"/>
      <c r="F74" s="554"/>
      <c r="G74" s="523"/>
      <c r="H74" s="564"/>
      <c r="I74" s="564"/>
      <c r="J74" s="564"/>
      <c r="K74" s="564"/>
      <c r="L74" s="565"/>
      <c r="M74" s="566"/>
      <c r="N74" s="1154"/>
      <c r="O74" s="1154"/>
      <c r="P74" s="2632"/>
      <c r="Q74" s="559"/>
    </row>
    <row r="75" spans="1:17" s="471" customFormat="1" ht="14.4" thickBot="1">
      <c r="A75" s="568"/>
      <c r="B75" s="569"/>
      <c r="C75" s="570"/>
      <c r="D75" s="570"/>
      <c r="E75" s="570"/>
      <c r="F75" s="570"/>
      <c r="G75" s="570"/>
      <c r="H75" s="571"/>
      <c r="I75" s="571"/>
      <c r="J75" s="571"/>
      <c r="K75" s="571"/>
      <c r="L75" s="571"/>
      <c r="M75" s="572"/>
      <c r="N75" s="1154"/>
      <c r="O75" s="1154"/>
      <c r="P75" s="2630"/>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2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2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 thickTop="1">
      <c r="A82" s="534"/>
      <c r="B82" s="546" t="s">
        <v>2094</v>
      </c>
      <c r="C82" s="539" t="s">
        <v>2600</v>
      </c>
      <c r="D82" s="539" t="s">
        <v>2601</v>
      </c>
      <c r="E82" s="539" t="s">
        <v>2602</v>
      </c>
      <c r="F82" s="539" t="s">
        <v>2603</v>
      </c>
      <c r="G82" s="539" t="s">
        <v>2604</v>
      </c>
      <c r="H82" s="539"/>
      <c r="I82" s="539"/>
      <c r="J82" s="539"/>
      <c r="K82" s="539"/>
      <c r="L82" s="539"/>
      <c r="M82" s="1382"/>
      <c r="N82" s="1153"/>
      <c r="O82" s="1153"/>
      <c r="P82" s="2629"/>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9"/>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2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 thickTop="1">
      <c r="A86" s="579"/>
      <c r="B86" s="538" t="s">
        <v>2606</v>
      </c>
      <c r="C86" s="554"/>
      <c r="D86" s="554"/>
      <c r="E86" s="554"/>
      <c r="F86" s="554"/>
      <c r="G86" s="554"/>
      <c r="H86" s="554"/>
      <c r="I86" s="554"/>
      <c r="J86" s="554"/>
      <c r="K86" s="554"/>
      <c r="L86" s="580"/>
      <c r="M86" s="581"/>
      <c r="N86" s="1151"/>
      <c r="O86" s="1151"/>
      <c r="P86" s="2629"/>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9"/>
      <c r="Q87" s="504"/>
    </row>
    <row r="88" spans="1:17" s="117" customFormat="1" ht="15" thickTop="1">
      <c r="A88" s="579"/>
      <c r="B88" s="538" t="s">
        <v>2607</v>
      </c>
      <c r="C88" s="554"/>
      <c r="D88" s="554"/>
      <c r="E88" s="554"/>
      <c r="F88" s="2634"/>
      <c r="G88" s="554"/>
      <c r="H88" s="554"/>
      <c r="I88" s="554"/>
      <c r="J88" s="554"/>
      <c r="K88" s="554"/>
      <c r="L88" s="554"/>
      <c r="M88" s="581"/>
      <c r="N88" s="1151"/>
      <c r="O88" s="1151"/>
      <c r="P88" s="2629"/>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9"/>
      <c r="Q89" s="504"/>
    </row>
    <row r="90" spans="1:17" s="471" customFormat="1" ht="14.4" thickTop="1">
      <c r="A90" s="553"/>
      <c r="B90" s="538">
        <f>B27</f>
        <v>111</v>
      </c>
      <c r="C90" s="554"/>
      <c r="D90" s="554"/>
      <c r="E90" s="554"/>
      <c r="F90" s="554"/>
      <c r="G90" s="554"/>
      <c r="H90" s="555"/>
      <c r="I90" s="555"/>
      <c r="J90" s="555"/>
      <c r="K90" s="555"/>
      <c r="L90" s="556"/>
      <c r="M90" s="557"/>
      <c r="N90" s="1154"/>
      <c r="O90" s="1154"/>
      <c r="P90" s="2630"/>
      <c r="Q90" s="559"/>
    </row>
    <row r="91" spans="1:17" s="471" customFormat="1" ht="14.4" thickBot="1">
      <c r="A91" s="553"/>
      <c r="B91" s="543"/>
      <c r="C91" s="560"/>
      <c r="D91" s="560"/>
      <c r="E91" s="560"/>
      <c r="F91" s="560"/>
      <c r="G91" s="560"/>
      <c r="H91" s="562"/>
      <c r="I91" s="562"/>
      <c r="J91" s="562"/>
      <c r="K91" s="562"/>
      <c r="L91" s="562"/>
      <c r="M91" s="563"/>
      <c r="N91" s="1154"/>
      <c r="O91" s="1154"/>
      <c r="P91" s="2630"/>
      <c r="Q91" s="559"/>
    </row>
    <row r="92" spans="1:17" ht="14.4" thickTop="1">
      <c r="A92" s="534"/>
      <c r="B92" s="538">
        <f>B28</f>
        <v>111</v>
      </c>
      <c r="C92" s="554"/>
      <c r="D92" s="554"/>
      <c r="E92" s="554"/>
      <c r="F92" s="554"/>
      <c r="G92" s="583"/>
      <c r="H92" s="583"/>
      <c r="I92" s="583"/>
      <c r="J92" s="583"/>
      <c r="K92" s="584"/>
      <c r="L92" s="585"/>
      <c r="M92" s="586"/>
      <c r="N92" s="1152"/>
      <c r="O92" s="1152"/>
      <c r="P92" s="2629"/>
      <c r="Q92" s="504"/>
    </row>
    <row r="93" spans="1:17" ht="14.4" thickBot="1">
      <c r="A93" s="534"/>
      <c r="B93" s="543"/>
      <c r="C93" s="560"/>
      <c r="D93" s="536"/>
      <c r="E93" s="536"/>
      <c r="F93" s="536"/>
      <c r="G93" s="536"/>
      <c r="H93" s="536"/>
      <c r="I93" s="536"/>
      <c r="J93" s="536"/>
      <c r="K93" s="536"/>
      <c r="L93" s="536"/>
      <c r="M93" s="537"/>
      <c r="N93" s="1153"/>
      <c r="O93" s="1153"/>
      <c r="P93" s="2629"/>
      <c r="Q93" s="504"/>
    </row>
    <row r="94" spans="1:17" ht="14.4" thickTop="1">
      <c r="A94" s="534"/>
      <c r="B94" s="538">
        <f>B29</f>
        <v>111</v>
      </c>
      <c r="C94" s="554"/>
      <c r="D94" s="554"/>
      <c r="E94" s="554"/>
      <c r="F94" s="554"/>
      <c r="G94" s="583"/>
      <c r="H94" s="583"/>
      <c r="I94" s="583"/>
      <c r="J94" s="583"/>
      <c r="K94" s="584"/>
      <c r="L94" s="585"/>
      <c r="M94" s="586"/>
      <c r="N94" s="1152"/>
      <c r="O94" s="1152"/>
      <c r="P94" s="2629"/>
      <c r="Q94" s="504"/>
    </row>
    <row r="95" spans="1:17" ht="14.4" thickBot="1">
      <c r="A95" s="534"/>
      <c r="B95" s="543"/>
      <c r="C95" s="560"/>
      <c r="D95" s="560"/>
      <c r="E95" s="560"/>
      <c r="F95" s="560"/>
      <c r="G95" s="536"/>
      <c r="H95" s="536"/>
      <c r="I95" s="536"/>
      <c r="J95" s="536"/>
      <c r="K95" s="536"/>
      <c r="L95" s="536"/>
      <c r="M95" s="537"/>
      <c r="N95" s="1153"/>
      <c r="O95" s="1153"/>
      <c r="P95" s="2629"/>
      <c r="Q95" s="504"/>
    </row>
    <row r="96" spans="1:17" ht="14.4" thickTop="1">
      <c r="A96" s="534"/>
      <c r="B96" s="538">
        <f>B30</f>
        <v>111</v>
      </c>
      <c r="C96" s="554"/>
      <c r="D96" s="554"/>
      <c r="E96" s="554"/>
      <c r="F96" s="554"/>
      <c r="G96" s="583"/>
      <c r="H96" s="583"/>
      <c r="I96" s="583"/>
      <c r="J96" s="583"/>
      <c r="K96" s="584"/>
      <c r="L96" s="585"/>
      <c r="M96" s="586"/>
      <c r="N96" s="1152"/>
      <c r="O96" s="1152"/>
      <c r="P96" s="2629"/>
      <c r="Q96" s="504"/>
    </row>
    <row r="97" spans="1:17" ht="14.4" thickBot="1">
      <c r="A97" s="534"/>
      <c r="B97" s="543"/>
      <c r="C97" s="570"/>
      <c r="D97" s="570"/>
      <c r="E97" s="570"/>
      <c r="F97" s="570"/>
      <c r="G97" s="536"/>
      <c r="H97" s="536"/>
      <c r="I97" s="536"/>
      <c r="J97" s="536"/>
      <c r="K97" s="536"/>
      <c r="L97" s="536"/>
      <c r="M97" s="537"/>
      <c r="N97" s="1153"/>
      <c r="O97" s="1153"/>
      <c r="P97" s="2629"/>
      <c r="Q97" s="504"/>
    </row>
    <row r="98" spans="1:17" ht="14.4" thickTop="1">
      <c r="A98" s="534"/>
      <c r="B98" s="546">
        <f>B31</f>
        <v>111</v>
      </c>
      <c r="C98" s="587"/>
      <c r="D98" s="587"/>
      <c r="E98" s="587"/>
      <c r="F98" s="587"/>
      <c r="G98" s="587"/>
      <c r="H98" s="587"/>
      <c r="I98" s="587"/>
      <c r="J98" s="587"/>
      <c r="K98" s="588"/>
      <c r="L98" s="589"/>
      <c r="M98" s="590"/>
      <c r="N98" s="1152"/>
      <c r="O98" s="1152"/>
      <c r="P98" s="2629"/>
      <c r="Q98" s="504"/>
    </row>
    <row r="99" spans="1:17" ht="14.4" thickBot="1">
      <c r="A99" s="2635"/>
      <c r="B99" s="569"/>
      <c r="C99" s="591"/>
      <c r="D99" s="591"/>
      <c r="E99" s="591"/>
      <c r="F99" s="591"/>
      <c r="G99" s="591"/>
      <c r="H99" s="591"/>
      <c r="I99" s="591"/>
      <c r="J99" s="591"/>
      <c r="K99" s="591"/>
      <c r="L99" s="591"/>
      <c r="M99" s="592"/>
      <c r="N99" s="1153"/>
      <c r="O99" s="1153"/>
      <c r="P99" s="2629"/>
      <c r="Q99" s="504"/>
    </row>
    <row r="100" spans="1:17" ht="14.4">
      <c r="A100" s="527" t="s">
        <v>2559</v>
      </c>
      <c r="B100" s="528" t="s">
        <v>2608</v>
      </c>
      <c r="C100" s="530"/>
      <c r="D100" s="530"/>
      <c r="E100" s="530"/>
      <c r="F100" s="530"/>
      <c r="G100" s="530"/>
      <c r="H100" s="530"/>
      <c r="I100" s="530"/>
      <c r="J100" s="530"/>
      <c r="K100" s="531"/>
      <c r="L100" s="532"/>
      <c r="M100" s="533"/>
      <c r="N100" s="1152"/>
      <c r="O100" s="1152"/>
      <c r="P100" s="2629"/>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9"/>
      <c r="Q101" s="504"/>
    </row>
    <row r="102" spans="1:17" ht="1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4.4" thickBot="1">
      <c r="A104" s="553"/>
      <c r="B104" s="543"/>
      <c r="C104" s="560"/>
      <c r="D104" s="536"/>
      <c r="E104" s="536"/>
      <c r="F104" s="536"/>
      <c r="G104" s="536"/>
      <c r="H104" s="536"/>
      <c r="I104" s="536"/>
      <c r="J104" s="536"/>
      <c r="K104" s="536"/>
      <c r="L104" s="536"/>
      <c r="M104" s="536"/>
      <c r="N104" s="1153"/>
      <c r="O104" s="1153"/>
      <c r="P104" s="2630"/>
      <c r="Q104" s="559"/>
    </row>
    <row r="105" spans="1:17" ht="15" thickTop="1">
      <c r="A105" s="599"/>
      <c r="B105" s="538" t="s">
        <v>2610</v>
      </c>
      <c r="C105" s="554"/>
      <c r="D105" s="554"/>
      <c r="E105" s="583"/>
      <c r="F105" s="583"/>
      <c r="G105" s="583"/>
      <c r="H105" s="583"/>
      <c r="I105" s="583"/>
      <c r="J105" s="583"/>
      <c r="K105" s="584"/>
      <c r="L105" s="585"/>
      <c r="M105" s="586"/>
      <c r="N105" s="1152"/>
      <c r="O105" s="1152"/>
      <c r="P105" s="2629"/>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9"/>
      <c r="Q106" s="504"/>
    </row>
    <row r="107" spans="1:17" ht="15" thickTop="1">
      <c r="A107" s="599"/>
      <c r="B107" s="538" t="s">
        <v>2611</v>
      </c>
      <c r="C107" s="583"/>
      <c r="D107" s="583"/>
      <c r="E107" s="583"/>
      <c r="F107" s="583"/>
      <c r="G107" s="583"/>
      <c r="H107" s="583"/>
      <c r="I107" s="583"/>
      <c r="J107" s="583"/>
      <c r="K107" s="584"/>
      <c r="L107" s="585"/>
      <c r="M107" s="586"/>
      <c r="N107" s="1152"/>
      <c r="O107" s="1152"/>
      <c r="P107" s="2629"/>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9"/>
      <c r="Q108" s="504"/>
    </row>
    <row r="109" spans="1:17" ht="15" thickTop="1">
      <c r="A109" s="599"/>
      <c r="B109" s="538" t="s">
        <v>2612</v>
      </c>
      <c r="C109" s="554"/>
      <c r="D109" s="554"/>
      <c r="E109" s="554"/>
      <c r="F109" s="583"/>
      <c r="G109" s="583"/>
      <c r="H109" s="583"/>
      <c r="I109" s="583"/>
      <c r="J109" s="583"/>
      <c r="K109" s="584"/>
      <c r="L109" s="585"/>
      <c r="M109" s="586"/>
      <c r="N109" s="1152"/>
      <c r="O109" s="1152"/>
      <c r="P109" s="2629"/>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9"/>
      <c r="Q110" s="504"/>
    </row>
    <row r="111" spans="1:17" s="471" customFormat="1" ht="15" thickTop="1">
      <c r="A111" s="593"/>
      <c r="B111" s="538" t="s">
        <v>1994</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30"/>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30"/>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30"/>
      <c r="Q113" s="559"/>
    </row>
    <row r="114" spans="1:17" ht="15" thickTop="1">
      <c r="A114" s="599"/>
      <c r="B114" s="538" t="s">
        <v>2613</v>
      </c>
      <c r="C114" s="554"/>
      <c r="D114" s="554"/>
      <c r="E114" s="583"/>
      <c r="F114" s="583"/>
      <c r="G114" s="583"/>
      <c r="H114" s="583"/>
      <c r="I114" s="583"/>
      <c r="J114" s="583"/>
      <c r="K114" s="584"/>
      <c r="L114" s="585"/>
      <c r="M114" s="586"/>
      <c r="N114" s="1152"/>
      <c r="O114" s="1152"/>
      <c r="P114" s="2629"/>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9"/>
      <c r="Q115" s="504"/>
    </row>
    <row r="116" spans="1:17" ht="15" thickTop="1">
      <c r="A116" s="599"/>
      <c r="B116" s="538" t="s">
        <v>2614</v>
      </c>
      <c r="C116" s="554"/>
      <c r="D116" s="554"/>
      <c r="E116" s="554"/>
      <c r="F116" s="554"/>
      <c r="G116" s="554"/>
      <c r="H116" s="583"/>
      <c r="I116" s="583"/>
      <c r="J116" s="583"/>
      <c r="K116" s="584"/>
      <c r="L116" s="585"/>
      <c r="M116" s="586"/>
      <c r="N116" s="1152"/>
      <c r="O116" s="1152"/>
      <c r="P116" s="262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2615</v>
      </c>
      <c r="C118" s="583"/>
      <c r="D118" s="583"/>
      <c r="E118" s="583"/>
      <c r="F118" s="583"/>
      <c r="G118" s="583"/>
      <c r="H118" s="583"/>
      <c r="I118" s="583"/>
      <c r="J118" s="583"/>
      <c r="K118" s="584"/>
      <c r="L118" s="585"/>
      <c r="M118" s="586"/>
      <c r="N118" s="1152"/>
      <c r="O118" s="1152"/>
      <c r="P118" s="2629"/>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9"/>
      <c r="Q119" s="504"/>
    </row>
    <row r="120" spans="1:17" s="471" customFormat="1" ht="29.4" thickTop="1">
      <c r="A120" s="593"/>
      <c r="B120" s="538" t="s">
        <v>2570</v>
      </c>
      <c r="C120" s="554"/>
      <c r="D120" s="554"/>
      <c r="E120" s="554"/>
      <c r="F120" s="554"/>
      <c r="G120" s="554"/>
      <c r="H120" s="554"/>
      <c r="I120" s="554"/>
      <c r="J120" s="554"/>
      <c r="K120" s="554"/>
      <c r="L120" s="580"/>
      <c r="M120" s="581"/>
      <c r="N120" s="1154"/>
      <c r="O120" s="1154"/>
      <c r="P120" s="2630"/>
      <c r="Q120" s="559"/>
    </row>
    <row r="121" spans="1:17" s="471" customFormat="1" ht="14.4" thickBot="1">
      <c r="A121" s="553"/>
      <c r="B121" s="535"/>
      <c r="C121" s="560"/>
      <c r="D121" s="536"/>
      <c r="E121" s="536"/>
      <c r="F121" s="536"/>
      <c r="G121" s="536"/>
      <c r="H121" s="536"/>
      <c r="I121" s="536"/>
      <c r="J121" s="536"/>
      <c r="K121" s="536"/>
      <c r="L121" s="536"/>
      <c r="M121" s="536"/>
      <c r="N121" s="1154"/>
      <c r="O121" s="1154"/>
      <c r="P121" s="2630"/>
      <c r="Q121" s="559"/>
    </row>
    <row r="122" spans="1:17" ht="15" thickTop="1">
      <c r="A122" s="599"/>
      <c r="B122" s="538" t="s">
        <v>2616</v>
      </c>
      <c r="C122" s="554"/>
      <c r="D122" s="554"/>
      <c r="E122" s="554"/>
      <c r="F122" s="583"/>
      <c r="G122" s="583"/>
      <c r="H122" s="583"/>
      <c r="I122" s="583"/>
      <c r="J122" s="583"/>
      <c r="K122" s="584"/>
      <c r="L122" s="585"/>
      <c r="M122" s="586"/>
      <c r="N122" s="1152"/>
      <c r="O122" s="1152"/>
      <c r="P122" s="2629"/>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9"/>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0"/>
      <c r="Q127" s="559"/>
    </row>
    <row r="128" spans="1:17" ht="14.4" thickTop="1">
      <c r="A128" s="599"/>
      <c r="B128" s="538">
        <f>B45</f>
        <v>111</v>
      </c>
      <c r="C128" s="554"/>
      <c r="D128" s="554"/>
      <c r="E128" s="554"/>
      <c r="F128" s="554"/>
      <c r="G128" s="583"/>
      <c r="H128" s="583"/>
      <c r="I128" s="583"/>
      <c r="J128" s="583"/>
      <c r="K128" s="584"/>
      <c r="L128" s="585"/>
      <c r="M128" s="586"/>
      <c r="N128" s="1152"/>
      <c r="O128" s="1152"/>
      <c r="P128" s="2629"/>
      <c r="Q128" s="504"/>
    </row>
    <row r="129" spans="1:17" ht="14.4" thickBot="1">
      <c r="A129" s="534"/>
      <c r="B129" s="543"/>
      <c r="C129" s="560"/>
      <c r="D129" s="560"/>
      <c r="E129" s="560"/>
      <c r="F129" s="560"/>
      <c r="G129" s="536"/>
      <c r="H129" s="536"/>
      <c r="I129" s="536"/>
      <c r="J129" s="536"/>
      <c r="K129" s="536"/>
      <c r="L129" s="536"/>
      <c r="M129" s="537"/>
      <c r="N129" s="1153"/>
      <c r="O129" s="1153"/>
      <c r="P129" s="2629"/>
      <c r="Q129" s="504"/>
    </row>
    <row r="130" spans="1:17" ht="14.4" thickTop="1">
      <c r="A130" s="599"/>
      <c r="B130" s="546">
        <f>B46</f>
        <v>111</v>
      </c>
      <c r="C130" s="554"/>
      <c r="D130" s="554"/>
      <c r="E130" s="554"/>
      <c r="F130" s="554"/>
      <c r="G130" s="587"/>
      <c r="H130" s="587"/>
      <c r="I130" s="587"/>
      <c r="J130" s="587"/>
      <c r="K130" s="523"/>
      <c r="L130" s="524"/>
      <c r="M130" s="590"/>
      <c r="N130" s="1152"/>
      <c r="O130" s="1152"/>
      <c r="P130" s="2629"/>
      <c r="Q130" s="504"/>
    </row>
    <row r="131" spans="1:17" ht="14.4" thickBot="1">
      <c r="A131" s="2635"/>
      <c r="B131" s="569"/>
      <c r="C131" s="570"/>
      <c r="D131" s="570"/>
      <c r="E131" s="570"/>
      <c r="F131" s="570"/>
      <c r="G131" s="591"/>
      <c r="H131" s="591"/>
      <c r="I131" s="591"/>
      <c r="J131" s="591"/>
      <c r="K131" s="591"/>
      <c r="L131" s="591"/>
      <c r="M131" s="592"/>
      <c r="N131" s="1153"/>
      <c r="O131" s="1153"/>
      <c r="P131" s="2629"/>
      <c r="Q131" s="504"/>
    </row>
    <row r="136" spans="1:17" ht="15" thickBot="1">
      <c r="B136" s="2636" t="s">
        <v>2618</v>
      </c>
    </row>
    <row r="137" spans="1:17" ht="15">
      <c r="B137" s="2637" t="s">
        <v>2619</v>
      </c>
      <c r="C137" s="2638"/>
      <c r="D137" s="2638"/>
      <c r="E137" s="2638"/>
      <c r="F137" s="2638"/>
      <c r="G137" s="2639"/>
      <c r="H137" s="2640"/>
      <c r="I137" s="2641" t="s">
        <v>2620</v>
      </c>
      <c r="J137" s="2638"/>
      <c r="K137" s="2642"/>
    </row>
    <row r="138" spans="1:17" ht="15">
      <c r="B138" s="2643"/>
      <c r="C138" s="146" t="s">
        <v>2621</v>
      </c>
      <c r="D138" s="146" t="s">
        <v>2622</v>
      </c>
      <c r="E138" s="2644" t="s">
        <v>2623</v>
      </c>
      <c r="F138" s="2645" t="s">
        <v>2624</v>
      </c>
      <c r="G138" s="146" t="s">
        <v>2622</v>
      </c>
      <c r="H138" s="147" t="s">
        <v>2623</v>
      </c>
      <c r="I138" s="2646"/>
      <c r="J138" s="146" t="s">
        <v>2625</v>
      </c>
      <c r="K138" s="147" t="s">
        <v>2626</v>
      </c>
    </row>
    <row r="139" spans="1:17" ht="15">
      <c r="B139" s="1084">
        <v>6</v>
      </c>
      <c r="C139" s="1085">
        <v>96</v>
      </c>
      <c r="D139" s="2647" t="s">
        <v>2627</v>
      </c>
      <c r="E139" s="1086">
        <v>100</v>
      </c>
      <c r="F139" s="1087">
        <v>102.5</v>
      </c>
      <c r="G139" s="2647" t="s">
        <v>2627</v>
      </c>
      <c r="H139" s="1088">
        <v>105</v>
      </c>
      <c r="I139" s="2648" t="s">
        <v>2628</v>
      </c>
      <c r="J139" s="1085">
        <v>20</v>
      </c>
      <c r="K139" s="1089">
        <f>C145/(J139-2)</f>
        <v>4.0555555555555553E-3</v>
      </c>
    </row>
    <row r="140" spans="1:17" ht="15">
      <c r="B140" s="1090">
        <v>5</v>
      </c>
      <c r="C140" s="1091">
        <v>100</v>
      </c>
      <c r="D140" s="1091"/>
      <c r="E140" s="1092"/>
      <c r="F140" s="1093">
        <v>102</v>
      </c>
      <c r="G140" s="1091"/>
      <c r="H140" s="1094"/>
      <c r="I140" s="2649" t="s">
        <v>2629</v>
      </c>
      <c r="J140" s="315">
        <f>ROUNDUP((J139-1)/2,0)</f>
        <v>10</v>
      </c>
      <c r="K140" s="1095">
        <v>100</v>
      </c>
    </row>
    <row r="141" spans="1:17" ht="15">
      <c r="B141" s="1090">
        <v>4</v>
      </c>
      <c r="C141" s="1091">
        <v>102</v>
      </c>
      <c r="D141" s="1091"/>
      <c r="E141" s="1092"/>
      <c r="F141" s="1093">
        <v>101.5</v>
      </c>
      <c r="G141" s="1091"/>
      <c r="H141" s="1094"/>
      <c r="I141" s="2649" t="s">
        <v>2630</v>
      </c>
      <c r="J141" s="315">
        <v>1</v>
      </c>
      <c r="K141" s="1096">
        <f>ROUND(100+(J141-J140)*K139*100,1)</f>
        <v>96.4</v>
      </c>
    </row>
    <row r="142" spans="1:17" ht="15">
      <c r="B142" s="1090">
        <v>3</v>
      </c>
      <c r="C142" s="1091">
        <v>103</v>
      </c>
      <c r="D142" s="1091"/>
      <c r="E142" s="1092"/>
      <c r="F142" s="1093">
        <v>101</v>
      </c>
      <c r="G142" s="1091"/>
      <c r="H142" s="1094"/>
      <c r="I142" s="2649" t="s">
        <v>2631</v>
      </c>
      <c r="J142" s="315">
        <f>J139</f>
        <v>20</v>
      </c>
      <c r="K142" s="1097">
        <v>95</v>
      </c>
    </row>
    <row r="143" spans="1:17" ht="15">
      <c r="B143" s="1090">
        <v>2</v>
      </c>
      <c r="C143" s="1091">
        <v>100</v>
      </c>
      <c r="D143" s="1091"/>
      <c r="E143" s="1092"/>
      <c r="F143" s="1093">
        <v>100.5</v>
      </c>
      <c r="G143" s="1091"/>
      <c r="H143" s="1094"/>
      <c r="I143" s="2649" t="s">
        <v>2632</v>
      </c>
      <c r="J143" s="1091">
        <v>15</v>
      </c>
      <c r="K143" s="1096">
        <f>ROUND(100+(J143-J140)*K139*100,1)</f>
        <v>102</v>
      </c>
    </row>
    <row r="144" spans="1:17" ht="15">
      <c r="B144" s="1090">
        <v>1</v>
      </c>
      <c r="C144" s="1091">
        <v>98</v>
      </c>
      <c r="D144" s="2650" t="s">
        <v>2633</v>
      </c>
      <c r="E144" s="1092">
        <v>102</v>
      </c>
      <c r="F144" s="1098">
        <v>100</v>
      </c>
      <c r="G144" s="2650" t="s">
        <v>2633</v>
      </c>
      <c r="H144" s="1094">
        <v>105</v>
      </c>
      <c r="I144" s="2649" t="s">
        <v>2632</v>
      </c>
      <c r="J144" s="1091">
        <v>18</v>
      </c>
      <c r="K144" s="1096">
        <f>ROUND(100+(J144-J140)*K139*100,1)</f>
        <v>103.2</v>
      </c>
    </row>
    <row r="145" spans="2:11" ht="16.2" thickBot="1">
      <c r="B145" s="2651" t="s">
        <v>2634</v>
      </c>
      <c r="C145" s="1099">
        <f>ROUND(MAX(C139:C144)/MIN(C139:C144)-1,3)</f>
        <v>7.2999999999999995E-2</v>
      </c>
      <c r="D145" s="1100"/>
      <c r="E145" s="1100"/>
      <c r="F145" s="2652" t="s">
        <v>2635</v>
      </c>
      <c r="G145" s="2653"/>
      <c r="H145" s="2654"/>
      <c r="I145" s="2655" t="s">
        <v>2632</v>
      </c>
      <c r="J145" s="1101">
        <v>8</v>
      </c>
      <c r="K145" s="1102">
        <f>ROUND(100+(J145-J140)*K139*100,1)</f>
        <v>99.2</v>
      </c>
    </row>
    <row r="147" spans="2:11" ht="14.4">
      <c r="B147" s="2636" t="s">
        <v>2636</v>
      </c>
    </row>
    <row r="148" spans="2:11" ht="14.4">
      <c r="B148" s="2636" t="s">
        <v>2637</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581" t="s">
        <v>2638</v>
      </c>
      <c r="C1" s="1634" t="s">
        <v>2526</v>
      </c>
      <c r="D1" s="1621"/>
      <c r="E1" s="2656"/>
      <c r="F1" s="2583"/>
      <c r="G1" s="1631" t="s">
        <v>2639</v>
      </c>
      <c r="H1" s="1630"/>
      <c r="I1" s="1630"/>
      <c r="J1" s="1630"/>
      <c r="K1" s="1632"/>
      <c r="L1" s="1633"/>
      <c r="M1" s="1634"/>
      <c r="N1" s="1634"/>
      <c r="O1" s="1634"/>
      <c r="P1" s="2657"/>
      <c r="Q1" s="2658"/>
      <c r="R1" s="2658"/>
      <c r="S1" s="2658"/>
      <c r="T1" s="2658"/>
      <c r="U1" s="2658"/>
      <c r="V1" s="2658"/>
      <c r="W1" s="2658"/>
      <c r="X1" s="2658"/>
      <c r="Y1" s="2658"/>
      <c r="Z1" s="2658"/>
      <c r="AA1" s="2658"/>
      <c r="AB1" s="2658"/>
      <c r="AC1" s="2659"/>
    </row>
    <row r="2" spans="1:29" s="398" customFormat="1" ht="28.5" customHeight="1" thickTop="1">
      <c r="A2" s="1617" t="s">
        <v>2323</v>
      </c>
      <c r="B2" s="1418" t="e">
        <f ca="1">IF(C2="——",ROUND(C49*D3/10000,0),ROUND(C49*D3/10000,0)-D2)</f>
        <v>#DIV/0!</v>
      </c>
      <c r="C2" s="2585"/>
      <c r="D2" s="1365" t="e">
        <f ca="1">SUMIF(INDIRECT("'"&amp;F2&amp;"'"&amp;"!A:A"),"承租人权益价值",INDIRECT("'"&amp;F2&amp;"'"&amp;"!c:c"))</f>
        <v>#REF!</v>
      </c>
      <c r="E2" s="2586" t="s">
        <v>2324</v>
      </c>
      <c r="F2" s="2587"/>
      <c r="G2" s="1125"/>
      <c r="H2" s="1125"/>
      <c r="I2" s="1125"/>
      <c r="J2" s="1125"/>
      <c r="K2" s="1125"/>
      <c r="L2" s="1128"/>
      <c r="M2" s="1129"/>
      <c r="N2" s="1129"/>
      <c r="O2" s="1129"/>
      <c r="P2" s="2660"/>
      <c r="Q2" s="1129"/>
      <c r="R2" s="1129"/>
      <c r="S2" s="1129"/>
      <c r="T2" s="1129"/>
      <c r="U2" s="1129"/>
      <c r="V2" s="1129"/>
      <c r="W2" s="1129"/>
      <c r="X2" s="1129"/>
      <c r="Y2" s="1129"/>
      <c r="Z2" s="1129"/>
      <c r="AA2" s="1129"/>
      <c r="AB2" s="1129"/>
      <c r="AC2" s="2661"/>
    </row>
    <row r="3" spans="1:29" s="398" customFormat="1" ht="28.5" customHeight="1" thickBot="1">
      <c r="A3" s="247" t="s">
        <v>2325</v>
      </c>
      <c r="B3" s="609" t="e">
        <f ca="1">IF(C2="——",C49,ROUND(B2*10000/D3,0))</f>
        <v>#DIV/0!</v>
      </c>
      <c r="C3" s="400" t="s">
        <v>2640</v>
      </c>
      <c r="D3" s="399">
        <f>IF(D1="",'数据-汇总表'!E3,SUMIF('数据-汇总表'!$C19:$C33,D1,'数据-汇总表'!$E19:$E33))</f>
        <v>76522.880000000005</v>
      </c>
      <c r="E3" s="2662"/>
      <c r="F3" s="1126"/>
      <c r="G3" s="1125"/>
      <c r="H3" s="1125"/>
      <c r="I3" s="1125"/>
      <c r="J3" s="1125"/>
      <c r="K3" s="1127"/>
      <c r="L3" s="1128"/>
      <c r="M3" s="1129"/>
      <c r="N3" s="1129"/>
      <c r="O3" s="1129"/>
      <c r="P3" s="2660"/>
      <c r="Q3" s="1129"/>
      <c r="R3" s="1129"/>
      <c r="S3" s="1129"/>
      <c r="T3" s="1129"/>
      <c r="U3" s="1129"/>
      <c r="V3" s="1129"/>
      <c r="W3" s="1129"/>
      <c r="X3" s="1129"/>
      <c r="Y3" s="1129"/>
      <c r="Z3" s="1129"/>
      <c r="AA3" s="1129"/>
      <c r="AB3" s="1129"/>
      <c r="AC3" s="266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212" t="s">
        <v>2644</v>
      </c>
      <c r="AC4" s="3182" t="s">
        <v>2645</v>
      </c>
    </row>
    <row r="5" spans="1:29">
      <c r="A5" s="404"/>
      <c r="B5" s="405"/>
      <c r="C5" s="3193" t="s">
        <v>2538</v>
      </c>
      <c r="D5" s="3194"/>
      <c r="E5" s="3191" t="s">
        <v>2539</v>
      </c>
      <c r="F5" s="3192"/>
      <c r="G5" s="3193" t="s">
        <v>2540</v>
      </c>
      <c r="H5" s="3194"/>
      <c r="I5" s="3193" t="s">
        <v>2541</v>
      </c>
      <c r="J5" s="3194"/>
      <c r="K5" s="610"/>
      <c r="L5" s="1130"/>
      <c r="M5" s="1131"/>
      <c r="N5" s="1131"/>
      <c r="O5" s="1131"/>
      <c r="P5" s="3206"/>
      <c r="Q5" s="3207"/>
      <c r="R5" s="3189"/>
      <c r="S5" s="3190"/>
      <c r="T5" s="3189"/>
      <c r="U5" s="3190"/>
      <c r="V5" s="3212"/>
      <c r="W5" s="3212"/>
      <c r="X5" s="1813"/>
      <c r="Y5" s="3189"/>
      <c r="Z5" s="3190"/>
      <c r="AA5" s="3183"/>
      <c r="AB5" s="3212"/>
      <c r="AC5" s="3183"/>
    </row>
    <row r="6" spans="1:29" ht="15" thickBot="1">
      <c r="A6" s="406"/>
      <c r="B6" s="407"/>
      <c r="C6" s="3195" t="s">
        <v>2542</v>
      </c>
      <c r="D6" s="3196"/>
      <c r="E6" s="3197" t="s">
        <v>2542</v>
      </c>
      <c r="F6" s="3198"/>
      <c r="G6" s="3195" t="s">
        <v>2542</v>
      </c>
      <c r="H6" s="3196"/>
      <c r="I6" s="3195" t="s">
        <v>2542</v>
      </c>
      <c r="J6" s="3196"/>
      <c r="K6" s="610" t="s">
        <v>2543</v>
      </c>
      <c r="L6" s="1130"/>
      <c r="M6" s="1131"/>
      <c r="N6" s="1131"/>
      <c r="O6" s="1131"/>
      <c r="P6" s="3208"/>
      <c r="Q6" s="3209"/>
      <c r="R6" s="3189"/>
      <c r="S6" s="3190"/>
      <c r="T6" s="3210"/>
      <c r="U6" s="3211"/>
      <c r="V6" s="3212"/>
      <c r="W6" s="3212"/>
      <c r="X6" s="1813"/>
      <c r="Y6" s="3210"/>
      <c r="Z6" s="3211"/>
      <c r="AA6" s="3184"/>
      <c r="AB6" s="3212"/>
      <c r="AC6" s="3184"/>
    </row>
    <row r="7" spans="1:29" s="117" customFormat="1" ht="15" thickBot="1">
      <c r="A7" s="408" t="s">
        <v>2544</v>
      </c>
      <c r="B7" s="409"/>
      <c r="C7" s="410">
        <f>'数据-取费表'!B2</f>
        <v>43692</v>
      </c>
      <c r="D7" s="411">
        <v>100</v>
      </c>
      <c r="E7" s="412"/>
      <c r="F7" s="413">
        <f>SUMIF(58:58,YEAR(E7)&amp;"-"&amp;MONTH(E7),59:59)</f>
        <v>0</v>
      </c>
      <c r="G7" s="412"/>
      <c r="H7" s="411">
        <f>SUMIF(58:58,YEAR(G7)&amp;"-"&amp;MONTH(G7),59:59)</f>
        <v>0</v>
      </c>
      <c r="I7" s="412"/>
      <c r="J7" s="411">
        <f>SUMIF(58:58,YEAR(I7)&amp;"-"&amp;MONTH(I7),59:59)</f>
        <v>0</v>
      </c>
      <c r="K7" s="611"/>
      <c r="L7" s="1132"/>
      <c r="M7" s="1133"/>
      <c r="N7" s="1133"/>
      <c r="O7" s="1133"/>
      <c r="P7" s="3185" t="s">
        <v>2545</v>
      </c>
      <c r="Q7" s="3213"/>
      <c r="R7" s="770" t="s">
        <v>17</v>
      </c>
      <c r="S7" s="771">
        <f t="shared" ref="S7:S15" si="0">F7</f>
        <v>0</v>
      </c>
      <c r="T7" s="770" t="s">
        <v>17</v>
      </c>
      <c r="U7" s="771">
        <f t="shared" ref="U7:U15" si="1">H7</f>
        <v>0</v>
      </c>
      <c r="V7" s="770" t="s">
        <v>17</v>
      </c>
      <c r="W7" s="771">
        <f t="shared" ref="W7:W15" si="2">J7</f>
        <v>0</v>
      </c>
      <c r="X7" s="772"/>
      <c r="Y7" s="3185" t="s">
        <v>2545</v>
      </c>
      <c r="Z7" s="3186"/>
      <c r="AA7" s="773" t="e">
        <f>D7/F7</f>
        <v>#DIV/0!</v>
      </c>
      <c r="AB7" s="773" t="e">
        <f>D7/H7</f>
        <v>#DIV/0!</v>
      </c>
      <c r="AC7" s="773" t="e">
        <f>D7/J7</f>
        <v>#DIV/0!</v>
      </c>
    </row>
    <row r="8" spans="1:29" s="117" customFormat="1" ht="1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2"/>
      <c r="M8" s="1133"/>
      <c r="N8" s="1133"/>
      <c r="O8" s="1133"/>
      <c r="P8" s="3185" t="s">
        <v>2548</v>
      </c>
      <c r="Q8" s="3186"/>
      <c r="R8" s="770" t="s">
        <v>17</v>
      </c>
      <c r="S8" s="771">
        <f t="shared" si="0"/>
        <v>0</v>
      </c>
      <c r="T8" s="770" t="s">
        <v>17</v>
      </c>
      <c r="U8" s="771">
        <f t="shared" si="1"/>
        <v>0</v>
      </c>
      <c r="V8" s="770" t="s">
        <v>17</v>
      </c>
      <c r="W8" s="771">
        <f t="shared" si="2"/>
        <v>0</v>
      </c>
      <c r="X8" s="772"/>
      <c r="Y8" s="3185" t="s">
        <v>2548</v>
      </c>
      <c r="Z8" s="3186"/>
      <c r="AA8" s="773" t="e">
        <f t="shared" ref="AA8:AA46" si="3">D8/F8</f>
        <v>#DIV/0!</v>
      </c>
      <c r="AB8" s="773" t="e">
        <f t="shared" ref="AB8:AB46" si="4">D8/H8</f>
        <v>#DIV/0!</v>
      </c>
      <c r="AC8" s="773" t="e">
        <f t="shared" ref="AC8:AC46" si="5">D8/J8</f>
        <v>#DIV/0!</v>
      </c>
    </row>
    <row r="9" spans="1:29" s="117" customFormat="1" ht="14.4">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2"/>
      <c r="M9" s="1133"/>
      <c r="N9" s="1133"/>
      <c r="O9" s="1133"/>
      <c r="P9" s="3199"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5"/>
      <c r="M10" s="1136"/>
      <c r="N10" s="1136"/>
      <c r="O10" s="1136"/>
      <c r="P10" s="3199"/>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8"/>
      <c r="M11" s="1131"/>
      <c r="N11" s="1131"/>
      <c r="O11" s="1131"/>
      <c r="P11" s="3199"/>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99"/>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9">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99"/>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6" thickBot="1">
      <c r="A14" s="436"/>
      <c r="B14" s="2601">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99"/>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15">
      <c r="A15" s="440" t="s">
        <v>2555</v>
      </c>
      <c r="B15" s="69" t="s">
        <v>2649</v>
      </c>
      <c r="C15" s="2602" t="str">
        <f>估价对象房地状况!C4</f>
        <v>较好</v>
      </c>
      <c r="D15" s="441">
        <v>100</v>
      </c>
      <c r="E15" s="442"/>
      <c r="F15" s="443">
        <f>SUMIF(76:76,E16,77:77)-SUMIF(76:76,C16,77:77)+100</f>
        <v>100</v>
      </c>
      <c r="G15" s="444"/>
      <c r="H15" s="441">
        <f>SUMIF(76:76,G16,77:77)-SUMIF(76:76,C16,77:77)+100</f>
        <v>100</v>
      </c>
      <c r="I15" s="442"/>
      <c r="J15" s="441">
        <f>SUMIF(76:76,I16,77:77)-SUMIF(76:76,C16,77:77)+100</f>
        <v>100</v>
      </c>
      <c r="K15" s="614"/>
      <c r="L15" s="1140"/>
      <c r="M15" s="1131"/>
      <c r="N15" s="1131"/>
      <c r="O15" s="1131"/>
      <c r="P15" s="3226" t="s">
        <v>2556</v>
      </c>
      <c r="Q15" s="1810" t="str">
        <f t="shared" si="6"/>
        <v>商业繁华度</v>
      </c>
      <c r="R15" s="774" t="s">
        <v>17</v>
      </c>
      <c r="S15" s="775">
        <f t="shared" si="0"/>
        <v>100</v>
      </c>
      <c r="T15" s="774" t="s">
        <v>17</v>
      </c>
      <c r="U15" s="775">
        <f t="shared" si="1"/>
        <v>100</v>
      </c>
      <c r="V15" s="774" t="s">
        <v>17</v>
      </c>
      <c r="W15" s="775">
        <f t="shared" si="2"/>
        <v>100</v>
      </c>
      <c r="X15" s="1813"/>
      <c r="Y15" s="3219" t="s">
        <v>2556</v>
      </c>
      <c r="Z15" s="1814" t="str">
        <f t="shared" si="7"/>
        <v>商业繁华度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1"/>
      <c r="P16" s="3227"/>
      <c r="Q16" s="1810"/>
      <c r="R16" s="774"/>
      <c r="S16" s="775"/>
      <c r="T16" s="774"/>
      <c r="U16" s="775"/>
      <c r="V16" s="774"/>
      <c r="W16" s="775"/>
      <c r="X16" s="1813"/>
      <c r="Y16" s="3220"/>
      <c r="Z16" s="1814"/>
      <c r="AA16" s="1811">
        <v>1</v>
      </c>
      <c r="AB16" s="1811">
        <v>1</v>
      </c>
      <c r="AC16" s="1811">
        <v>1</v>
      </c>
    </row>
    <row r="17" spans="1:29" ht="15">
      <c r="A17" s="428"/>
      <c r="B17" s="451" t="s">
        <v>2093</v>
      </c>
      <c r="C17" s="2606" t="str">
        <f>估价对象房地状况!C6</f>
        <v>较好</v>
      </c>
      <c r="D17" s="450">
        <v>100</v>
      </c>
      <c r="E17" s="452"/>
      <c r="F17" s="453">
        <f>SUMIF(78:78,E18,79:79)-SUMIF(78:78,C18,79:79)+100</f>
        <v>100</v>
      </c>
      <c r="G17" s="454"/>
      <c r="H17" s="455">
        <f>SUMIF(78:78,G18,79:79)-SUMIF(78:78,C18,79:79)+100</f>
        <v>100</v>
      </c>
      <c r="I17" s="452"/>
      <c r="J17" s="455">
        <f>SUMIF(78:78,I18,79:79)-SUMIF(78:78,C18,79:79)+100</f>
        <v>100</v>
      </c>
      <c r="K17" s="614"/>
      <c r="L17" s="1140"/>
      <c r="M17" s="1131"/>
      <c r="N17" s="1131"/>
      <c r="O17" s="1131"/>
      <c r="P17" s="3227"/>
      <c r="Q17" s="1810" t="str">
        <f>B17</f>
        <v>交通便捷度</v>
      </c>
      <c r="R17" s="774" t="s">
        <v>17</v>
      </c>
      <c r="S17" s="775">
        <f>F17</f>
        <v>100</v>
      </c>
      <c r="T17" s="774" t="s">
        <v>17</v>
      </c>
      <c r="U17" s="775">
        <f>H17</f>
        <v>100</v>
      </c>
      <c r="V17" s="774" t="s">
        <v>17</v>
      </c>
      <c r="W17" s="775">
        <f>J17</f>
        <v>100</v>
      </c>
      <c r="X17" s="1813"/>
      <c r="Y17" s="3220"/>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1"/>
      <c r="P18" s="3227"/>
      <c r="Q18" s="1810"/>
      <c r="R18" s="774"/>
      <c r="S18" s="775"/>
      <c r="T18" s="774"/>
      <c r="U18" s="775"/>
      <c r="V18" s="774"/>
      <c r="W18" s="775"/>
      <c r="X18" s="1813"/>
      <c r="Y18" s="3220"/>
      <c r="Z18" s="1814"/>
      <c r="AA18" s="1811">
        <v>1</v>
      </c>
      <c r="AB18" s="1811">
        <v>1</v>
      </c>
      <c r="AC18" s="1811">
        <v>1</v>
      </c>
    </row>
    <row r="19" spans="1:29" ht="15">
      <c r="A19" s="428"/>
      <c r="B19" s="451" t="s">
        <v>2650</v>
      </c>
      <c r="C19" s="2606" t="str">
        <f>估价对象房地状况!C7</f>
        <v>较好</v>
      </c>
      <c r="D19" s="455">
        <v>100</v>
      </c>
      <c r="E19" s="457"/>
      <c r="F19" s="458">
        <f>SUMIF(80:80,E20,81:81)-SUMIF(80:80,C20,81:81)+100</f>
        <v>100</v>
      </c>
      <c r="G19" s="459"/>
      <c r="H19" s="450">
        <f>SUMIF(80:80,G20,81:81)-SUMIF(80:80,C20,81:81)+100</f>
        <v>100</v>
      </c>
      <c r="I19" s="457"/>
      <c r="J19" s="450">
        <f>SUMIF(80:80,I20,81:81)-SUMIF(80:80,C20,81:81)+100</f>
        <v>100</v>
      </c>
      <c r="K19" s="614"/>
      <c r="L19" s="1140"/>
      <c r="M19" s="1131"/>
      <c r="N19" s="1131"/>
      <c r="O19" s="1131"/>
      <c r="P19" s="3227"/>
      <c r="Q19" s="1810" t="str">
        <f>B19</f>
        <v>公共配套设施</v>
      </c>
      <c r="R19" s="774" t="s">
        <v>17</v>
      </c>
      <c r="S19" s="775">
        <f>F19</f>
        <v>100</v>
      </c>
      <c r="T19" s="774" t="s">
        <v>17</v>
      </c>
      <c r="U19" s="775">
        <f>H19</f>
        <v>100</v>
      </c>
      <c r="V19" s="774" t="s">
        <v>17</v>
      </c>
      <c r="W19" s="775">
        <f>J19</f>
        <v>100</v>
      </c>
      <c r="X19" s="1813"/>
      <c r="Y19" s="3220"/>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1"/>
      <c r="P20" s="3227"/>
      <c r="Q20" s="1810"/>
      <c r="R20" s="774"/>
      <c r="S20" s="775"/>
      <c r="T20" s="774"/>
      <c r="U20" s="775"/>
      <c r="V20" s="774"/>
      <c r="W20" s="775"/>
      <c r="X20" s="1813"/>
      <c r="Y20" s="3220"/>
      <c r="Z20" s="1814"/>
      <c r="AA20" s="1811">
        <v>1</v>
      </c>
      <c r="AB20" s="1811">
        <v>1</v>
      </c>
      <c r="AC20" s="1811">
        <v>1</v>
      </c>
    </row>
    <row r="21" spans="1:29" ht="15">
      <c r="A21" s="428"/>
      <c r="B21" s="1384" t="s">
        <v>2651</v>
      </c>
      <c r="C21" s="2606" t="str">
        <f>估价对象房地状况!C8</f>
        <v>六通</v>
      </c>
      <c r="D21" s="455">
        <v>100</v>
      </c>
      <c r="E21" s="457"/>
      <c r="F21" s="458">
        <f>SUMIF(82:82,E22,83:83)-SUMIF(82:82,C22,83:83)+100</f>
        <v>100</v>
      </c>
      <c r="G21" s="459"/>
      <c r="H21" s="450">
        <f>SUMIF(82:82,G22,83:83)-SUMIF(82:82,C22,83:83)+100</f>
        <v>100</v>
      </c>
      <c r="I21" s="457"/>
      <c r="J21" s="450">
        <f>SUMIF(82:82,I22,83:83)-SUMIF(82:82,C22,83:83)+100</f>
        <v>100</v>
      </c>
      <c r="K21" s="614"/>
      <c r="L21" s="1140"/>
      <c r="M21" s="1131"/>
      <c r="N21" s="1131"/>
      <c r="O21" s="1131"/>
      <c r="P21" s="3227"/>
      <c r="Q21" s="1810" t="str">
        <f>B21</f>
        <v>基础设施水平</v>
      </c>
      <c r="R21" s="774" t="s">
        <v>17</v>
      </c>
      <c r="S21" s="775">
        <f>F21</f>
        <v>100</v>
      </c>
      <c r="T21" s="774" t="s">
        <v>17</v>
      </c>
      <c r="U21" s="775">
        <f>H21</f>
        <v>100</v>
      </c>
      <c r="V21" s="774" t="s">
        <v>17</v>
      </c>
      <c r="W21" s="775">
        <f>J21</f>
        <v>100</v>
      </c>
      <c r="X21" s="1813"/>
      <c r="Y21" s="3220"/>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1"/>
      <c r="P22" s="3227"/>
      <c r="Q22" s="1810"/>
      <c r="R22" s="774"/>
      <c r="S22" s="775"/>
      <c r="T22" s="774"/>
      <c r="U22" s="775"/>
      <c r="V22" s="774"/>
      <c r="W22" s="775"/>
      <c r="X22" s="1813"/>
      <c r="Y22" s="3220"/>
      <c r="Z22" s="1814"/>
      <c r="AA22" s="1811">
        <v>1</v>
      </c>
      <c r="AB22" s="1811">
        <v>1</v>
      </c>
      <c r="AC22" s="1811">
        <v>1</v>
      </c>
    </row>
    <row r="23" spans="1:29" ht="15">
      <c r="A23" s="428"/>
      <c r="B23" s="451" t="s">
        <v>2098</v>
      </c>
      <c r="C23" s="2663" t="str">
        <f>估价对象房地状况!C9</f>
        <v>较好</v>
      </c>
      <c r="D23" s="450">
        <v>100</v>
      </c>
      <c r="E23" s="452"/>
      <c r="F23" s="453">
        <f>SUMIF(84:84,E24,85:85)-SUMIF(84:84,C24,85:85)+100</f>
        <v>100</v>
      </c>
      <c r="G23" s="454"/>
      <c r="H23" s="450">
        <f>SUMIF(84:84,G24,85:85)-SUMIF(84:84,C24,85:85)+100</f>
        <v>100</v>
      </c>
      <c r="I23" s="452"/>
      <c r="J23" s="450">
        <f>SUMIF(84:84,I24,85:85)-SUMIF(84:84,C24,85:85)+100</f>
        <v>100</v>
      </c>
      <c r="K23" s="614"/>
      <c r="L23" s="1140"/>
      <c r="M23" s="1131"/>
      <c r="N23" s="1131"/>
      <c r="O23" s="1131"/>
      <c r="P23" s="3227"/>
      <c r="Q23" s="1810" t="str">
        <f>B23</f>
        <v>自然及人文环境</v>
      </c>
      <c r="R23" s="774" t="s">
        <v>17</v>
      </c>
      <c r="S23" s="775">
        <f>F23</f>
        <v>100</v>
      </c>
      <c r="T23" s="774" t="s">
        <v>17</v>
      </c>
      <c r="U23" s="775">
        <f>H23</f>
        <v>100</v>
      </c>
      <c r="V23" s="774" t="s">
        <v>17</v>
      </c>
      <c r="W23" s="775">
        <f>J23</f>
        <v>100</v>
      </c>
      <c r="X23" s="1813"/>
      <c r="Y23" s="3220"/>
      <c r="Z23" s="1814" t="str">
        <f>Q23</f>
        <v>自然及人文环境</v>
      </c>
      <c r="AA23" s="1811">
        <f t="shared" si="3"/>
        <v>1</v>
      </c>
      <c r="AB23" s="1811">
        <f t="shared" si="4"/>
        <v>1</v>
      </c>
      <c r="AC23" s="1811">
        <f t="shared" si="5"/>
        <v>1</v>
      </c>
    </row>
    <row r="24" spans="1:29" ht="15">
      <c r="A24" s="428"/>
      <c r="B24" s="456"/>
      <c r="C24" s="447"/>
      <c r="D24" s="448"/>
      <c r="E24" s="2604"/>
      <c r="F24" s="449"/>
      <c r="G24" s="2603"/>
      <c r="H24" s="448"/>
      <c r="I24" s="2604"/>
      <c r="J24" s="448"/>
      <c r="K24" s="615"/>
      <c r="L24" s="1140"/>
      <c r="M24" s="1131"/>
      <c r="N24" s="1131"/>
      <c r="O24" s="1131"/>
      <c r="P24" s="3227"/>
      <c r="Q24" s="1810"/>
      <c r="R24" s="774"/>
      <c r="S24" s="775"/>
      <c r="T24" s="774"/>
      <c r="U24" s="775"/>
      <c r="V24" s="774"/>
      <c r="W24" s="775"/>
      <c r="X24" s="1813"/>
      <c r="Y24" s="3220"/>
      <c r="Z24" s="1814"/>
      <c r="AA24" s="1811">
        <v>1</v>
      </c>
      <c r="AB24" s="1811">
        <v>1</v>
      </c>
      <c r="AC24" s="1811">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40"/>
      <c r="M25" s="1131"/>
      <c r="N25" s="1131"/>
      <c r="O25" s="1131"/>
      <c r="P25" s="3227"/>
      <c r="Q25" s="1810" t="str">
        <f t="shared" ref="Q25:Q46" si="11">B25</f>
        <v>临街状况</v>
      </c>
      <c r="R25" s="774" t="s">
        <v>17</v>
      </c>
      <c r="S25" s="775">
        <f>F25</f>
        <v>100</v>
      </c>
      <c r="T25" s="774" t="s">
        <v>17</v>
      </c>
      <c r="U25" s="775">
        <f>H25</f>
        <v>100</v>
      </c>
      <c r="V25" s="774" t="s">
        <v>17</v>
      </c>
      <c r="W25" s="775">
        <f>J25</f>
        <v>100</v>
      </c>
      <c r="X25" s="1813"/>
      <c r="Y25" s="3220"/>
      <c r="Z25" s="1814" t="str">
        <f>Q25</f>
        <v>临街状况</v>
      </c>
      <c r="AA25" s="1811">
        <f t="shared" si="3"/>
        <v>1</v>
      </c>
      <c r="AB25" s="1811">
        <f t="shared" si="4"/>
        <v>1</v>
      </c>
      <c r="AC25" s="1811">
        <f t="shared" si="5"/>
        <v>1</v>
      </c>
    </row>
    <row r="26" spans="1:29" ht="15">
      <c r="A26" s="428"/>
      <c r="B26" s="1386" t="s">
        <v>2653</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27"/>
      <c r="Q26" s="1810" t="str">
        <f t="shared" si="11"/>
        <v>平面位置/可视性</v>
      </c>
      <c r="R26" s="774" t="s">
        <v>17</v>
      </c>
      <c r="S26" s="775">
        <f>F26</f>
        <v>100</v>
      </c>
      <c r="T26" s="774" t="s">
        <v>17</v>
      </c>
      <c r="U26" s="775">
        <f>H26</f>
        <v>100</v>
      </c>
      <c r="V26" s="774" t="s">
        <v>17</v>
      </c>
      <c r="W26" s="775">
        <f>J26</f>
        <v>100</v>
      </c>
      <c r="X26" s="1813"/>
      <c r="Y26" s="3220"/>
      <c r="Z26" s="1814" t="str">
        <f>Q26</f>
        <v>平面位置/可视性</v>
      </c>
      <c r="AA26" s="1811">
        <f t="shared" si="3"/>
        <v>1</v>
      </c>
      <c r="AB26" s="1811">
        <f t="shared" si="4"/>
        <v>1</v>
      </c>
      <c r="AC26" s="1811">
        <f t="shared" si="5"/>
        <v>1</v>
      </c>
    </row>
    <row r="27" spans="1:29" s="117" customFormat="1" ht="15">
      <c r="A27" s="431"/>
      <c r="B27" s="451" t="s">
        <v>2654</v>
      </c>
      <c r="C27" s="2664"/>
      <c r="D27" s="462">
        <v>100</v>
      </c>
      <c r="E27" s="2664"/>
      <c r="F27" s="464">
        <f>SUMIF(90:90,E27,91:91)-SUMIF(90:90,C27,91:91)+100</f>
        <v>100</v>
      </c>
      <c r="G27" s="2664"/>
      <c r="H27" s="462">
        <f>SUMIF(90:90,G27,91:91)-SUMIF(90:90,C27,91:91)+100</f>
        <v>100</v>
      </c>
      <c r="I27" s="2664"/>
      <c r="J27" s="462">
        <f>SUMIF(90:90,I27,91:91)-SUMIF(90:90,C27,91:91)+100</f>
        <v>100</v>
      </c>
      <c r="K27" s="612"/>
      <c r="L27" s="1132"/>
      <c r="M27" s="1133"/>
      <c r="N27" s="1133"/>
      <c r="O27" s="1133"/>
      <c r="P27" s="3227"/>
      <c r="Q27" s="1795" t="str">
        <f t="shared" si="11"/>
        <v>人流量</v>
      </c>
      <c r="R27" s="770" t="s">
        <v>17</v>
      </c>
      <c r="S27" s="771">
        <f>F27</f>
        <v>100</v>
      </c>
      <c r="T27" s="770" t="s">
        <v>17</v>
      </c>
      <c r="U27" s="771">
        <f>H27</f>
        <v>100</v>
      </c>
      <c r="V27" s="770" t="s">
        <v>17</v>
      </c>
      <c r="W27" s="771">
        <f>J27</f>
        <v>100</v>
      </c>
      <c r="X27" s="772"/>
      <c r="Y27" s="3220"/>
      <c r="Z27" s="55" t="str">
        <f>Q27</f>
        <v>人流量</v>
      </c>
      <c r="AA27" s="1811">
        <f>D27/F27</f>
        <v>1</v>
      </c>
      <c r="AB27" s="1811">
        <f>D27/H27</f>
        <v>1</v>
      </c>
      <c r="AC27" s="1811">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40"/>
      <c r="M28" s="1131"/>
      <c r="N28" s="1131"/>
      <c r="O28" s="1131"/>
      <c r="P28" s="3227"/>
      <c r="Q28" s="1810" t="str">
        <f t="shared" si="11"/>
        <v>楼层</v>
      </c>
      <c r="R28" s="774" t="s">
        <v>17</v>
      </c>
      <c r="S28" s="775">
        <f t="shared" ref="S28:S46" si="12">F28</f>
        <v>100</v>
      </c>
      <c r="T28" s="774" t="s">
        <v>17</v>
      </c>
      <c r="U28" s="775">
        <f t="shared" ref="U28:U46" si="13">H28</f>
        <v>100</v>
      </c>
      <c r="V28" s="774" t="s">
        <v>17</v>
      </c>
      <c r="W28" s="775">
        <f t="shared" ref="W28:W46" si="14">J28</f>
        <v>100</v>
      </c>
      <c r="X28" s="1813"/>
      <c r="Y28" s="3220"/>
      <c r="Z28" s="1814" t="str">
        <f t="shared" ref="Z28:Z46" si="15">Q28</f>
        <v>楼层</v>
      </c>
      <c r="AA28" s="1811">
        <f t="shared" si="3"/>
        <v>1</v>
      </c>
      <c r="AB28" s="1811">
        <f t="shared" si="4"/>
        <v>1</v>
      </c>
      <c r="AC28" s="1811">
        <f t="shared" si="5"/>
        <v>1</v>
      </c>
    </row>
    <row r="29" spans="1:29" ht="15">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27"/>
      <c r="Q29" s="1810">
        <f t="shared" si="11"/>
        <v>111</v>
      </c>
      <c r="R29" s="774" t="s">
        <v>17</v>
      </c>
      <c r="S29" s="775">
        <f t="shared" si="12"/>
        <v>100</v>
      </c>
      <c r="T29" s="774" t="s">
        <v>17</v>
      </c>
      <c r="U29" s="775">
        <f t="shared" si="13"/>
        <v>100</v>
      </c>
      <c r="V29" s="774" t="s">
        <v>17</v>
      </c>
      <c r="W29" s="775">
        <f t="shared" si="14"/>
        <v>100</v>
      </c>
      <c r="X29" s="1813"/>
      <c r="Y29" s="3220"/>
      <c r="Z29" s="1814">
        <f t="shared" si="15"/>
        <v>111</v>
      </c>
      <c r="AA29" s="1811">
        <f t="shared" si="3"/>
        <v>1</v>
      </c>
      <c r="AB29" s="1811">
        <f t="shared" si="4"/>
        <v>1</v>
      </c>
      <c r="AC29" s="1811">
        <f t="shared" si="5"/>
        <v>1</v>
      </c>
    </row>
    <row r="30" spans="1:29" ht="15">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27"/>
      <c r="Q30" s="1810">
        <f t="shared" si="11"/>
        <v>111</v>
      </c>
      <c r="R30" s="774" t="s">
        <v>17</v>
      </c>
      <c r="S30" s="775">
        <f t="shared" si="12"/>
        <v>100</v>
      </c>
      <c r="T30" s="774" t="s">
        <v>17</v>
      </c>
      <c r="U30" s="775">
        <f t="shared" si="13"/>
        <v>100</v>
      </c>
      <c r="V30" s="774" t="s">
        <v>17</v>
      </c>
      <c r="W30" s="775">
        <f t="shared" si="14"/>
        <v>100</v>
      </c>
      <c r="X30" s="1813"/>
      <c r="Y30" s="3220"/>
      <c r="Z30" s="1814">
        <f t="shared" si="15"/>
        <v>111</v>
      </c>
      <c r="AA30" s="1811">
        <f t="shared" si="3"/>
        <v>1</v>
      </c>
      <c r="AB30" s="1811">
        <f t="shared" si="4"/>
        <v>1</v>
      </c>
      <c r="AC30" s="1811">
        <f t="shared" si="5"/>
        <v>1</v>
      </c>
    </row>
    <row r="31" spans="1:29" ht="15.6"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27"/>
      <c r="Q31" s="1810">
        <f t="shared" si="11"/>
        <v>111</v>
      </c>
      <c r="R31" s="774" t="s">
        <v>17</v>
      </c>
      <c r="S31" s="775">
        <f t="shared" si="12"/>
        <v>100</v>
      </c>
      <c r="T31" s="774" t="s">
        <v>17</v>
      </c>
      <c r="U31" s="775">
        <f t="shared" si="13"/>
        <v>100</v>
      </c>
      <c r="V31" s="774" t="s">
        <v>17</v>
      </c>
      <c r="W31" s="775">
        <f t="shared" si="14"/>
        <v>100</v>
      </c>
      <c r="X31" s="1813"/>
      <c r="Y31" s="3220"/>
      <c r="Z31" s="1814">
        <f t="shared" si="15"/>
        <v>111</v>
      </c>
      <c r="AA31" s="1811">
        <f t="shared" si="3"/>
        <v>1</v>
      </c>
      <c r="AB31" s="1811">
        <f t="shared" si="4"/>
        <v>1</v>
      </c>
      <c r="AC31" s="1811">
        <f t="shared" si="5"/>
        <v>1</v>
      </c>
    </row>
    <row r="32" spans="1:29" ht="15">
      <c r="A32" s="440" t="s">
        <v>2559</v>
      </c>
      <c r="B32" s="71" t="s">
        <v>2656</v>
      </c>
      <c r="C32" s="2616"/>
      <c r="D32" s="467">
        <v>100</v>
      </c>
      <c r="E32" s="2616"/>
      <c r="F32" s="461">
        <f>SUMIF(100:100,E32,101:101)-SUMIF(100:100,C32,101:101)+100</f>
        <v>100</v>
      </c>
      <c r="G32" s="2616"/>
      <c r="H32" s="435">
        <f>SUMIF(100:100,G32,101:101)-SUMIF(100:100,C32,101:101)+100</f>
        <v>100</v>
      </c>
      <c r="I32" s="2616"/>
      <c r="J32" s="467">
        <f>SUMIF(100:100,I32,101:101)-SUMIF(100:100,C32,101:101)+100</f>
        <v>100</v>
      </c>
      <c r="K32" s="612"/>
      <c r="L32" s="1140"/>
      <c r="M32" s="1131"/>
      <c r="N32" s="1131"/>
      <c r="O32" s="1131"/>
      <c r="P32" s="3221" t="s">
        <v>2561</v>
      </c>
      <c r="Q32" s="1810" t="str">
        <f t="shared" si="11"/>
        <v>商业类型</v>
      </c>
      <c r="R32" s="774" t="s">
        <v>17</v>
      </c>
      <c r="S32" s="775">
        <f t="shared" si="12"/>
        <v>100</v>
      </c>
      <c r="T32" s="774" t="s">
        <v>17</v>
      </c>
      <c r="U32" s="775">
        <f t="shared" si="13"/>
        <v>100</v>
      </c>
      <c r="V32" s="774" t="s">
        <v>17</v>
      </c>
      <c r="W32" s="775">
        <f t="shared" si="14"/>
        <v>100</v>
      </c>
      <c r="X32" s="1813"/>
      <c r="Y32" s="3224" t="s">
        <v>2561</v>
      </c>
      <c r="Z32" s="1814" t="str">
        <f t="shared" si="15"/>
        <v>商业类型</v>
      </c>
      <c r="AA32" s="1811">
        <f t="shared" si="3"/>
        <v>1</v>
      </c>
      <c r="AB32" s="1811">
        <f t="shared" si="4"/>
        <v>1</v>
      </c>
      <c r="AC32" s="1811">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8"/>
      <c r="M33" s="1141"/>
      <c r="N33" s="1141"/>
      <c r="O33" s="1141"/>
      <c r="P33" s="3222"/>
      <c r="Q33" s="776" t="str">
        <f t="shared" si="11"/>
        <v>项目建筑规模</v>
      </c>
      <c r="R33" s="777" t="s">
        <v>17</v>
      </c>
      <c r="S33" s="778" t="e">
        <f t="shared" si="12"/>
        <v>#N/A</v>
      </c>
      <c r="T33" s="777" t="s">
        <v>17</v>
      </c>
      <c r="U33" s="778" t="e">
        <f t="shared" si="13"/>
        <v>#N/A</v>
      </c>
      <c r="V33" s="777" t="s">
        <v>17</v>
      </c>
      <c r="W33" s="778" t="e">
        <f t="shared" si="14"/>
        <v>#N/A</v>
      </c>
      <c r="X33" s="779"/>
      <c r="Y33" s="3224"/>
      <c r="Z33" s="780" t="str">
        <f t="shared" si="15"/>
        <v>项目建筑规模</v>
      </c>
      <c r="AA33" s="1811" t="e">
        <f t="shared" si="3"/>
        <v>#N/A</v>
      </c>
      <c r="AB33" s="1811" t="e">
        <f t="shared" si="4"/>
        <v>#N/A</v>
      </c>
      <c r="AC33" s="1811" t="e">
        <f t="shared" si="5"/>
        <v>#N/A</v>
      </c>
    </row>
    <row r="34" spans="1:29" ht="15">
      <c r="A34" s="472"/>
      <c r="B34" s="422" t="s">
        <v>2563</v>
      </c>
      <c r="C34" s="2618"/>
      <c r="D34" s="435">
        <v>100</v>
      </c>
      <c r="E34" s="2618"/>
      <c r="F34" s="461">
        <f>SUMIF(105:105,E34,106:106)-SUMIF(105:105,C34,106:106)+100</f>
        <v>100</v>
      </c>
      <c r="G34" s="2618"/>
      <c r="H34" s="435">
        <f>SUMIF(105:105,G34,106:106)-SUMIF(105:105,C34,106:106)+100</f>
        <v>100</v>
      </c>
      <c r="I34" s="2618"/>
      <c r="J34" s="435">
        <f>SUMIF(105:105,I34,106:106)-SUMIF(105:105,C34,106:106)+100</f>
        <v>100</v>
      </c>
      <c r="K34" s="612"/>
      <c r="L34" s="1140"/>
      <c r="M34" s="1131"/>
      <c r="N34" s="1131"/>
      <c r="O34" s="1131"/>
      <c r="P34" s="3222"/>
      <c r="Q34" s="1810" t="str">
        <f t="shared" si="11"/>
        <v>建筑结构</v>
      </c>
      <c r="R34" s="774" t="s">
        <v>17</v>
      </c>
      <c r="S34" s="775">
        <f t="shared" si="12"/>
        <v>100</v>
      </c>
      <c r="T34" s="774" t="s">
        <v>17</v>
      </c>
      <c r="U34" s="775">
        <f t="shared" si="13"/>
        <v>100</v>
      </c>
      <c r="V34" s="774" t="s">
        <v>17</v>
      </c>
      <c r="W34" s="775">
        <f t="shared" si="14"/>
        <v>100</v>
      </c>
      <c r="X34" s="1813"/>
      <c r="Y34" s="3224"/>
      <c r="Z34" s="1814" t="str">
        <f t="shared" si="15"/>
        <v>建筑结构</v>
      </c>
      <c r="AA34" s="1811">
        <f t="shared" si="3"/>
        <v>1</v>
      </c>
      <c r="AB34" s="1811">
        <f t="shared" si="4"/>
        <v>1</v>
      </c>
      <c r="AC34" s="1811">
        <f t="shared" si="5"/>
        <v>1</v>
      </c>
    </row>
    <row r="35" spans="1:29" ht="15">
      <c r="A35" s="472"/>
      <c r="B35" s="422" t="s">
        <v>2657</v>
      </c>
      <c r="C35" s="2612"/>
      <c r="D35" s="435">
        <v>100</v>
      </c>
      <c r="E35" s="2612"/>
      <c r="F35" s="461">
        <f>SUMIF(107:107,E35,108:108)-SUMIF(107:107,C35,108:108)+100</f>
        <v>100</v>
      </c>
      <c r="G35" s="2612"/>
      <c r="H35" s="435">
        <f>SUMIF(107:107,G35,108:108)-SUMIF(107:107,C35,108:108)+100</f>
        <v>100</v>
      </c>
      <c r="I35" s="2612"/>
      <c r="J35" s="435">
        <f>SUMIF(107:107,I35,108:108)-SUMIF(107:107,C35,108:108)+100</f>
        <v>100</v>
      </c>
      <c r="K35" s="612"/>
      <c r="L35" s="1140"/>
      <c r="M35" s="1131"/>
      <c r="N35" s="1131"/>
      <c r="O35" s="1131"/>
      <c r="P35" s="3222"/>
      <c r="Q35" s="1810" t="str">
        <f t="shared" si="11"/>
        <v>公共部分装修</v>
      </c>
      <c r="R35" s="774" t="s">
        <v>17</v>
      </c>
      <c r="S35" s="775">
        <f t="shared" si="12"/>
        <v>100</v>
      </c>
      <c r="T35" s="774" t="s">
        <v>17</v>
      </c>
      <c r="U35" s="775">
        <f t="shared" si="13"/>
        <v>100</v>
      </c>
      <c r="V35" s="774" t="s">
        <v>17</v>
      </c>
      <c r="W35" s="775">
        <f t="shared" si="14"/>
        <v>100</v>
      </c>
      <c r="X35" s="1813"/>
      <c r="Y35" s="3224"/>
      <c r="Z35" s="1814" t="str">
        <f t="shared" si="15"/>
        <v>公共部分装修</v>
      </c>
      <c r="AA35" s="1811">
        <f t="shared" si="3"/>
        <v>1</v>
      </c>
      <c r="AB35" s="1811">
        <f t="shared" si="4"/>
        <v>1</v>
      </c>
      <c r="AC35" s="1811">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0"/>
      <c r="M36" s="1131"/>
      <c r="N36" s="1131"/>
      <c r="O36" s="1131"/>
      <c r="P36" s="3222"/>
      <c r="Q36" s="1810" t="str">
        <f t="shared" si="11"/>
        <v>成新度</v>
      </c>
      <c r="R36" s="774" t="s">
        <v>17</v>
      </c>
      <c r="S36" s="775" t="e">
        <f t="shared" si="12"/>
        <v>#N/A</v>
      </c>
      <c r="T36" s="774" t="s">
        <v>17</v>
      </c>
      <c r="U36" s="775" t="e">
        <f t="shared" si="13"/>
        <v>#N/A</v>
      </c>
      <c r="V36" s="774" t="s">
        <v>17</v>
      </c>
      <c r="W36" s="775" t="e">
        <f t="shared" si="14"/>
        <v>#N/A</v>
      </c>
      <c r="X36" s="1813"/>
      <c r="Y36" s="3224"/>
      <c r="Z36" s="1814" t="str">
        <f t="shared" si="15"/>
        <v>成新度</v>
      </c>
      <c r="AA36" s="1811" t="e">
        <f t="shared" si="3"/>
        <v>#N/A</v>
      </c>
      <c r="AB36" s="1811" t="e">
        <f t="shared" si="4"/>
        <v>#N/A</v>
      </c>
      <c r="AC36" s="1811" t="e">
        <f t="shared" si="5"/>
        <v>#N/A</v>
      </c>
    </row>
    <row r="37" spans="1:29" s="117" customFormat="1" ht="15">
      <c r="A37" s="473"/>
      <c r="B37" s="422" t="s">
        <v>2659</v>
      </c>
      <c r="C37" s="2612"/>
      <c r="D37" s="136">
        <v>100</v>
      </c>
      <c r="E37" s="2612"/>
      <c r="F37" s="461">
        <f>SUMIF(112:112,E37,113:113)-SUMIF(112:112,C37,113:113)+100</f>
        <v>100</v>
      </c>
      <c r="G37" s="2612"/>
      <c r="H37" s="435">
        <f>SUMIF(112:112,G37,113:113)-SUMIF(112:112,C37,113:113)+100</f>
        <v>100</v>
      </c>
      <c r="I37" s="2612"/>
      <c r="J37" s="435">
        <f>SUMIF(112:112,I37,113:113)-SUMIF(112:112,C37,113:113)+100</f>
        <v>100</v>
      </c>
      <c r="K37" s="612"/>
      <c r="L37" s="1132"/>
      <c r="M37" s="1133"/>
      <c r="N37" s="1133"/>
      <c r="O37" s="1133"/>
      <c r="P37" s="3222"/>
      <c r="Q37" s="1795" t="str">
        <f t="shared" si="11"/>
        <v>市政基础设施</v>
      </c>
      <c r="R37" s="770" t="s">
        <v>17</v>
      </c>
      <c r="S37" s="771">
        <f t="shared" si="12"/>
        <v>100</v>
      </c>
      <c r="T37" s="770" t="s">
        <v>17</v>
      </c>
      <c r="U37" s="771">
        <f t="shared" si="13"/>
        <v>100</v>
      </c>
      <c r="V37" s="770" t="s">
        <v>17</v>
      </c>
      <c r="W37" s="771">
        <f t="shared" si="14"/>
        <v>100</v>
      </c>
      <c r="X37" s="772"/>
      <c r="Y37" s="3224"/>
      <c r="Z37" s="55" t="str">
        <f t="shared" si="15"/>
        <v>市政基础设施</v>
      </c>
      <c r="AA37" s="773">
        <f t="shared" si="3"/>
        <v>1</v>
      </c>
      <c r="AB37" s="773">
        <f t="shared" si="4"/>
        <v>1</v>
      </c>
      <c r="AC37" s="773">
        <f t="shared" si="5"/>
        <v>1</v>
      </c>
    </row>
    <row r="38" spans="1:29" ht="15">
      <c r="A38" s="472"/>
      <c r="B38" s="422" t="s">
        <v>2660</v>
      </c>
      <c r="C38" s="2612"/>
      <c r="D38" s="435">
        <v>100</v>
      </c>
      <c r="E38" s="2612"/>
      <c r="F38" s="461">
        <f>SUMIF(114:114,E38,115:115)-SUMIF(114:114,C38,115:115)+100</f>
        <v>100</v>
      </c>
      <c r="G38" s="2612"/>
      <c r="H38" s="435">
        <f>SUMIF(114:114,G38,115:115)-SUMIF(114:114,C38,115:115)+100</f>
        <v>100</v>
      </c>
      <c r="I38" s="2612"/>
      <c r="J38" s="435">
        <f>SUMIF(114:114,I38,115:115)-SUMIF(114:114,C38,115:115)+100</f>
        <v>100</v>
      </c>
      <c r="K38" s="612"/>
      <c r="L38" s="1140"/>
      <c r="M38" s="1131"/>
      <c r="N38" s="1131"/>
      <c r="O38" s="1131"/>
      <c r="P38" s="3222" t="s">
        <v>2561</v>
      </c>
      <c r="Q38" s="1810" t="str">
        <f t="shared" si="11"/>
        <v>业态</v>
      </c>
      <c r="R38" s="774" t="s">
        <v>17</v>
      </c>
      <c r="S38" s="775">
        <f t="shared" si="12"/>
        <v>100</v>
      </c>
      <c r="T38" s="774" t="s">
        <v>17</v>
      </c>
      <c r="U38" s="775">
        <f t="shared" si="13"/>
        <v>100</v>
      </c>
      <c r="V38" s="774" t="s">
        <v>17</v>
      </c>
      <c r="W38" s="775">
        <f t="shared" si="14"/>
        <v>100</v>
      </c>
      <c r="X38" s="1813"/>
      <c r="Y38" s="3224" t="s">
        <v>2561</v>
      </c>
      <c r="Z38" s="1814" t="str">
        <f t="shared" si="15"/>
        <v>业态</v>
      </c>
      <c r="AA38" s="1811">
        <f t="shared" si="3"/>
        <v>1</v>
      </c>
      <c r="AB38" s="1811">
        <f t="shared" si="4"/>
        <v>1</v>
      </c>
      <c r="AC38" s="1811">
        <f t="shared" si="5"/>
        <v>1</v>
      </c>
    </row>
    <row r="39" spans="1:29" ht="15">
      <c r="A39" s="472"/>
      <c r="B39" s="422" t="s">
        <v>2661</v>
      </c>
      <c r="C39" s="2612"/>
      <c r="D39" s="435">
        <v>100</v>
      </c>
      <c r="E39" s="2612"/>
      <c r="F39" s="461">
        <f>SUMIF(116:116,E39,117:117)-SUMIF(116:116,C39,117:117)+100</f>
        <v>100</v>
      </c>
      <c r="G39" s="2612"/>
      <c r="H39" s="435">
        <f>SUMIF(116:116,G39,117:117)-SUMIF(116:116,C39,117:117)+100</f>
        <v>100</v>
      </c>
      <c r="I39" s="2612"/>
      <c r="J39" s="435">
        <f>SUMIF(116:116,I39,117:117)-SUMIF(116:116,C39,117:117)+100</f>
        <v>100</v>
      </c>
      <c r="K39" s="612"/>
      <c r="L39" s="1140"/>
      <c r="M39" s="1131"/>
      <c r="N39" s="1131"/>
      <c r="O39" s="1131"/>
      <c r="P39" s="3222"/>
      <c r="Q39" s="1810" t="str">
        <f t="shared" si="11"/>
        <v>层高</v>
      </c>
      <c r="R39" s="774" t="s">
        <v>17</v>
      </c>
      <c r="S39" s="775">
        <f t="shared" si="12"/>
        <v>100</v>
      </c>
      <c r="T39" s="774" t="s">
        <v>17</v>
      </c>
      <c r="U39" s="775">
        <f t="shared" si="13"/>
        <v>100</v>
      </c>
      <c r="V39" s="774" t="s">
        <v>17</v>
      </c>
      <c r="W39" s="775">
        <f t="shared" si="14"/>
        <v>100</v>
      </c>
      <c r="X39" s="1813"/>
      <c r="Y39" s="3224"/>
      <c r="Z39" s="1814" t="str">
        <f t="shared" si="15"/>
        <v>层高</v>
      </c>
      <c r="AA39" s="1811">
        <f t="shared" si="3"/>
        <v>1</v>
      </c>
      <c r="AB39" s="1811">
        <f t="shared" si="4"/>
        <v>1</v>
      </c>
      <c r="AC39" s="1811">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22"/>
      <c r="Q40" s="1810" t="str">
        <f t="shared" si="11"/>
        <v>单套建筑面积</v>
      </c>
      <c r="R40" s="774" t="s">
        <v>17</v>
      </c>
      <c r="S40" s="775">
        <f t="shared" si="12"/>
        <v>100</v>
      </c>
      <c r="T40" s="774" t="s">
        <v>17</v>
      </c>
      <c r="U40" s="775">
        <f t="shared" si="13"/>
        <v>100</v>
      </c>
      <c r="V40" s="774" t="s">
        <v>17</v>
      </c>
      <c r="W40" s="775">
        <f t="shared" si="14"/>
        <v>100</v>
      </c>
      <c r="X40" s="1813"/>
      <c r="Y40" s="3224"/>
      <c r="Z40" s="1814" t="str">
        <f t="shared" si="15"/>
        <v>单套建筑面积</v>
      </c>
      <c r="AA40" s="1811">
        <f t="shared" si="3"/>
        <v>1</v>
      </c>
      <c r="AB40" s="1811">
        <f t="shared" si="4"/>
        <v>1</v>
      </c>
      <c r="AC40" s="1811">
        <f t="shared" si="5"/>
        <v>1</v>
      </c>
    </row>
    <row r="41" spans="1:29" s="471" customFormat="1" ht="15">
      <c r="A41" s="468"/>
      <c r="B41" s="1812"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8"/>
      <c r="M41" s="1141"/>
      <c r="N41" s="1141"/>
      <c r="O41" s="1141"/>
      <c r="P41" s="3222"/>
      <c r="Q41" s="776" t="str">
        <f t="shared" si="11"/>
        <v>进深比</v>
      </c>
      <c r="R41" s="777" t="s">
        <v>17</v>
      </c>
      <c r="S41" s="778">
        <f t="shared" si="12"/>
        <v>100</v>
      </c>
      <c r="T41" s="777" t="s">
        <v>17</v>
      </c>
      <c r="U41" s="778">
        <f t="shared" si="13"/>
        <v>100</v>
      </c>
      <c r="V41" s="777" t="s">
        <v>17</v>
      </c>
      <c r="W41" s="778">
        <f t="shared" si="14"/>
        <v>100</v>
      </c>
      <c r="X41" s="779"/>
      <c r="Y41" s="3224"/>
      <c r="Z41" s="780" t="str">
        <f t="shared" si="15"/>
        <v>进深比</v>
      </c>
      <c r="AA41" s="1811">
        <f t="shared" si="3"/>
        <v>1</v>
      </c>
      <c r="AB41" s="1811">
        <f t="shared" si="4"/>
        <v>1</v>
      </c>
      <c r="AC41" s="1811">
        <f t="shared" si="5"/>
        <v>1</v>
      </c>
    </row>
    <row r="42" spans="1:29" ht="15">
      <c r="A42" s="472"/>
      <c r="B42" s="422" t="s">
        <v>2664</v>
      </c>
      <c r="C42" s="2612"/>
      <c r="D42" s="435">
        <v>100</v>
      </c>
      <c r="E42" s="2612"/>
      <c r="F42" s="461">
        <f>SUMIF(122:122,E42,123:123)-SUMIF(122:122,C42,123:123)+100</f>
        <v>100</v>
      </c>
      <c r="G42" s="2612"/>
      <c r="H42" s="435">
        <f>SUMIF(122:122,G42,123:123)-SUMIF(122:122,C42,123:123)+100</f>
        <v>100</v>
      </c>
      <c r="I42" s="2612"/>
      <c r="J42" s="435">
        <f>SUMIF(122:122,I42,123:123)-SUMIF(122:122,C42,123:123)+100</f>
        <v>100</v>
      </c>
      <c r="K42" s="612"/>
      <c r="L42" s="1140"/>
      <c r="M42" s="1131"/>
      <c r="N42" s="1131"/>
      <c r="O42" s="1131"/>
      <c r="P42" s="3222"/>
      <c r="Q42" s="1810" t="str">
        <f t="shared" si="11"/>
        <v>内部装修</v>
      </c>
      <c r="R42" s="774" t="s">
        <v>17</v>
      </c>
      <c r="S42" s="775">
        <f t="shared" si="12"/>
        <v>100</v>
      </c>
      <c r="T42" s="774" t="s">
        <v>17</v>
      </c>
      <c r="U42" s="775">
        <f t="shared" si="13"/>
        <v>100</v>
      </c>
      <c r="V42" s="774" t="s">
        <v>17</v>
      </c>
      <c r="W42" s="775">
        <f t="shared" si="14"/>
        <v>100</v>
      </c>
      <c r="X42" s="1813"/>
      <c r="Y42" s="3224"/>
      <c r="Z42" s="1814" t="str">
        <f t="shared" si="15"/>
        <v>内部装修</v>
      </c>
      <c r="AA42" s="1811">
        <f t="shared" si="3"/>
        <v>1</v>
      </c>
      <c r="AB42" s="1811">
        <f t="shared" si="4"/>
        <v>1</v>
      </c>
      <c r="AC42" s="1811">
        <f t="shared" si="5"/>
        <v>1</v>
      </c>
    </row>
    <row r="43" spans="1:29" ht="28.8">
      <c r="A43" s="472"/>
      <c r="B43" s="422" t="s">
        <v>2572</v>
      </c>
      <c r="C43" s="2612"/>
      <c r="D43" s="435">
        <v>100</v>
      </c>
      <c r="E43" s="2612"/>
      <c r="F43" s="461">
        <f>SUMIF(124:124,E43,125:125)-SUMIF(124:124,C43,125:125)+100</f>
        <v>100</v>
      </c>
      <c r="G43" s="2612"/>
      <c r="H43" s="435">
        <f>SUMIF(124:124,G43,125:125)-SUMIF(124:124,C43,125:125)+100</f>
        <v>100</v>
      </c>
      <c r="I43" s="2612"/>
      <c r="J43" s="435">
        <f>SUMIF(124:124,I43,125:125)-SUMIF(124:124,C43,125:125)+100</f>
        <v>100</v>
      </c>
      <c r="K43" s="612"/>
      <c r="L43" s="1140"/>
      <c r="M43" s="1131"/>
      <c r="N43" s="1131"/>
      <c r="O43" s="1131"/>
      <c r="P43" s="3222"/>
      <c r="Q43" s="1810" t="str">
        <f t="shared" si="11"/>
        <v>内部装修维护情况</v>
      </c>
      <c r="R43" s="774" t="s">
        <v>17</v>
      </c>
      <c r="S43" s="775">
        <f t="shared" si="12"/>
        <v>100</v>
      </c>
      <c r="T43" s="774" t="s">
        <v>17</v>
      </c>
      <c r="U43" s="775">
        <f t="shared" si="13"/>
        <v>100</v>
      </c>
      <c r="V43" s="774" t="s">
        <v>17</v>
      </c>
      <c r="W43" s="775">
        <f t="shared" si="14"/>
        <v>100</v>
      </c>
      <c r="X43" s="1813"/>
      <c r="Y43" s="3224"/>
      <c r="Z43" s="1814" t="str">
        <f t="shared" si="15"/>
        <v>内部装修维护情况</v>
      </c>
      <c r="AA43" s="1811">
        <f t="shared" si="3"/>
        <v>1</v>
      </c>
      <c r="AB43" s="1811">
        <f t="shared" si="4"/>
        <v>1</v>
      </c>
      <c r="AC43" s="1811">
        <f t="shared" si="5"/>
        <v>1</v>
      </c>
    </row>
    <row r="44" spans="1:29" s="117" customFormat="1" ht="15">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22"/>
      <c r="Q44" s="1795">
        <f t="shared" si="11"/>
        <v>111</v>
      </c>
      <c r="R44" s="770" t="s">
        <v>17</v>
      </c>
      <c r="S44" s="771">
        <f t="shared" si="12"/>
        <v>100</v>
      </c>
      <c r="T44" s="770" t="s">
        <v>17</v>
      </c>
      <c r="U44" s="771">
        <f t="shared" si="13"/>
        <v>100</v>
      </c>
      <c r="V44" s="770" t="s">
        <v>17</v>
      </c>
      <c r="W44" s="771">
        <f t="shared" si="14"/>
        <v>100</v>
      </c>
      <c r="X44" s="772"/>
      <c r="Y44" s="3224"/>
      <c r="Z44" s="55">
        <f t="shared" si="15"/>
        <v>111</v>
      </c>
      <c r="AA44" s="773">
        <f t="shared" si="3"/>
        <v>1</v>
      </c>
      <c r="AB44" s="773">
        <f t="shared" si="4"/>
        <v>1</v>
      </c>
      <c r="AC44" s="773">
        <f t="shared" si="5"/>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22"/>
      <c r="Q45" s="1810">
        <f t="shared" si="11"/>
        <v>111</v>
      </c>
      <c r="R45" s="774" t="s">
        <v>17</v>
      </c>
      <c r="S45" s="775">
        <f t="shared" si="12"/>
        <v>100</v>
      </c>
      <c r="T45" s="774" t="s">
        <v>17</v>
      </c>
      <c r="U45" s="775">
        <f t="shared" si="13"/>
        <v>100</v>
      </c>
      <c r="V45" s="774" t="s">
        <v>17</v>
      </c>
      <c r="W45" s="775">
        <f t="shared" si="14"/>
        <v>100</v>
      </c>
      <c r="X45" s="1813"/>
      <c r="Y45" s="3224"/>
      <c r="Z45" s="1814">
        <f t="shared" si="15"/>
        <v>111</v>
      </c>
      <c r="AA45" s="1811">
        <f t="shared" si="3"/>
        <v>1</v>
      </c>
      <c r="AB45" s="1811">
        <f t="shared" si="4"/>
        <v>1</v>
      </c>
      <c r="AC45" s="1811">
        <f t="shared" si="5"/>
        <v>1</v>
      </c>
    </row>
    <row r="46" spans="1:29" ht="15.6" thickBot="1">
      <c r="A46" s="478"/>
      <c r="B46" s="2601">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23"/>
      <c r="Q46" s="1810">
        <f t="shared" si="11"/>
        <v>111</v>
      </c>
      <c r="R46" s="774" t="s">
        <v>17</v>
      </c>
      <c r="S46" s="775">
        <f t="shared" si="12"/>
        <v>100</v>
      </c>
      <c r="T46" s="774" t="s">
        <v>17</v>
      </c>
      <c r="U46" s="775">
        <f t="shared" si="13"/>
        <v>100</v>
      </c>
      <c r="V46" s="774" t="s">
        <v>17</v>
      </c>
      <c r="W46" s="775">
        <f t="shared" si="14"/>
        <v>100</v>
      </c>
      <c r="X46" s="1813"/>
      <c r="Y46" s="3225"/>
      <c r="Z46" s="1814">
        <f t="shared" si="15"/>
        <v>111</v>
      </c>
      <c r="AA46" s="1811">
        <f t="shared" si="3"/>
        <v>1</v>
      </c>
      <c r="AB46" s="1811">
        <f t="shared" si="4"/>
        <v>1</v>
      </c>
      <c r="AC46" s="1811">
        <f t="shared" si="5"/>
        <v>1</v>
      </c>
    </row>
    <row r="47" spans="1:29" ht="14.4">
      <c r="A47" s="479" t="s">
        <v>2573</v>
      </c>
      <c r="B47" s="480"/>
      <c r="C47" s="1407" t="s">
        <v>1</v>
      </c>
      <c r="D47" s="1408"/>
      <c r="E47" s="1409"/>
      <c r="F47" s="1410"/>
      <c r="G47" s="1411"/>
      <c r="H47" s="1412"/>
      <c r="I47" s="1409"/>
      <c r="J47" s="1412"/>
      <c r="K47" s="783"/>
      <c r="L47" s="1143"/>
      <c r="M47" s="1144"/>
      <c r="N47" s="1131"/>
      <c r="O47" s="1144"/>
      <c r="P47" s="3217" t="str">
        <f>A47</f>
        <v>成交单价（元/平方米）</v>
      </c>
      <c r="Q47" s="3217"/>
      <c r="R47" s="3212">
        <f>E47</f>
        <v>0</v>
      </c>
      <c r="S47" s="3212"/>
      <c r="T47" s="3212">
        <f>G47</f>
        <v>0</v>
      </c>
      <c r="U47" s="3212"/>
      <c r="V47" s="3212">
        <f>I47</f>
        <v>0</v>
      </c>
      <c r="W47" s="3212"/>
      <c r="X47" s="759"/>
      <c r="Y47" s="781"/>
      <c r="Z47" s="759"/>
      <c r="AA47" s="759"/>
      <c r="AB47" s="759"/>
      <c r="AC47" s="759"/>
    </row>
    <row r="48" spans="1:29" ht="15" thickBot="1">
      <c r="A48" s="486" t="s">
        <v>2665</v>
      </c>
      <c r="B48" s="487"/>
      <c r="C48" s="1413" t="e">
        <f>R49</f>
        <v>#DIV/0!</v>
      </c>
      <c r="D48" s="1414"/>
      <c r="E48" s="1415" t="e">
        <f>R48</f>
        <v>#DIV/0!</v>
      </c>
      <c r="F48" s="1415"/>
      <c r="G48" s="1413" t="e">
        <f>T48</f>
        <v>#DIV/0!</v>
      </c>
      <c r="H48" s="1414"/>
      <c r="I48" s="1415" t="e">
        <f>V48</f>
        <v>#DIV/0!</v>
      </c>
      <c r="J48" s="1414"/>
      <c r="K48" s="784"/>
      <c r="L48" s="1143"/>
      <c r="M48" s="1144"/>
      <c r="N48" s="1131"/>
      <c r="O48" s="1144"/>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 thickBot="1">
      <c r="A49" s="492" t="s">
        <v>2666</v>
      </c>
      <c r="B49" s="493"/>
      <c r="C49" s="1417" t="e">
        <f>R49</f>
        <v>#DIV/0!</v>
      </c>
      <c r="D49" s="1417"/>
      <c r="E49" s="1417"/>
      <c r="F49" s="1417"/>
      <c r="G49" s="1417"/>
      <c r="H49" s="1417"/>
      <c r="I49" s="1417"/>
      <c r="J49" s="1417"/>
      <c r="K49" s="785"/>
      <c r="L49" s="1143"/>
      <c r="M49" s="1144"/>
      <c r="N49" s="1131"/>
      <c r="O49" s="1144"/>
      <c r="P49" s="3214" t="str">
        <f>A49</f>
        <v>估价对象XX用房的比较价值（楼面单价，元/平方米）</v>
      </c>
      <c r="Q49" s="3215"/>
      <c r="R49" s="3216" t="e">
        <f>IF(F1="售价",ROUND(AVERAGE(R48:V48),0),ROUND(AVERAGE(R48:V48),1))</f>
        <v>#DIV/0!</v>
      </c>
      <c r="S49" s="3216"/>
      <c r="T49" s="3216"/>
      <c r="U49" s="3216"/>
      <c r="V49" s="3216"/>
      <c r="W49" s="3216"/>
      <c r="X49" s="759"/>
      <c r="Y49" s="759"/>
      <c r="Z49" s="759"/>
      <c r="AA49" s="759"/>
      <c r="AB49" s="759"/>
      <c r="AC49" s="759"/>
    </row>
    <row r="50" spans="1:29">
      <c r="A50" s="1144"/>
      <c r="B50" s="1144"/>
      <c r="C50" s="1144"/>
      <c r="D50" s="1144"/>
      <c r="E50" s="1144"/>
      <c r="F50" s="1144"/>
      <c r="G50" s="1147"/>
      <c r="H50" s="1144"/>
      <c r="I50" s="1144"/>
      <c r="J50" s="1144"/>
      <c r="K50" s="1105"/>
      <c r="L50" s="1106"/>
      <c r="M50" s="1144"/>
      <c r="N50" s="1144"/>
      <c r="O50" s="1144"/>
      <c r="P50" s="675"/>
      <c r="Q50" s="759"/>
      <c r="R50" s="759"/>
      <c r="S50" s="759"/>
      <c r="T50" s="759"/>
      <c r="U50" s="759"/>
      <c r="V50" s="759"/>
      <c r="W50" s="759"/>
      <c r="X50" s="759"/>
      <c r="Y50" s="759"/>
      <c r="Z50" s="759"/>
      <c r="AA50" s="759"/>
      <c r="AB50" s="759"/>
      <c r="AC50" s="759"/>
    </row>
    <row r="51" spans="1:29">
      <c r="A51" s="1144"/>
      <c r="B51" s="1144"/>
      <c r="C51" s="1144"/>
      <c r="D51" s="1144"/>
      <c r="E51" s="1144"/>
      <c r="F51" s="1144"/>
      <c r="G51" s="1144"/>
      <c r="H51" s="1144"/>
      <c r="I51" s="1144"/>
      <c r="J51" s="1144"/>
      <c r="K51" s="1105"/>
      <c r="L51" s="1106"/>
      <c r="M51" s="1144"/>
      <c r="N51" s="1144"/>
      <c r="O51" s="1144"/>
      <c r="P51" s="675"/>
      <c r="Q51" s="759"/>
      <c r="R51" s="759"/>
      <c r="S51" s="759"/>
      <c r="T51" s="759"/>
      <c r="U51" s="759"/>
      <c r="V51" s="759"/>
      <c r="W51" s="759"/>
      <c r="X51" s="759"/>
      <c r="Y51" s="759"/>
      <c r="Z51" s="759"/>
      <c r="AA51" s="759"/>
      <c r="AB51" s="759"/>
      <c r="AC51" s="759"/>
    </row>
    <row r="52" spans="1:29" ht="13.5" customHeight="1">
      <c r="A52" s="1144"/>
      <c r="B52" s="1144"/>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c r="P52" s="675"/>
      <c r="Q52" s="759"/>
      <c r="R52" s="759"/>
      <c r="S52" s="759"/>
      <c r="T52" s="759"/>
      <c r="U52" s="759"/>
      <c r="V52" s="759"/>
      <c r="W52" s="759"/>
      <c r="X52" s="759"/>
      <c r="Y52" s="759"/>
      <c r="Z52" s="759"/>
      <c r="AA52" s="759"/>
      <c r="AB52" s="759"/>
      <c r="AC52" s="759"/>
    </row>
    <row r="53" spans="1:29" ht="13.5" customHeight="1">
      <c r="A53" s="1144"/>
      <c r="B53" s="1144"/>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c r="P53" s="675"/>
      <c r="Q53" s="759"/>
      <c r="R53" s="759"/>
      <c r="S53" s="759"/>
      <c r="T53" s="759"/>
      <c r="U53" s="759"/>
      <c r="V53" s="759"/>
      <c r="W53" s="759"/>
      <c r="X53" s="759"/>
      <c r="Y53" s="759"/>
      <c r="Z53" s="759"/>
      <c r="AA53" s="759"/>
      <c r="AB53" s="759"/>
      <c r="AC53" s="759"/>
    </row>
    <row r="54" spans="1:29" s="502" customFormat="1" ht="13.5" customHeight="1">
      <c r="A54" s="1145"/>
      <c r="B54" s="1145"/>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65"/>
      <c r="Q54" s="760"/>
      <c r="R54" s="760"/>
      <c r="S54" s="760"/>
      <c r="T54" s="760"/>
      <c r="U54" s="760"/>
      <c r="V54" s="760"/>
      <c r="W54" s="760"/>
      <c r="X54" s="760"/>
      <c r="Y54" s="760"/>
      <c r="Z54" s="760"/>
      <c r="AA54" s="760"/>
      <c r="AB54" s="760"/>
      <c r="AC54" s="760"/>
    </row>
    <row r="55" spans="1:29" s="502" customFormat="1">
      <c r="A55" s="1145"/>
      <c r="B55" s="1146"/>
      <c r="C55" s="1150"/>
      <c r="D55" s="1145"/>
      <c r="E55" s="1145"/>
      <c r="F55" s="1145"/>
      <c r="G55" s="1145"/>
      <c r="H55" s="1145"/>
      <c r="I55" s="1145"/>
      <c r="J55" s="1145"/>
      <c r="K55" s="1148"/>
      <c r="L55" s="1149"/>
      <c r="M55" s="1145"/>
      <c r="N55" s="1145"/>
      <c r="O55" s="1145"/>
      <c r="P55" s="2665"/>
      <c r="Q55" s="760"/>
      <c r="R55" s="760"/>
      <c r="S55" s="760"/>
      <c r="T55" s="760"/>
      <c r="U55" s="760"/>
      <c r="V55" s="760"/>
      <c r="W55" s="760"/>
      <c r="X55" s="760"/>
      <c r="Y55" s="760"/>
      <c r="Z55" s="760"/>
      <c r="AA55" s="760"/>
      <c r="AB55" s="760"/>
      <c r="AC55" s="760"/>
    </row>
    <row r="56" spans="1:29">
      <c r="A56" s="1144"/>
      <c r="B56" s="1146"/>
      <c r="C56" s="1150"/>
      <c r="D56" s="1144"/>
      <c r="E56" s="1144"/>
      <c r="F56" s="1144"/>
      <c r="G56" s="1144"/>
      <c r="H56" s="1144"/>
      <c r="I56" s="1144"/>
      <c r="J56" s="1144"/>
      <c r="K56" s="1105"/>
      <c r="L56" s="1106"/>
      <c r="M56" s="1144"/>
      <c r="N56" s="1144"/>
      <c r="O56" s="1144"/>
      <c r="P56" s="675"/>
      <c r="Q56" s="759"/>
      <c r="R56" s="759"/>
      <c r="S56" s="759"/>
      <c r="T56" s="759"/>
      <c r="U56" s="759"/>
      <c r="V56" s="759"/>
      <c r="W56" s="759"/>
      <c r="X56" s="759"/>
      <c r="Y56" s="759"/>
      <c r="Z56" s="759"/>
      <c r="AA56" s="759"/>
      <c r="AB56" s="759"/>
      <c r="AC56" s="759"/>
    </row>
    <row r="57" spans="1:29" ht="22.2" thickBot="1">
      <c r="A57" s="763" t="s">
        <v>2670</v>
      </c>
      <c r="B57" s="759"/>
      <c r="C57" s="764"/>
      <c r="D57" s="764"/>
      <c r="E57" s="764"/>
      <c r="F57" s="765"/>
      <c r="G57" s="765"/>
      <c r="H57" s="764"/>
      <c r="I57" s="764"/>
      <c r="J57" s="764"/>
      <c r="K57" s="766"/>
      <c r="L57" s="1161"/>
      <c r="M57" s="1159"/>
      <c r="N57" s="1159"/>
      <c r="O57" s="1159"/>
      <c r="P57" s="2666"/>
      <c r="Q57" s="2667"/>
      <c r="R57" s="759"/>
      <c r="S57" s="759"/>
      <c r="T57" s="759"/>
      <c r="U57" s="759"/>
      <c r="V57" s="759"/>
      <c r="W57" s="759"/>
      <c r="X57" s="759"/>
      <c r="Y57" s="759"/>
      <c r="Z57" s="759"/>
      <c r="AA57" s="759"/>
      <c r="AB57" s="759"/>
      <c r="AC57" s="759"/>
    </row>
    <row r="58" spans="1:29" s="508" customFormat="1" ht="14.4">
      <c r="A58" s="505" t="s">
        <v>2544</v>
      </c>
      <c r="B58" s="506"/>
      <c r="C58" s="1574" t="str">
        <f>YEAR(C7)&amp;"-"&amp;MONTH(C7)</f>
        <v>2019-8</v>
      </c>
      <c r="D58" s="1575">
        <f>EDATE(C58,-1)</f>
        <v>43647</v>
      </c>
      <c r="E58" s="1575">
        <f t="shared" ref="E58:N58" si="16">EDATE(D58,-1)</f>
        <v>43617</v>
      </c>
      <c r="F58" s="1575">
        <f t="shared" si="16"/>
        <v>43586</v>
      </c>
      <c r="G58" s="1575">
        <f t="shared" si="16"/>
        <v>43556</v>
      </c>
      <c r="H58" s="1575">
        <f t="shared" si="16"/>
        <v>43525</v>
      </c>
      <c r="I58" s="1575">
        <f t="shared" si="16"/>
        <v>43497</v>
      </c>
      <c r="J58" s="1575">
        <f t="shared" si="16"/>
        <v>43466</v>
      </c>
      <c r="K58" s="1575">
        <f t="shared" si="16"/>
        <v>43435</v>
      </c>
      <c r="L58" s="1575">
        <f t="shared" si="16"/>
        <v>43405</v>
      </c>
      <c r="M58" s="1575">
        <f t="shared" si="16"/>
        <v>43374</v>
      </c>
      <c r="N58" s="1575">
        <f t="shared" si="16"/>
        <v>43344</v>
      </c>
      <c r="O58" s="1575">
        <f>EDATE(N58,-1)</f>
        <v>43313</v>
      </c>
      <c r="P58" s="1570"/>
    </row>
    <row r="59" spans="1:29" s="117" customFormat="1">
      <c r="A59" s="509"/>
      <c r="B59" s="510"/>
      <c r="C59" s="1573">
        <v>100</v>
      </c>
      <c r="D59" s="512"/>
      <c r="E59" s="512"/>
      <c r="F59" s="512"/>
      <c r="G59" s="512"/>
      <c r="H59" s="512"/>
      <c r="I59" s="512"/>
      <c r="J59" s="512"/>
      <c r="K59" s="512"/>
      <c r="L59" s="512"/>
      <c r="M59" s="513"/>
      <c r="N59" s="512"/>
      <c r="O59" s="513"/>
      <c r="P59" s="2627"/>
    </row>
    <row r="60" spans="1:29" s="117" customFormat="1" ht="15" thickBot="1">
      <c r="A60" s="515" t="s">
        <v>2581</v>
      </c>
      <c r="B60" s="516"/>
      <c r="C60" s="517"/>
      <c r="D60" s="518"/>
      <c r="E60" s="518"/>
      <c r="F60" s="518"/>
      <c r="G60" s="518"/>
      <c r="H60" s="518"/>
      <c r="I60" s="518"/>
      <c r="J60" s="518"/>
      <c r="K60" s="518"/>
      <c r="L60" s="518"/>
      <c r="M60" s="519"/>
      <c r="N60" s="518"/>
      <c r="O60" s="519"/>
      <c r="P60" s="2627"/>
      <c r="Q60" s="504"/>
    </row>
    <row r="61" spans="1:29" s="117" customFormat="1" ht="14.4">
      <c r="A61" s="521" t="s">
        <v>2546</v>
      </c>
      <c r="B61" s="510"/>
      <c r="C61" s="522" t="s">
        <v>2648</v>
      </c>
      <c r="D61" s="523"/>
      <c r="E61" s="523"/>
      <c r="F61" s="523"/>
      <c r="G61" s="523"/>
      <c r="H61" s="523"/>
      <c r="I61" s="523"/>
      <c r="J61" s="523"/>
      <c r="K61" s="523"/>
      <c r="L61" s="524"/>
      <c r="M61" s="525"/>
      <c r="N61" s="1151"/>
      <c r="O61" s="1151"/>
      <c r="P61" s="2628"/>
      <c r="Q61" s="504"/>
    </row>
    <row r="62" spans="1:29" s="117" customFormat="1" ht="14.4" thickBot="1">
      <c r="A62" s="521"/>
      <c r="B62" s="510"/>
      <c r="C62" s="511">
        <v>100</v>
      </c>
      <c r="D62" s="512"/>
      <c r="E62" s="512"/>
      <c r="F62" s="512"/>
      <c r="G62" s="512"/>
      <c r="H62" s="512"/>
      <c r="I62" s="512"/>
      <c r="J62" s="512"/>
      <c r="K62" s="512"/>
      <c r="L62" s="512"/>
      <c r="M62" s="514"/>
      <c r="N62" s="1151"/>
      <c r="O62" s="1151"/>
      <c r="P62" s="2627"/>
      <c r="Q62" s="504"/>
    </row>
    <row r="63" spans="1:29" ht="14.4">
      <c r="A63" s="527" t="s">
        <v>2584</v>
      </c>
      <c r="B63" s="528" t="s">
        <v>2550</v>
      </c>
      <c r="C63" s="529">
        <f>C9</f>
        <v>0</v>
      </c>
      <c r="D63" s="530"/>
      <c r="E63" s="530"/>
      <c r="F63" s="530"/>
      <c r="G63" s="530"/>
      <c r="H63" s="530"/>
      <c r="I63" s="530"/>
      <c r="J63" s="530"/>
      <c r="K63" s="531"/>
      <c r="L63" s="532"/>
      <c r="M63" s="533"/>
      <c r="N63" s="1152"/>
      <c r="O63" s="1152"/>
      <c r="P63" s="2629"/>
      <c r="Q63" s="504"/>
    </row>
    <row r="64" spans="1:29" ht="14.4" thickBot="1">
      <c r="A64" s="534"/>
      <c r="B64" s="535"/>
      <c r="C64" s="536">
        <v>100</v>
      </c>
      <c r="D64" s="536"/>
      <c r="E64" s="536"/>
      <c r="F64" s="536"/>
      <c r="G64" s="536"/>
      <c r="H64" s="536"/>
      <c r="I64" s="536"/>
      <c r="J64" s="536"/>
      <c r="K64" s="536"/>
      <c r="L64" s="536"/>
      <c r="M64" s="537"/>
      <c r="N64" s="1153"/>
      <c r="O64" s="1153"/>
      <c r="P64" s="2629"/>
      <c r="Q64" s="504"/>
    </row>
    <row r="65" spans="1:17" ht="29.4" thickTop="1">
      <c r="A65" s="534"/>
      <c r="B65" s="538" t="s">
        <v>2553</v>
      </c>
      <c r="C65" s="539" t="s">
        <v>2585</v>
      </c>
      <c r="D65" s="539" t="s">
        <v>2586</v>
      </c>
      <c r="E65" s="539" t="s">
        <v>2587</v>
      </c>
      <c r="F65" s="539" t="s">
        <v>2588</v>
      </c>
      <c r="G65" s="539" t="s">
        <v>2589</v>
      </c>
      <c r="H65" s="539" t="s">
        <v>2590</v>
      </c>
      <c r="I65" s="539" t="s">
        <v>2591</v>
      </c>
      <c r="J65" s="539"/>
      <c r="K65" s="540"/>
      <c r="L65" s="541"/>
      <c r="M65" s="542"/>
      <c r="N65" s="1152"/>
      <c r="O65" s="1152"/>
      <c r="P65" s="2629"/>
      <c r="Q65" s="504"/>
    </row>
    <row r="66" spans="1:17" ht="14.4" thickBot="1">
      <c r="A66" s="534"/>
      <c r="B66" s="543"/>
      <c r="C66" s="544" t="s">
        <v>24</v>
      </c>
      <c r="D66" s="544" t="s">
        <v>25</v>
      </c>
      <c r="E66" s="544" t="s">
        <v>26</v>
      </c>
      <c r="F66" s="544">
        <v>100</v>
      </c>
      <c r="G66" s="544">
        <f>F66-$K10</f>
        <v>100</v>
      </c>
      <c r="H66" s="544">
        <f>G66-$K10</f>
        <v>100</v>
      </c>
      <c r="I66" s="544">
        <f>H66-$K10</f>
        <v>100</v>
      </c>
      <c r="J66" s="544"/>
      <c r="K66" s="544"/>
      <c r="L66" s="544"/>
      <c r="M66" s="545"/>
      <c r="N66" s="1153"/>
      <c r="O66" s="1153"/>
      <c r="P66" s="2629"/>
      <c r="Q66" s="504"/>
    </row>
    <row r="67" spans="1:17" ht="1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9"/>
      <c r="Q67" s="504"/>
    </row>
    <row r="68" spans="1:17">
      <c r="A68" s="534"/>
      <c r="B68" s="548"/>
      <c r="C68" s="549"/>
      <c r="D68" s="549"/>
      <c r="E68" s="549"/>
      <c r="F68" s="549"/>
      <c r="G68" s="549"/>
      <c r="H68" s="549"/>
      <c r="I68" s="549"/>
      <c r="J68" s="549"/>
      <c r="K68" s="550"/>
      <c r="L68" s="551"/>
      <c r="M68" s="552"/>
      <c r="N68" s="1152"/>
      <c r="O68" s="1152"/>
      <c r="P68" s="2629"/>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9"/>
      <c r="Q69" s="504"/>
    </row>
    <row r="70" spans="1:17" s="471" customFormat="1" ht="14.4" thickTop="1">
      <c r="A70" s="553"/>
      <c r="B70" s="538">
        <f>B12</f>
        <v>111</v>
      </c>
      <c r="C70" s="554"/>
      <c r="D70" s="554"/>
      <c r="E70" s="554"/>
      <c r="F70" s="554"/>
      <c r="G70" s="554"/>
      <c r="H70" s="555"/>
      <c r="I70" s="555"/>
      <c r="J70" s="555"/>
      <c r="K70" s="555"/>
      <c r="L70" s="556"/>
      <c r="M70" s="557"/>
      <c r="N70" s="1154"/>
      <c r="O70" s="1154"/>
      <c r="P70" s="2630"/>
      <c r="Q70" s="559"/>
    </row>
    <row r="71" spans="1:17" s="471" customFormat="1" ht="14.4" thickBot="1">
      <c r="A71" s="553"/>
      <c r="B71" s="543"/>
      <c r="C71" s="560"/>
      <c r="D71" s="536"/>
      <c r="E71" s="536"/>
      <c r="F71" s="536"/>
      <c r="G71" s="536"/>
      <c r="H71" s="536"/>
      <c r="I71" s="536"/>
      <c r="J71" s="536"/>
      <c r="K71" s="536"/>
      <c r="L71" s="536"/>
      <c r="M71" s="537"/>
      <c r="N71" s="1153"/>
      <c r="O71" s="1153"/>
      <c r="P71" s="2630"/>
      <c r="Q71" s="559"/>
    </row>
    <row r="72" spans="1:17" s="471" customFormat="1" ht="14.4" thickTop="1">
      <c r="A72" s="553"/>
      <c r="B72" s="538">
        <f>B13</f>
        <v>111</v>
      </c>
      <c r="C72" s="554"/>
      <c r="D72" s="554"/>
      <c r="E72" s="554"/>
      <c r="F72" s="554"/>
      <c r="G72" s="554"/>
      <c r="H72" s="555"/>
      <c r="I72" s="555"/>
      <c r="J72" s="555"/>
      <c r="K72" s="555"/>
      <c r="L72" s="556"/>
      <c r="M72" s="557"/>
      <c r="N72" s="1154"/>
      <c r="O72" s="1154"/>
      <c r="P72" s="2631"/>
      <c r="Q72" s="561"/>
    </row>
    <row r="73" spans="1:17" s="471" customFormat="1" ht="14.4" thickBot="1">
      <c r="A73" s="553"/>
      <c r="B73" s="543"/>
      <c r="C73" s="560"/>
      <c r="D73" s="536"/>
      <c r="E73" s="536"/>
      <c r="F73" s="536"/>
      <c r="G73" s="560"/>
      <c r="H73" s="562"/>
      <c r="I73" s="562"/>
      <c r="J73" s="562"/>
      <c r="K73" s="562"/>
      <c r="L73" s="562"/>
      <c r="M73" s="563"/>
      <c r="N73" s="1154"/>
      <c r="O73" s="1154"/>
      <c r="P73" s="2630"/>
      <c r="Q73" s="559"/>
    </row>
    <row r="74" spans="1:17" s="471" customFormat="1" ht="14.4" thickTop="1">
      <c r="A74" s="553"/>
      <c r="B74" s="546">
        <f>B14</f>
        <v>111</v>
      </c>
      <c r="C74" s="554"/>
      <c r="D74" s="554"/>
      <c r="E74" s="554"/>
      <c r="F74" s="554"/>
      <c r="G74" s="523"/>
      <c r="H74" s="564"/>
      <c r="I74" s="564"/>
      <c r="J74" s="564"/>
      <c r="K74" s="564"/>
      <c r="L74" s="565"/>
      <c r="M74" s="566"/>
      <c r="N74" s="1154"/>
      <c r="O74" s="1154"/>
      <c r="P74" s="2632"/>
      <c r="Q74" s="559"/>
    </row>
    <row r="75" spans="1:17" s="471" customFormat="1" ht="14.4" thickBot="1">
      <c r="A75" s="568"/>
      <c r="B75" s="569"/>
      <c r="C75" s="570"/>
      <c r="D75" s="570"/>
      <c r="E75" s="570"/>
      <c r="F75" s="570"/>
      <c r="G75" s="570"/>
      <c r="H75" s="571"/>
      <c r="I75" s="571"/>
      <c r="J75" s="571"/>
      <c r="K75" s="571"/>
      <c r="L75" s="571"/>
      <c r="M75" s="572"/>
      <c r="N75" s="1154"/>
      <c r="O75" s="1154"/>
      <c r="P75" s="2630"/>
      <c r="Q75" s="559"/>
    </row>
    <row r="76" spans="1:17" ht="14.4">
      <c r="A76" s="527" t="s">
        <v>2555</v>
      </c>
      <c r="B76" s="528" t="s">
        <v>2592</v>
      </c>
      <c r="C76" s="573" t="s">
        <v>2593</v>
      </c>
      <c r="D76" s="573" t="s">
        <v>2594</v>
      </c>
      <c r="E76" s="573" t="s">
        <v>2595</v>
      </c>
      <c r="F76" s="573" t="s">
        <v>2596</v>
      </c>
      <c r="G76" s="573" t="s">
        <v>2597</v>
      </c>
      <c r="H76" s="529"/>
      <c r="I76" s="529"/>
      <c r="J76" s="529"/>
      <c r="K76" s="574"/>
      <c r="L76" s="575"/>
      <c r="M76" s="576"/>
      <c r="N76" s="1152"/>
      <c r="O76" s="1152"/>
      <c r="P76" s="2633"/>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9"/>
      <c r="Q77" s="504"/>
    </row>
    <row r="78" spans="1:17" ht="15" thickTop="1">
      <c r="A78" s="534"/>
      <c r="B78" s="538" t="s">
        <v>2598</v>
      </c>
      <c r="C78" s="578" t="s">
        <v>2593</v>
      </c>
      <c r="D78" s="578" t="s">
        <v>2594</v>
      </c>
      <c r="E78" s="578" t="s">
        <v>2595</v>
      </c>
      <c r="F78" s="578" t="s">
        <v>2596</v>
      </c>
      <c r="G78" s="578" t="s">
        <v>2597</v>
      </c>
      <c r="H78" s="539"/>
      <c r="I78" s="539"/>
      <c r="J78" s="539"/>
      <c r="K78" s="540"/>
      <c r="L78" s="541"/>
      <c r="M78" s="542"/>
      <c r="N78" s="1152"/>
      <c r="O78" s="1152"/>
      <c r="P78" s="2629"/>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9"/>
      <c r="Q79" s="504"/>
    </row>
    <row r="80" spans="1:17" ht="15" thickTop="1">
      <c r="A80" s="534"/>
      <c r="B80" s="538" t="s">
        <v>2599</v>
      </c>
      <c r="C80" s="578" t="s">
        <v>2593</v>
      </c>
      <c r="D80" s="578" t="s">
        <v>2594</v>
      </c>
      <c r="E80" s="578" t="s">
        <v>2595</v>
      </c>
      <c r="F80" s="578" t="s">
        <v>2596</v>
      </c>
      <c r="G80" s="578" t="s">
        <v>2597</v>
      </c>
      <c r="H80" s="539"/>
      <c r="I80" s="539"/>
      <c r="J80" s="539"/>
      <c r="K80" s="540"/>
      <c r="L80" s="541"/>
      <c r="M80" s="542"/>
      <c r="N80" s="1152"/>
      <c r="O80" s="1152"/>
      <c r="P80" s="2629"/>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9"/>
      <c r="Q81" s="504"/>
    </row>
    <row r="82" spans="1:17" ht="15" thickTop="1">
      <c r="A82" s="534"/>
      <c r="B82" s="546" t="s">
        <v>2651</v>
      </c>
      <c r="C82" s="660" t="s">
        <v>2671</v>
      </c>
      <c r="D82" s="660" t="s">
        <v>2672</v>
      </c>
      <c r="E82" s="660" t="s">
        <v>2673</v>
      </c>
      <c r="F82" s="660" t="s">
        <v>2674</v>
      </c>
      <c r="G82" s="660" t="s">
        <v>2675</v>
      </c>
      <c r="H82" s="539"/>
      <c r="I82" s="539"/>
      <c r="J82" s="539"/>
      <c r="K82" s="539"/>
      <c r="L82" s="539"/>
      <c r="M82" s="1382"/>
      <c r="N82" s="1153"/>
      <c r="O82" s="1153"/>
      <c r="P82" s="2629"/>
      <c r="Q82" s="504"/>
    </row>
    <row r="83" spans="1:17" ht="14.4"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3"/>
      <c r="O83" s="1153"/>
      <c r="P83" s="2629"/>
      <c r="Q83" s="504"/>
    </row>
    <row r="84" spans="1:17" ht="15" thickTop="1">
      <c r="A84" s="534"/>
      <c r="B84" s="538" t="s">
        <v>2605</v>
      </c>
      <c r="C84" s="578" t="s">
        <v>2593</v>
      </c>
      <c r="D84" s="578" t="s">
        <v>2594</v>
      </c>
      <c r="E84" s="578" t="s">
        <v>2595</v>
      </c>
      <c r="F84" s="578" t="s">
        <v>2596</v>
      </c>
      <c r="G84" s="578" t="s">
        <v>2597</v>
      </c>
      <c r="H84" s="539"/>
      <c r="I84" s="539"/>
      <c r="J84" s="539"/>
      <c r="K84" s="540"/>
      <c r="L84" s="541"/>
      <c r="M84" s="542"/>
      <c r="N84" s="1152"/>
      <c r="O84" s="1152"/>
      <c r="P84" s="2629"/>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9"/>
      <c r="Q85" s="504"/>
    </row>
    <row r="86" spans="1:17" s="117" customFormat="1" ht="15" thickTop="1">
      <c r="A86" s="579"/>
      <c r="B86" s="538" t="s">
        <v>2676</v>
      </c>
      <c r="C86" s="554"/>
      <c r="D86" s="554"/>
      <c r="E86" s="554"/>
      <c r="F86" s="554"/>
      <c r="G86" s="554"/>
      <c r="H86" s="554"/>
      <c r="I86" s="554"/>
      <c r="J86" s="554"/>
      <c r="K86" s="554"/>
      <c r="L86" s="580"/>
      <c r="M86" s="581"/>
      <c r="N86" s="1151"/>
      <c r="O86" s="1151"/>
      <c r="P86" s="2629"/>
      <c r="Q86" s="504"/>
    </row>
    <row r="87" spans="1:17" s="117" customFormat="1" ht="14.4"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3"/>
      <c r="O87" s="1153"/>
      <c r="P87" s="2629"/>
      <c r="Q87" s="504"/>
    </row>
    <row r="88" spans="1:17" s="117" customFormat="1" ht="14.4" thickTop="1">
      <c r="A88" s="579"/>
      <c r="B88" s="538" t="str">
        <f>B26</f>
        <v>平面位置/可视性</v>
      </c>
      <c r="C88" s="554"/>
      <c r="D88" s="554"/>
      <c r="E88" s="554"/>
      <c r="F88" s="2634"/>
      <c r="G88" s="554"/>
      <c r="H88" s="554"/>
      <c r="I88" s="554"/>
      <c r="J88" s="554"/>
      <c r="K88" s="554"/>
      <c r="L88" s="554"/>
      <c r="M88" s="581"/>
      <c r="N88" s="1151"/>
      <c r="O88" s="1151"/>
      <c r="P88" s="2629"/>
      <c r="Q88" s="504"/>
    </row>
    <row r="89" spans="1:17" s="117" customFormat="1" ht="14.4" thickBot="1">
      <c r="A89" s="579"/>
      <c r="B89" s="543"/>
      <c r="C89" s="560"/>
      <c r="D89" s="536"/>
      <c r="E89" s="536"/>
      <c r="F89" s="536"/>
      <c r="G89" s="536"/>
      <c r="H89" s="536"/>
      <c r="I89" s="536"/>
      <c r="J89" s="536"/>
      <c r="K89" s="536"/>
      <c r="L89" s="536"/>
      <c r="M89" s="536"/>
      <c r="N89" s="1153"/>
      <c r="O89" s="1153"/>
      <c r="P89" s="2629"/>
      <c r="Q89" s="504"/>
    </row>
    <row r="90" spans="1:17" s="471" customFormat="1" ht="14.4" thickTop="1">
      <c r="A90" s="553"/>
      <c r="B90" s="538" t="str">
        <f>B27</f>
        <v>人流量</v>
      </c>
      <c r="C90" s="554"/>
      <c r="D90" s="554"/>
      <c r="E90" s="554"/>
      <c r="F90" s="554"/>
      <c r="G90" s="554"/>
      <c r="H90" s="555"/>
      <c r="I90" s="555"/>
      <c r="J90" s="555"/>
      <c r="K90" s="555"/>
      <c r="L90" s="556"/>
      <c r="M90" s="557"/>
      <c r="N90" s="1154"/>
      <c r="O90" s="1154"/>
      <c r="P90" s="2630"/>
      <c r="Q90" s="559"/>
    </row>
    <row r="91" spans="1:17" s="471" customFormat="1" ht="14.4"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4"/>
      <c r="O91" s="1154"/>
      <c r="P91" s="2630"/>
      <c r="Q91" s="559"/>
    </row>
    <row r="92" spans="1:17" ht="14.4" thickTop="1">
      <c r="A92" s="534"/>
      <c r="B92" s="538" t="str">
        <f>B28</f>
        <v>楼层</v>
      </c>
      <c r="C92" s="554"/>
      <c r="D92" s="554"/>
      <c r="E92" s="554"/>
      <c r="F92" s="554"/>
      <c r="G92" s="554"/>
      <c r="H92" s="554"/>
      <c r="I92" s="554"/>
      <c r="J92" s="554"/>
      <c r="K92" s="554"/>
      <c r="L92" s="580"/>
      <c r="M92" s="581"/>
      <c r="N92" s="1152"/>
      <c r="O92" s="1152"/>
      <c r="P92" s="2629"/>
      <c r="Q92" s="504"/>
    </row>
    <row r="93" spans="1:17" ht="14.4" thickBot="1">
      <c r="A93" s="534"/>
      <c r="B93" s="543"/>
      <c r="C93" s="536"/>
      <c r="D93" s="536"/>
      <c r="E93" s="536"/>
      <c r="F93" s="536"/>
      <c r="G93" s="536"/>
      <c r="H93" s="536"/>
      <c r="I93" s="536"/>
      <c r="J93" s="536"/>
      <c r="K93" s="536"/>
      <c r="L93" s="536"/>
      <c r="M93" s="537"/>
      <c r="N93" s="1153"/>
      <c r="O93" s="1153"/>
      <c r="P93" s="2629"/>
      <c r="Q93" s="504"/>
    </row>
    <row r="94" spans="1:17" ht="14.4" thickTop="1">
      <c r="A94" s="534"/>
      <c r="B94" s="538">
        <f>B29</f>
        <v>111</v>
      </c>
      <c r="C94" s="554"/>
      <c r="D94" s="554"/>
      <c r="E94" s="554"/>
      <c r="F94" s="554"/>
      <c r="G94" s="583"/>
      <c r="H94" s="583"/>
      <c r="I94" s="583"/>
      <c r="J94" s="583"/>
      <c r="K94" s="584"/>
      <c r="L94" s="585"/>
      <c r="M94" s="586"/>
      <c r="N94" s="1152"/>
      <c r="O94" s="1152"/>
      <c r="P94" s="2629"/>
      <c r="Q94" s="504"/>
    </row>
    <row r="95" spans="1:17" ht="14.4" thickBot="1">
      <c r="A95" s="534"/>
      <c r="B95" s="543"/>
      <c r="C95" s="560"/>
      <c r="D95" s="536"/>
      <c r="E95" s="536"/>
      <c r="F95" s="536"/>
      <c r="G95" s="536"/>
      <c r="H95" s="536"/>
      <c r="I95" s="536"/>
      <c r="J95" s="536"/>
      <c r="K95" s="536"/>
      <c r="L95" s="536"/>
      <c r="M95" s="537"/>
      <c r="N95" s="1153"/>
      <c r="O95" s="1153"/>
      <c r="P95" s="2629"/>
      <c r="Q95" s="504"/>
    </row>
    <row r="96" spans="1:17" ht="14.4" thickTop="1">
      <c r="A96" s="534"/>
      <c r="B96" s="538">
        <f>B30</f>
        <v>111</v>
      </c>
      <c r="C96" s="554"/>
      <c r="D96" s="554"/>
      <c r="E96" s="554"/>
      <c r="F96" s="554"/>
      <c r="G96" s="583"/>
      <c r="H96" s="583"/>
      <c r="I96" s="583"/>
      <c r="J96" s="583"/>
      <c r="K96" s="584"/>
      <c r="L96" s="585"/>
      <c r="M96" s="586"/>
      <c r="N96" s="1152"/>
      <c r="O96" s="1152"/>
      <c r="P96" s="2629"/>
      <c r="Q96" s="504"/>
    </row>
    <row r="97" spans="1:17" ht="14.4" thickBot="1">
      <c r="A97" s="534"/>
      <c r="B97" s="543"/>
      <c r="C97" s="560"/>
      <c r="D97" s="536"/>
      <c r="E97" s="536"/>
      <c r="F97" s="536"/>
      <c r="G97" s="536"/>
      <c r="H97" s="536"/>
      <c r="I97" s="536"/>
      <c r="J97" s="536"/>
      <c r="K97" s="536"/>
      <c r="L97" s="536"/>
      <c r="M97" s="537"/>
      <c r="N97" s="1153"/>
      <c r="O97" s="1153"/>
      <c r="P97" s="2629"/>
      <c r="Q97" s="504"/>
    </row>
    <row r="98" spans="1:17" ht="14.4" thickTop="1">
      <c r="A98" s="534"/>
      <c r="B98" s="546">
        <f>B31</f>
        <v>111</v>
      </c>
      <c r="C98" s="554"/>
      <c r="D98" s="554"/>
      <c r="E98" s="554"/>
      <c r="F98" s="554"/>
      <c r="G98" s="587"/>
      <c r="H98" s="587"/>
      <c r="I98" s="587"/>
      <c r="J98" s="587"/>
      <c r="K98" s="588"/>
      <c r="L98" s="589"/>
      <c r="M98" s="590"/>
      <c r="N98" s="1152"/>
      <c r="O98" s="1152"/>
      <c r="P98" s="2629"/>
      <c r="Q98" s="504"/>
    </row>
    <row r="99" spans="1:17" ht="14.4" thickBot="1">
      <c r="A99" s="2635"/>
      <c r="B99" s="569"/>
      <c r="C99" s="570"/>
      <c r="D99" s="570"/>
      <c r="E99" s="570"/>
      <c r="F99" s="570"/>
      <c r="G99" s="591"/>
      <c r="H99" s="591"/>
      <c r="I99" s="591"/>
      <c r="J99" s="591"/>
      <c r="K99" s="591"/>
      <c r="L99" s="591"/>
      <c r="M99" s="592"/>
      <c r="N99" s="1153"/>
      <c r="O99" s="1153"/>
      <c r="P99" s="2629"/>
      <c r="Q99" s="504"/>
    </row>
    <row r="100" spans="1:17" ht="14.4">
      <c r="A100" s="527" t="s">
        <v>2559</v>
      </c>
      <c r="B100" s="528" t="s">
        <v>2677</v>
      </c>
      <c r="C100" s="530"/>
      <c r="D100" s="530"/>
      <c r="E100" s="530"/>
      <c r="F100" s="530"/>
      <c r="G100" s="530"/>
      <c r="H100" s="530"/>
      <c r="I100" s="530"/>
      <c r="J100" s="530"/>
      <c r="K100" s="531"/>
      <c r="L100" s="532"/>
      <c r="M100" s="533"/>
      <c r="N100" s="1152"/>
      <c r="O100" s="1152"/>
      <c r="P100" s="2629"/>
      <c r="Q100" s="504"/>
    </row>
    <row r="101" spans="1:17" ht="14.4"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3"/>
      <c r="O101" s="1153"/>
      <c r="P101" s="2629"/>
      <c r="Q101" s="504"/>
    </row>
    <row r="102" spans="1:17" ht="1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1"/>
      <c r="O102" s="1151"/>
      <c r="P102" s="2629"/>
      <c r="Q102" s="504"/>
    </row>
    <row r="103" spans="1:17" s="471" customFormat="1">
      <c r="A103" s="593"/>
      <c r="B103" s="594"/>
      <c r="C103" s="595"/>
      <c r="D103" s="595"/>
      <c r="E103" s="595"/>
      <c r="F103" s="595"/>
      <c r="G103" s="595"/>
      <c r="H103" s="595"/>
      <c r="I103" s="595"/>
      <c r="J103" s="596"/>
      <c r="K103" s="596"/>
      <c r="L103" s="597"/>
      <c r="M103" s="598"/>
      <c r="N103" s="1154"/>
      <c r="O103" s="1154"/>
      <c r="P103" s="2630"/>
      <c r="Q103" s="559"/>
    </row>
    <row r="104" spans="1:17" s="471" customFormat="1" ht="14.4" thickBot="1">
      <c r="A104" s="553"/>
      <c r="B104" s="543"/>
      <c r="C104" s="560"/>
      <c r="D104" s="536"/>
      <c r="E104" s="536"/>
      <c r="F104" s="536"/>
      <c r="G104" s="536"/>
      <c r="H104" s="536"/>
      <c r="I104" s="536"/>
      <c r="J104" s="536"/>
      <c r="K104" s="536"/>
      <c r="L104" s="536"/>
      <c r="M104" s="537"/>
      <c r="N104" s="1153"/>
      <c r="O104" s="1153"/>
      <c r="P104" s="2630"/>
      <c r="Q104" s="559"/>
    </row>
    <row r="105" spans="1:17" ht="15" thickTop="1">
      <c r="A105" s="599"/>
      <c r="B105" s="538" t="s">
        <v>2610</v>
      </c>
      <c r="C105" s="554"/>
      <c r="D105" s="554"/>
      <c r="E105" s="583"/>
      <c r="F105" s="583"/>
      <c r="G105" s="583"/>
      <c r="H105" s="583"/>
      <c r="I105" s="583"/>
      <c r="J105" s="583"/>
      <c r="K105" s="584"/>
      <c r="L105" s="585"/>
      <c r="M105" s="586"/>
      <c r="N105" s="1152"/>
      <c r="O105" s="1152"/>
      <c r="P105" s="2629"/>
      <c r="Q105" s="504"/>
    </row>
    <row r="106" spans="1:17" ht="14.4"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3"/>
      <c r="O106" s="1153"/>
      <c r="P106" s="2629"/>
      <c r="Q106" s="504"/>
    </row>
    <row r="107" spans="1:17" ht="15" thickTop="1">
      <c r="A107" s="599"/>
      <c r="B107" s="538" t="s">
        <v>2612</v>
      </c>
      <c r="C107" s="554"/>
      <c r="D107" s="554"/>
      <c r="E107" s="554"/>
      <c r="F107" s="583"/>
      <c r="G107" s="583"/>
      <c r="H107" s="583"/>
      <c r="I107" s="583"/>
      <c r="J107" s="583"/>
      <c r="K107" s="584"/>
      <c r="L107" s="585"/>
      <c r="M107" s="586"/>
      <c r="N107" s="1152"/>
      <c r="O107" s="1152"/>
      <c r="P107" s="2629"/>
      <c r="Q107" s="504"/>
    </row>
    <row r="108" spans="1:17" ht="14.4"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3"/>
      <c r="O108" s="1153"/>
      <c r="P108" s="2629"/>
      <c r="Q108" s="504"/>
    </row>
    <row r="109" spans="1:17" ht="15" thickTop="1">
      <c r="A109" s="599"/>
      <c r="B109" s="538" t="s">
        <v>1994</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9"/>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9"/>
      <c r="Q110" s="504"/>
    </row>
    <row r="111" spans="1:17" ht="14.4"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3"/>
      <c r="O111" s="1153"/>
      <c r="P111" s="2629"/>
      <c r="Q111" s="504"/>
    </row>
    <row r="112" spans="1:17" s="471" customFormat="1" ht="15" thickTop="1">
      <c r="A112" s="593"/>
      <c r="B112" s="538" t="s">
        <v>2614</v>
      </c>
      <c r="C112" s="554"/>
      <c r="D112" s="554"/>
      <c r="E112" s="554"/>
      <c r="F112" s="554"/>
      <c r="G112" s="554"/>
      <c r="H112" s="583"/>
      <c r="I112" s="583"/>
      <c r="J112" s="583"/>
      <c r="K112" s="584"/>
      <c r="L112" s="585"/>
      <c r="M112" s="586"/>
      <c r="N112" s="1154"/>
      <c r="O112" s="1154"/>
      <c r="P112" s="2630"/>
      <c r="Q112" s="559"/>
    </row>
    <row r="113" spans="1:17" s="471" customFormat="1" ht="14.4"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4"/>
      <c r="O113" s="1154"/>
      <c r="P113" s="2630"/>
      <c r="Q113" s="559"/>
    </row>
    <row r="114" spans="1:17" ht="15" thickTop="1">
      <c r="A114" s="599"/>
      <c r="B114" s="538" t="s">
        <v>2678</v>
      </c>
      <c r="C114" s="554"/>
      <c r="D114" s="554"/>
      <c r="E114" s="583"/>
      <c r="F114" s="583"/>
      <c r="G114" s="583"/>
      <c r="H114" s="583"/>
      <c r="I114" s="583"/>
      <c r="J114" s="583"/>
      <c r="K114" s="584"/>
      <c r="L114" s="585"/>
      <c r="M114" s="586"/>
      <c r="N114" s="1152"/>
      <c r="O114" s="1152"/>
      <c r="P114" s="2629"/>
      <c r="Q114" s="504"/>
    </row>
    <row r="115" spans="1:17" ht="14.4"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2629"/>
      <c r="Q115" s="504"/>
    </row>
    <row r="116" spans="1:17" ht="15" thickTop="1">
      <c r="A116" s="599"/>
      <c r="B116" s="538" t="s">
        <v>2679</v>
      </c>
      <c r="C116" s="554"/>
      <c r="D116" s="554"/>
      <c r="E116" s="554"/>
      <c r="F116" s="554"/>
      <c r="G116" s="554"/>
      <c r="H116" s="583"/>
      <c r="I116" s="583"/>
      <c r="J116" s="583"/>
      <c r="K116" s="584"/>
      <c r="L116" s="585"/>
      <c r="M116" s="586"/>
      <c r="N116" s="1152"/>
      <c r="O116" s="1152"/>
      <c r="P116" s="2629"/>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9"/>
      <c r="Q117" s="504"/>
    </row>
    <row r="118" spans="1:17" ht="15" thickTop="1">
      <c r="A118" s="599"/>
      <c r="B118" s="538" t="s">
        <v>2680</v>
      </c>
      <c r="C118" s="627"/>
      <c r="D118" s="627"/>
      <c r="E118" s="627"/>
      <c r="F118" s="627"/>
      <c r="G118" s="627"/>
      <c r="H118" s="555"/>
      <c r="I118" s="555"/>
      <c r="J118" s="555"/>
      <c r="K118" s="555"/>
      <c r="L118" s="556"/>
      <c r="M118" s="557"/>
      <c r="N118" s="1152"/>
      <c r="O118" s="1152"/>
      <c r="P118" s="2629"/>
      <c r="Q118" s="504"/>
    </row>
    <row r="119" spans="1:17" ht="14.4" thickBot="1">
      <c r="A119" s="534"/>
      <c r="B119" s="543"/>
      <c r="C119" s="560"/>
      <c r="D119" s="536"/>
      <c r="E119" s="536"/>
      <c r="F119" s="536"/>
      <c r="G119" s="536"/>
      <c r="H119" s="536"/>
      <c r="I119" s="536"/>
      <c r="J119" s="536"/>
      <c r="K119" s="536"/>
      <c r="L119" s="536"/>
      <c r="M119" s="537"/>
      <c r="N119" s="1153"/>
      <c r="O119" s="1153"/>
      <c r="P119" s="2629"/>
      <c r="Q119" s="504"/>
    </row>
    <row r="120" spans="1:17" s="471" customFormat="1" ht="15" thickTop="1">
      <c r="A120" s="593"/>
      <c r="B120" s="538" t="s">
        <v>2681</v>
      </c>
      <c r="C120" s="583"/>
      <c r="D120" s="583"/>
      <c r="E120" s="583"/>
      <c r="F120" s="583"/>
      <c r="G120" s="555"/>
      <c r="H120" s="555"/>
      <c r="I120" s="555"/>
      <c r="J120" s="555"/>
      <c r="K120" s="555"/>
      <c r="L120" s="556"/>
      <c r="M120" s="557"/>
      <c r="N120" s="1154"/>
      <c r="O120" s="1154"/>
      <c r="P120" s="2630"/>
      <c r="Q120" s="559"/>
    </row>
    <row r="121" spans="1:17" s="471" customFormat="1" ht="14.4"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4"/>
      <c r="O121" s="1154"/>
      <c r="P121" s="2630"/>
      <c r="Q121" s="559"/>
    </row>
    <row r="122" spans="1:17" ht="15" thickTop="1">
      <c r="A122" s="599"/>
      <c r="B122" s="538" t="s">
        <v>2616</v>
      </c>
      <c r="C122" s="554"/>
      <c r="D122" s="554"/>
      <c r="E122" s="554"/>
      <c r="F122" s="583"/>
      <c r="G122" s="583"/>
      <c r="H122" s="583"/>
      <c r="I122" s="583"/>
      <c r="J122" s="583"/>
      <c r="K122" s="584"/>
      <c r="L122" s="585"/>
      <c r="M122" s="586"/>
      <c r="N122" s="1152"/>
      <c r="O122" s="1152"/>
      <c r="P122" s="2629"/>
      <c r="Q122" s="504"/>
    </row>
    <row r="123" spans="1:17" ht="14.4"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3"/>
      <c r="O123" s="1153"/>
      <c r="P123" s="2629"/>
      <c r="Q123" s="504"/>
    </row>
    <row r="124" spans="1:17" ht="29.4" thickTop="1">
      <c r="A124" s="599"/>
      <c r="B124" s="538" t="s">
        <v>2617</v>
      </c>
      <c r="C124" s="578" t="s">
        <v>2593</v>
      </c>
      <c r="D124" s="578" t="s">
        <v>2594</v>
      </c>
      <c r="E124" s="578" t="s">
        <v>2595</v>
      </c>
      <c r="F124" s="578" t="s">
        <v>2596</v>
      </c>
      <c r="G124" s="578" t="s">
        <v>2597</v>
      </c>
      <c r="H124" s="539"/>
      <c r="I124" s="539"/>
      <c r="J124" s="539"/>
      <c r="K124" s="540"/>
      <c r="L124" s="541"/>
      <c r="M124" s="542"/>
      <c r="N124" s="1152"/>
      <c r="O124" s="1152"/>
      <c r="P124" s="2630"/>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9"/>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30"/>
      <c r="Q126" s="559"/>
    </row>
    <row r="127" spans="1:17" s="471" customFormat="1" ht="14.4" thickBot="1">
      <c r="A127" s="553"/>
      <c r="B127" s="543"/>
      <c r="C127" s="560"/>
      <c r="D127" s="536"/>
      <c r="E127" s="536"/>
      <c r="F127" s="536"/>
      <c r="G127" s="560"/>
      <c r="H127" s="562"/>
      <c r="I127" s="562"/>
      <c r="J127" s="562"/>
      <c r="K127" s="562"/>
      <c r="L127" s="562"/>
      <c r="M127" s="563"/>
      <c r="N127" s="1154"/>
      <c r="O127" s="1154"/>
      <c r="P127" s="2630"/>
      <c r="Q127" s="559"/>
    </row>
    <row r="128" spans="1:17" ht="14.4" thickTop="1">
      <c r="A128" s="599"/>
      <c r="B128" s="538">
        <f>B45</f>
        <v>111</v>
      </c>
      <c r="C128" s="554"/>
      <c r="D128" s="554"/>
      <c r="E128" s="554"/>
      <c r="F128" s="554"/>
      <c r="G128" s="583"/>
      <c r="H128" s="583"/>
      <c r="I128" s="583"/>
      <c r="J128" s="583"/>
      <c r="K128" s="584"/>
      <c r="L128" s="585"/>
      <c r="M128" s="586"/>
      <c r="N128" s="1152"/>
      <c r="O128" s="1152"/>
      <c r="P128" s="2629"/>
      <c r="Q128" s="504"/>
    </row>
    <row r="129" spans="1:17" ht="14.4" thickBot="1">
      <c r="A129" s="534"/>
      <c r="B129" s="543"/>
      <c r="C129" s="560"/>
      <c r="D129" s="536"/>
      <c r="E129" s="536"/>
      <c r="F129" s="536"/>
      <c r="G129" s="536"/>
      <c r="H129" s="536"/>
      <c r="I129" s="536"/>
      <c r="J129" s="536"/>
      <c r="K129" s="536"/>
      <c r="L129" s="536"/>
      <c r="M129" s="537"/>
      <c r="N129" s="1153"/>
      <c r="O129" s="1153"/>
      <c r="P129" s="2629"/>
      <c r="Q129" s="504"/>
    </row>
    <row r="130" spans="1:17" ht="14.4" thickTop="1">
      <c r="A130" s="599"/>
      <c r="B130" s="546">
        <f>B46</f>
        <v>111</v>
      </c>
      <c r="C130" s="554"/>
      <c r="D130" s="554"/>
      <c r="E130" s="554"/>
      <c r="F130" s="554"/>
      <c r="G130" s="587"/>
      <c r="H130" s="587"/>
      <c r="I130" s="587"/>
      <c r="J130" s="587"/>
      <c r="K130" s="523"/>
      <c r="L130" s="524"/>
      <c r="M130" s="590"/>
      <c r="N130" s="1152"/>
      <c r="O130" s="1152"/>
      <c r="P130" s="2629"/>
      <c r="Q130" s="504"/>
    </row>
    <row r="131" spans="1:17" ht="14.4" thickBot="1">
      <c r="A131" s="2635"/>
      <c r="B131" s="569"/>
      <c r="C131" s="570"/>
      <c r="D131" s="570"/>
      <c r="E131" s="570"/>
      <c r="F131" s="570"/>
      <c r="G131" s="591"/>
      <c r="H131" s="591"/>
      <c r="I131" s="591"/>
      <c r="J131" s="591"/>
      <c r="K131" s="591"/>
      <c r="L131" s="591"/>
      <c r="M131" s="592"/>
      <c r="N131" s="1153"/>
      <c r="O131" s="1153"/>
      <c r="P131" s="2629"/>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668" t="s">
        <v>2682</v>
      </c>
      <c r="C1" s="1620" t="s">
        <v>2526</v>
      </c>
      <c r="D1" s="1621"/>
      <c r="E1" s="1630"/>
      <c r="F1" s="2583"/>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IF(C2="——",ROUND(C50*D3/10000,0),ROUND(C50*D3/10000,0)-D2)</f>
        <v>#DIV/0!</v>
      </c>
      <c r="C2" s="2585"/>
      <c r="D2" s="1365" t="e">
        <f ca="1">SUMIF(INDIRECT("'"&amp;F2&amp;"'"&amp;"!A:A"),"承租人权益价值",INDIRECT("'"&amp;F2&amp;"'"&amp;"!c:c"))</f>
        <v>#REF!</v>
      </c>
      <c r="E2" s="2586" t="s">
        <v>2324</v>
      </c>
      <c r="F2" s="2587"/>
      <c r="G2" s="1125"/>
      <c r="H2" s="1125"/>
      <c r="I2" s="1125"/>
      <c r="J2" s="1125"/>
      <c r="K2" s="1125"/>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76522.880000000005</v>
      </c>
      <c r="E3" s="2662"/>
      <c r="F3" s="1126"/>
      <c r="G3" s="1125"/>
      <c r="H3" s="1125"/>
      <c r="I3" s="1125"/>
      <c r="J3" s="1125"/>
      <c r="K3" s="1127"/>
      <c r="L3" s="1128"/>
      <c r="M3" s="1129"/>
      <c r="N3" s="1129"/>
      <c r="O3" s="1129"/>
      <c r="P3" s="768"/>
      <c r="Q3" s="768"/>
      <c r="R3" s="768"/>
      <c r="S3" s="768"/>
      <c r="T3" s="768"/>
      <c r="U3" s="768"/>
      <c r="V3" s="768"/>
      <c r="W3" s="768"/>
      <c r="X3" s="768"/>
      <c r="Y3" s="768"/>
      <c r="Z3" s="768"/>
      <c r="AA3" s="768"/>
      <c r="AB3" s="768"/>
      <c r="AC3" s="769"/>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34" t="s">
        <v>2647</v>
      </c>
      <c r="Q4" s="3235"/>
      <c r="R4" s="3229" t="s">
        <v>2643</v>
      </c>
      <c r="S4" s="3230"/>
      <c r="T4" s="3229" t="s">
        <v>2644</v>
      </c>
      <c r="U4" s="3230"/>
      <c r="V4" s="3238" t="s">
        <v>2645</v>
      </c>
      <c r="W4" s="3238"/>
      <c r="X4" s="2669"/>
      <c r="Y4" s="3229" t="s">
        <v>2647</v>
      </c>
      <c r="Z4" s="3230"/>
      <c r="AA4" s="3228" t="s">
        <v>2643</v>
      </c>
      <c r="AB4" s="3228" t="s">
        <v>2644</v>
      </c>
      <c r="AC4" s="3231" t="s">
        <v>2645</v>
      </c>
    </row>
    <row r="5" spans="1:29">
      <c r="A5" s="404"/>
      <c r="B5" s="405"/>
      <c r="C5" s="3193" t="s">
        <v>2538</v>
      </c>
      <c r="D5" s="3194"/>
      <c r="E5" s="3191" t="s">
        <v>2539</v>
      </c>
      <c r="F5" s="3192"/>
      <c r="G5" s="3193" t="s">
        <v>2540</v>
      </c>
      <c r="H5" s="3194"/>
      <c r="I5" s="3193" t="s">
        <v>2541</v>
      </c>
      <c r="J5" s="3194"/>
      <c r="K5" s="610"/>
      <c r="L5" s="1130"/>
      <c r="M5" s="1131"/>
      <c r="N5" s="1131"/>
      <c r="O5" s="1131"/>
      <c r="P5" s="3236"/>
      <c r="Q5" s="3207"/>
      <c r="R5" s="3189"/>
      <c r="S5" s="3190"/>
      <c r="T5" s="3189"/>
      <c r="U5" s="3190"/>
      <c r="V5" s="3212"/>
      <c r="W5" s="3212"/>
      <c r="X5" s="1813"/>
      <c r="Y5" s="3189"/>
      <c r="Z5" s="3190"/>
      <c r="AA5" s="3183"/>
      <c r="AB5" s="3183"/>
      <c r="AC5" s="3232"/>
    </row>
    <row r="6" spans="1:29" ht="15" thickBot="1">
      <c r="A6" s="406"/>
      <c r="B6" s="407"/>
      <c r="C6" s="3195" t="s">
        <v>2542</v>
      </c>
      <c r="D6" s="3196"/>
      <c r="E6" s="3197" t="s">
        <v>2542</v>
      </c>
      <c r="F6" s="3198"/>
      <c r="G6" s="3195" t="s">
        <v>2542</v>
      </c>
      <c r="H6" s="3196"/>
      <c r="I6" s="3195" t="s">
        <v>2542</v>
      </c>
      <c r="J6" s="3196"/>
      <c r="K6" s="610" t="s">
        <v>2543</v>
      </c>
      <c r="L6" s="1130"/>
      <c r="M6" s="1131"/>
      <c r="N6" s="1131"/>
      <c r="O6" s="1131"/>
      <c r="P6" s="3237"/>
      <c r="Q6" s="3209"/>
      <c r="R6" s="3189"/>
      <c r="S6" s="3190"/>
      <c r="T6" s="3210"/>
      <c r="U6" s="3211"/>
      <c r="V6" s="3212"/>
      <c r="W6" s="3212"/>
      <c r="X6" s="1813"/>
      <c r="Y6" s="3210"/>
      <c r="Z6" s="3211"/>
      <c r="AA6" s="3184"/>
      <c r="AB6" s="3184"/>
      <c r="AC6" s="3233"/>
    </row>
    <row r="7" spans="1:29" s="117" customFormat="1" ht="15" thickBot="1">
      <c r="A7" s="408" t="s">
        <v>2544</v>
      </c>
      <c r="B7" s="409"/>
      <c r="C7" s="410">
        <f>'数据-取费表'!B2</f>
        <v>43692</v>
      </c>
      <c r="D7" s="411">
        <v>100</v>
      </c>
      <c r="E7" s="412"/>
      <c r="F7" s="413">
        <f>SUMIF(59:59,YEAR(E7)&amp;"-"&amp;MONTH(E7),60:60)</f>
        <v>0</v>
      </c>
      <c r="G7" s="412"/>
      <c r="H7" s="411">
        <f>SUMIF(59:59,YEAR(G7)&amp;"-"&amp;MONTH(G7),60:60)</f>
        <v>0</v>
      </c>
      <c r="I7" s="412"/>
      <c r="J7" s="411">
        <f>SUMIF(59:59,YEAR(I7)&amp;"-"&amp;MONTH(I7),60:60)</f>
        <v>0</v>
      </c>
      <c r="K7" s="611"/>
      <c r="L7" s="1132"/>
      <c r="M7" s="1133"/>
      <c r="N7" s="1133"/>
      <c r="O7" s="1133"/>
      <c r="P7" s="3239" t="s">
        <v>2545</v>
      </c>
      <c r="Q7" s="3213"/>
      <c r="R7" s="770" t="s">
        <v>17</v>
      </c>
      <c r="S7" s="771">
        <f t="shared" ref="S7:S15" si="0">F7</f>
        <v>0</v>
      </c>
      <c r="T7" s="770" t="s">
        <v>17</v>
      </c>
      <c r="U7" s="771">
        <f t="shared" ref="U7:U15" si="1">H7</f>
        <v>0</v>
      </c>
      <c r="V7" s="770" t="s">
        <v>17</v>
      </c>
      <c r="W7" s="771">
        <f t="shared" ref="W7:W15" si="2">J7</f>
        <v>0</v>
      </c>
      <c r="X7" s="772"/>
      <c r="Y7" s="3185" t="s">
        <v>2545</v>
      </c>
      <c r="Z7" s="3186"/>
      <c r="AA7" s="773" t="e">
        <f>D7/F7</f>
        <v>#DIV/0!</v>
      </c>
      <c r="AB7" s="773" t="e">
        <f>D7/H7</f>
        <v>#DIV/0!</v>
      </c>
      <c r="AC7" s="2670" t="e">
        <f>D7/J7</f>
        <v>#DIV/0!</v>
      </c>
    </row>
    <row r="8" spans="1:29" s="117" customFormat="1" ht="1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2"/>
      <c r="M8" s="1133"/>
      <c r="N8" s="1133"/>
      <c r="O8" s="1133"/>
      <c r="P8" s="3239" t="s">
        <v>2548</v>
      </c>
      <c r="Q8" s="3186"/>
      <c r="R8" s="770" t="s">
        <v>17</v>
      </c>
      <c r="S8" s="771">
        <f t="shared" si="0"/>
        <v>0</v>
      </c>
      <c r="T8" s="770" t="s">
        <v>17</v>
      </c>
      <c r="U8" s="771">
        <f t="shared" si="1"/>
        <v>0</v>
      </c>
      <c r="V8" s="770" t="s">
        <v>17</v>
      </c>
      <c r="W8" s="771">
        <f t="shared" si="2"/>
        <v>0</v>
      </c>
      <c r="X8" s="772"/>
      <c r="Y8" s="3185" t="s">
        <v>2548</v>
      </c>
      <c r="Z8" s="3186"/>
      <c r="AA8" s="773" t="e">
        <f t="shared" ref="AA8:AA47" si="3">D8/F8</f>
        <v>#DIV/0!</v>
      </c>
      <c r="AB8" s="773" t="e">
        <f t="shared" ref="AB8:AB47" si="4">D8/H8</f>
        <v>#DIV/0!</v>
      </c>
      <c r="AC8" s="2670" t="e">
        <f t="shared" ref="AC8:AC47" si="5">D8/J8</f>
        <v>#DIV/0!</v>
      </c>
    </row>
    <row r="9" spans="1:29" s="117" customFormat="1" ht="14.4">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2"/>
      <c r="M9" s="1133"/>
      <c r="N9" s="1133"/>
      <c r="O9" s="1133"/>
      <c r="P9" s="3199"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2670">
        <f t="shared" si="5"/>
        <v>1</v>
      </c>
    </row>
    <row r="10" spans="1:29" s="427" customFormat="1" ht="28.8">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5"/>
      <c r="M10" s="1136"/>
      <c r="N10" s="1136"/>
      <c r="O10" s="1136"/>
      <c r="P10" s="3199"/>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2670">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8"/>
      <c r="M11" s="1131"/>
      <c r="N11" s="1131"/>
      <c r="O11" s="1131"/>
      <c r="P11" s="3199"/>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2670" t="e">
        <f t="shared" si="5"/>
        <v>#N/A</v>
      </c>
    </row>
    <row r="12" spans="1:29" s="117" customFormat="1" ht="15">
      <c r="A12" s="431"/>
      <c r="B12" s="2599">
        <v>111</v>
      </c>
      <c r="C12" s="432"/>
      <c r="D12" s="433">
        <v>100</v>
      </c>
      <c r="E12" s="432"/>
      <c r="F12" s="136">
        <f>SUMIF(71:71,E12,72:72)-SUMIF(71:71,C12,72:72)+100</f>
        <v>100</v>
      </c>
      <c r="G12" s="2671"/>
      <c r="H12" s="136">
        <f>SUMIF(71:71,G12,72:72)-SUMIF(71:71,C12,72:72)+100</f>
        <v>100</v>
      </c>
      <c r="I12" s="432"/>
      <c r="J12" s="136">
        <f>SUMIF(71:71,I12,72:72)-SUMIF(71:71,C12,72:72)+100</f>
        <v>100</v>
      </c>
      <c r="K12" s="613"/>
      <c r="L12" s="1132"/>
      <c r="M12" s="1133"/>
      <c r="N12" s="1133"/>
      <c r="O12" s="1133"/>
      <c r="P12" s="3199"/>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2670">
        <f>D12/J12</f>
        <v>1</v>
      </c>
    </row>
    <row r="13" spans="1:29" ht="15">
      <c r="A13" s="428"/>
      <c r="B13" s="2599">
        <v>111</v>
      </c>
      <c r="C13" s="434"/>
      <c r="D13" s="435">
        <v>100</v>
      </c>
      <c r="E13" s="432"/>
      <c r="F13" s="136">
        <f>SUMIF(73:73,E13,74:74)-SUMIF(73:73,C13,74:74)+100</f>
        <v>100</v>
      </c>
      <c r="G13" s="2671"/>
      <c r="H13" s="435">
        <f>SUMIF(73:73,G13,74:74)-SUMIF(73:73,C13,74:74)+100</f>
        <v>100</v>
      </c>
      <c r="I13" s="432"/>
      <c r="J13" s="435">
        <f>SUMIF(73:73,I13,74:74)-SUMIF(73:73,C13,74:74)+100</f>
        <v>100</v>
      </c>
      <c r="K13" s="613"/>
      <c r="L13" s="1140"/>
      <c r="M13" s="1131"/>
      <c r="N13" s="1131"/>
      <c r="O13" s="1131"/>
      <c r="P13" s="3199"/>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2670">
        <f t="shared" si="5"/>
        <v>1</v>
      </c>
    </row>
    <row r="14" spans="1:29" ht="15.6" thickBot="1">
      <c r="A14" s="436"/>
      <c r="B14" s="2601">
        <v>111</v>
      </c>
      <c r="C14" s="437"/>
      <c r="D14" s="438">
        <v>100</v>
      </c>
      <c r="E14" s="628"/>
      <c r="F14" s="438">
        <f>SUMIF(75:75,E14,76:76)-SUMIF(75:75,C14,76:76)+100</f>
        <v>100</v>
      </c>
      <c r="G14" s="2671"/>
      <c r="H14" s="438">
        <f>SUMIF(75:75,G14,76:76)-SUMIF(75:75,C14,76:76)+100</f>
        <v>100</v>
      </c>
      <c r="I14" s="432"/>
      <c r="J14" s="438">
        <f>SUMIF(75:75,I14,76:76)-SUMIF(75:75,C14,76:76)+100</f>
        <v>100</v>
      </c>
      <c r="K14" s="613"/>
      <c r="L14" s="1140"/>
      <c r="M14" s="1131"/>
      <c r="N14" s="1131"/>
      <c r="O14" s="1131"/>
      <c r="P14" s="3199"/>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2670">
        <f t="shared" si="5"/>
        <v>1</v>
      </c>
    </row>
    <row r="15" spans="1:29" ht="15">
      <c r="A15" s="440" t="s">
        <v>2555</v>
      </c>
      <c r="B15" s="629" t="s">
        <v>2683</v>
      </c>
      <c r="C15" s="2672" t="str">
        <f>估价对象房地状况!C5</f>
        <v>一般</v>
      </c>
      <c r="D15" s="441">
        <v>100</v>
      </c>
      <c r="E15" s="444"/>
      <c r="F15" s="441">
        <f>SUMIF(77:77,E16,78:78)-SUMIF(77:77,C16,78:78)+100</f>
        <v>100</v>
      </c>
      <c r="G15" s="442"/>
      <c r="H15" s="441">
        <f>SUMIF(77:77,G16,78:78)-SUMIF(77:77,C16,78:78)+100</f>
        <v>100</v>
      </c>
      <c r="I15" s="442"/>
      <c r="J15" s="441">
        <f>SUMIF(77:77,I16,78:78)-SUMIF(77:77,C16,78:78)+100</f>
        <v>100</v>
      </c>
      <c r="K15" s="614"/>
      <c r="L15" s="1140"/>
      <c r="M15" s="1131"/>
      <c r="N15" s="1131"/>
      <c r="O15" s="1131"/>
      <c r="P15" s="3226" t="s">
        <v>2556</v>
      </c>
      <c r="Q15" s="1810" t="str">
        <f t="shared" si="6"/>
        <v>办公集聚程度</v>
      </c>
      <c r="R15" s="774" t="s">
        <v>17</v>
      </c>
      <c r="S15" s="775">
        <f t="shared" si="0"/>
        <v>100</v>
      </c>
      <c r="T15" s="774" t="s">
        <v>17</v>
      </c>
      <c r="U15" s="775">
        <f t="shared" si="1"/>
        <v>100</v>
      </c>
      <c r="V15" s="774" t="s">
        <v>17</v>
      </c>
      <c r="W15" s="775">
        <f t="shared" si="2"/>
        <v>100</v>
      </c>
      <c r="X15" s="1813"/>
      <c r="Y15" s="3219" t="s">
        <v>2556</v>
      </c>
      <c r="Z15" s="1814" t="str">
        <f t="shared" si="7"/>
        <v>办公集聚程度</v>
      </c>
      <c r="AA15" s="1811">
        <f t="shared" si="3"/>
        <v>1</v>
      </c>
      <c r="AB15" s="1811">
        <f t="shared" si="4"/>
        <v>1</v>
      </c>
      <c r="AC15" s="2673">
        <f t="shared" si="5"/>
        <v>1</v>
      </c>
    </row>
    <row r="16" spans="1:29" ht="15">
      <c r="A16" s="428"/>
      <c r="B16" s="630"/>
      <c r="C16" s="2610"/>
      <c r="D16" s="448"/>
      <c r="E16" s="447"/>
      <c r="F16" s="448"/>
      <c r="G16" s="2610"/>
      <c r="H16" s="450"/>
      <c r="I16" s="447"/>
      <c r="J16" s="448"/>
      <c r="K16" s="615"/>
      <c r="L16" s="1140"/>
      <c r="M16" s="1131"/>
      <c r="N16" s="1131"/>
      <c r="O16" s="1131"/>
      <c r="P16" s="3227"/>
      <c r="Q16" s="1810"/>
      <c r="R16" s="774"/>
      <c r="S16" s="775"/>
      <c r="T16" s="774"/>
      <c r="U16" s="775"/>
      <c r="V16" s="774"/>
      <c r="W16" s="775"/>
      <c r="X16" s="1813"/>
      <c r="Y16" s="3220"/>
      <c r="Z16" s="1814"/>
      <c r="AA16" s="1811">
        <v>1</v>
      </c>
      <c r="AB16" s="1811">
        <v>1</v>
      </c>
      <c r="AC16" s="2673">
        <v>1</v>
      </c>
    </row>
    <row r="17" spans="1:29" ht="15">
      <c r="A17" s="428"/>
      <c r="B17" s="631" t="s">
        <v>2093</v>
      </c>
      <c r="C17" s="2674" t="str">
        <f>估价对象房地状况!C6</f>
        <v>较好</v>
      </c>
      <c r="D17" s="450">
        <v>100</v>
      </c>
      <c r="E17" s="454"/>
      <c r="F17" s="450">
        <f>SUMIF(79:79,E18,80:80)-SUMIF(79:79,C18,80:80)+100</f>
        <v>100</v>
      </c>
      <c r="G17" s="452"/>
      <c r="H17" s="455">
        <f>SUMIF(79:79,G18,80:80)-SUMIF(79:79,C18,80:80)+100</f>
        <v>100</v>
      </c>
      <c r="I17" s="452"/>
      <c r="J17" s="455">
        <f>SUMIF(79:79,I18,80:80)-SUMIF(79:79,C18,80:80)+100</f>
        <v>100</v>
      </c>
      <c r="K17" s="614"/>
      <c r="L17" s="1140"/>
      <c r="M17" s="1131"/>
      <c r="N17" s="1131"/>
      <c r="O17" s="1131"/>
      <c r="P17" s="3227"/>
      <c r="Q17" s="1810" t="str">
        <f>B17</f>
        <v>交通便捷度</v>
      </c>
      <c r="R17" s="774" t="s">
        <v>17</v>
      </c>
      <c r="S17" s="775">
        <f>F17</f>
        <v>100</v>
      </c>
      <c r="T17" s="774" t="s">
        <v>17</v>
      </c>
      <c r="U17" s="775">
        <f>H17</f>
        <v>100</v>
      </c>
      <c r="V17" s="774" t="s">
        <v>17</v>
      </c>
      <c r="W17" s="775">
        <f>J17</f>
        <v>100</v>
      </c>
      <c r="X17" s="1813"/>
      <c r="Y17" s="3220"/>
      <c r="Z17" s="1814" t="str">
        <f>Q17</f>
        <v>交通便捷度</v>
      </c>
      <c r="AA17" s="1811">
        <f t="shared" si="3"/>
        <v>1</v>
      </c>
      <c r="AB17" s="1811">
        <f t="shared" si="4"/>
        <v>1</v>
      </c>
      <c r="AC17" s="2673">
        <f t="shared" si="5"/>
        <v>1</v>
      </c>
    </row>
    <row r="18" spans="1:29" ht="15">
      <c r="A18" s="428"/>
      <c r="B18" s="632"/>
      <c r="C18" s="2675"/>
      <c r="D18" s="450"/>
      <c r="E18" s="2608"/>
      <c r="F18" s="450"/>
      <c r="G18" s="2609"/>
      <c r="H18" s="448"/>
      <c r="I18" s="2609"/>
      <c r="J18" s="448"/>
      <c r="K18" s="615"/>
      <c r="L18" s="1140"/>
      <c r="M18" s="1131"/>
      <c r="N18" s="1131"/>
      <c r="O18" s="1131"/>
      <c r="P18" s="3227"/>
      <c r="Q18" s="1810"/>
      <c r="R18" s="774"/>
      <c r="S18" s="775"/>
      <c r="T18" s="774"/>
      <c r="U18" s="775"/>
      <c r="V18" s="774"/>
      <c r="W18" s="775"/>
      <c r="X18" s="1813"/>
      <c r="Y18" s="3220"/>
      <c r="Z18" s="1814"/>
      <c r="AA18" s="1811">
        <v>1</v>
      </c>
      <c r="AB18" s="1811">
        <v>1</v>
      </c>
      <c r="AC18" s="2673">
        <v>1</v>
      </c>
    </row>
    <row r="19" spans="1:29" ht="15">
      <c r="A19" s="428"/>
      <c r="B19" s="631" t="s">
        <v>2684</v>
      </c>
      <c r="C19" s="2674" t="str">
        <f>估价对象房地状况!C7</f>
        <v>较好</v>
      </c>
      <c r="D19" s="455">
        <v>100</v>
      </c>
      <c r="E19" s="459"/>
      <c r="F19" s="455">
        <f>SUMIF(81:81,E20,82:82)-SUMIF(81:81,C20,82:82)+100</f>
        <v>100</v>
      </c>
      <c r="G19" s="457"/>
      <c r="H19" s="450">
        <f>SUMIF(81:81,G20,82:82)-SUMIF(81:81,C20,82:82)+100</f>
        <v>100</v>
      </c>
      <c r="I19" s="457"/>
      <c r="J19" s="450">
        <f>SUMIF(81:81,I20,82:82)-SUMIF(81:81,C20,82:82)+100</f>
        <v>100</v>
      </c>
      <c r="K19" s="614"/>
      <c r="L19" s="1140"/>
      <c r="M19" s="1131"/>
      <c r="N19" s="1131"/>
      <c r="O19" s="1131"/>
      <c r="P19" s="3227"/>
      <c r="Q19" s="1810" t="str">
        <f>B19</f>
        <v>公共配套设施</v>
      </c>
      <c r="R19" s="774" t="s">
        <v>17</v>
      </c>
      <c r="S19" s="775">
        <f>F19</f>
        <v>100</v>
      </c>
      <c r="T19" s="774" t="s">
        <v>17</v>
      </c>
      <c r="U19" s="775">
        <f>H19</f>
        <v>100</v>
      </c>
      <c r="V19" s="774" t="s">
        <v>17</v>
      </c>
      <c r="W19" s="775">
        <f>J19</f>
        <v>100</v>
      </c>
      <c r="X19" s="1813"/>
      <c r="Y19" s="3220"/>
      <c r="Z19" s="1814" t="str">
        <f>Q19</f>
        <v>公共配套设施</v>
      </c>
      <c r="AA19" s="1811">
        <f t="shared" si="3"/>
        <v>1</v>
      </c>
      <c r="AB19" s="1811">
        <f t="shared" si="4"/>
        <v>1</v>
      </c>
      <c r="AC19" s="2673">
        <f t="shared" si="5"/>
        <v>1</v>
      </c>
    </row>
    <row r="20" spans="1:29" ht="15">
      <c r="A20" s="428"/>
      <c r="B20" s="632"/>
      <c r="C20" s="2610"/>
      <c r="D20" s="448"/>
      <c r="E20" s="2603"/>
      <c r="F20" s="448"/>
      <c r="G20" s="2604"/>
      <c r="H20" s="448"/>
      <c r="I20" s="2604"/>
      <c r="J20" s="448"/>
      <c r="K20" s="615"/>
      <c r="L20" s="1140"/>
      <c r="M20" s="1131"/>
      <c r="N20" s="1131"/>
      <c r="O20" s="1131"/>
      <c r="P20" s="3227"/>
      <c r="Q20" s="1810"/>
      <c r="R20" s="774"/>
      <c r="S20" s="775"/>
      <c r="T20" s="774"/>
      <c r="U20" s="775"/>
      <c r="V20" s="774"/>
      <c r="W20" s="775"/>
      <c r="X20" s="1813"/>
      <c r="Y20" s="3220"/>
      <c r="Z20" s="1814"/>
      <c r="AA20" s="1811">
        <v>1</v>
      </c>
      <c r="AB20" s="1811">
        <v>1</v>
      </c>
      <c r="AC20" s="2673">
        <v>1</v>
      </c>
    </row>
    <row r="21" spans="1:29" ht="15">
      <c r="A21" s="428"/>
      <c r="B21" s="633" t="s">
        <v>2685</v>
      </c>
      <c r="C21" s="2674" t="str">
        <f>估价对象房地状况!C8</f>
        <v>六通</v>
      </c>
      <c r="D21" s="450">
        <v>100</v>
      </c>
      <c r="E21" s="459"/>
      <c r="F21" s="455">
        <f>SUMIF(83:83,E22,84:84)-SUMIF(83:83,C22,84:84)+100</f>
        <v>100</v>
      </c>
      <c r="G21" s="457"/>
      <c r="H21" s="450">
        <f>SUMIF(83:83,G22,84:84)-SUMIF(83:83,C22,84:84)+100</f>
        <v>100</v>
      </c>
      <c r="I21" s="457"/>
      <c r="J21" s="450">
        <f>SUMIF(83:83,I22,84:84)-SUMIF(83:83,C22,84:84)+100</f>
        <v>100</v>
      </c>
      <c r="K21" s="614"/>
      <c r="L21" s="1140"/>
      <c r="M21" s="1131"/>
      <c r="N21" s="1131"/>
      <c r="O21" s="1131"/>
      <c r="P21" s="3227"/>
      <c r="Q21" s="1810" t="str">
        <f>B21</f>
        <v>基础设施水平</v>
      </c>
      <c r="R21" s="774" t="s">
        <v>17</v>
      </c>
      <c r="S21" s="775">
        <f>F21</f>
        <v>100</v>
      </c>
      <c r="T21" s="774" t="s">
        <v>17</v>
      </c>
      <c r="U21" s="775">
        <f>H21</f>
        <v>100</v>
      </c>
      <c r="V21" s="774" t="s">
        <v>17</v>
      </c>
      <c r="W21" s="775">
        <f>J21</f>
        <v>100</v>
      </c>
      <c r="X21" s="1813"/>
      <c r="Y21" s="3220"/>
      <c r="Z21" s="1814" t="str">
        <f>Q21</f>
        <v>基础设施水平</v>
      </c>
      <c r="AA21" s="1811">
        <f t="shared" ref="AA21" si="8">D21/F21</f>
        <v>1</v>
      </c>
      <c r="AB21" s="1811">
        <f t="shared" ref="AB21" si="9">D21/H21</f>
        <v>1</v>
      </c>
      <c r="AC21" s="2673">
        <f t="shared" ref="AC21" si="10">D21/J21</f>
        <v>1</v>
      </c>
    </row>
    <row r="22" spans="1:29" ht="15">
      <c r="A22" s="428"/>
      <c r="B22" s="633"/>
      <c r="C22" s="2675"/>
      <c r="D22" s="448"/>
      <c r="E22" s="447"/>
      <c r="F22" s="448"/>
      <c r="G22" s="2610"/>
      <c r="H22" s="448"/>
      <c r="I22" s="2610"/>
      <c r="J22" s="448"/>
      <c r="K22" s="1383"/>
      <c r="L22" s="1140"/>
      <c r="M22" s="1131"/>
      <c r="N22" s="1131"/>
      <c r="O22" s="1131"/>
      <c r="P22" s="3227"/>
      <c r="Q22" s="1810"/>
      <c r="R22" s="774"/>
      <c r="S22" s="775"/>
      <c r="T22" s="774"/>
      <c r="U22" s="775"/>
      <c r="V22" s="774"/>
      <c r="W22" s="775"/>
      <c r="X22" s="1813"/>
      <c r="Y22" s="3220"/>
      <c r="Z22" s="1814"/>
      <c r="AA22" s="1811">
        <v>1</v>
      </c>
      <c r="AB22" s="1811">
        <v>1</v>
      </c>
      <c r="AC22" s="2673">
        <v>1</v>
      </c>
    </row>
    <row r="23" spans="1:29" ht="15">
      <c r="A23" s="428"/>
      <c r="B23" s="631" t="s">
        <v>2686</v>
      </c>
      <c r="C23" s="2674" t="str">
        <f>估价对象房地状况!C9</f>
        <v>较好</v>
      </c>
      <c r="D23" s="450">
        <v>100</v>
      </c>
      <c r="E23" s="454"/>
      <c r="F23" s="450">
        <f>SUMIF(85:85,E24,86:86)-SUMIF(85:85,C24,86:86)+100</f>
        <v>100</v>
      </c>
      <c r="G23" s="452"/>
      <c r="H23" s="450">
        <f>SUMIF(85:85,G24,86:86)-SUMIF(85:85,C24,86:86)+100</f>
        <v>100</v>
      </c>
      <c r="I23" s="452"/>
      <c r="J23" s="450">
        <f>SUMIF(85:85,I24,86:86)-SUMIF(85:85,C24,86:86)+100</f>
        <v>100</v>
      </c>
      <c r="K23" s="614"/>
      <c r="L23" s="1140"/>
      <c r="M23" s="1131"/>
      <c r="N23" s="1131"/>
      <c r="O23" s="1131"/>
      <c r="P23" s="3227"/>
      <c r="Q23" s="1810" t="str">
        <f>B23</f>
        <v>环境质量</v>
      </c>
      <c r="R23" s="774" t="s">
        <v>17</v>
      </c>
      <c r="S23" s="775">
        <f>F23</f>
        <v>100</v>
      </c>
      <c r="T23" s="774" t="s">
        <v>17</v>
      </c>
      <c r="U23" s="775">
        <f>H23</f>
        <v>100</v>
      </c>
      <c r="V23" s="774" t="s">
        <v>17</v>
      </c>
      <c r="W23" s="775">
        <f>J23</f>
        <v>100</v>
      </c>
      <c r="X23" s="1813"/>
      <c r="Y23" s="3220"/>
      <c r="Z23" s="1814" t="str">
        <f>Q23</f>
        <v>环境质量</v>
      </c>
      <c r="AA23" s="1811">
        <f t="shared" si="3"/>
        <v>1</v>
      </c>
      <c r="AB23" s="1811">
        <f t="shared" si="4"/>
        <v>1</v>
      </c>
      <c r="AC23" s="2673">
        <f t="shared" si="5"/>
        <v>1</v>
      </c>
    </row>
    <row r="24" spans="1:29" ht="15">
      <c r="A24" s="428"/>
      <c r="B24" s="633"/>
      <c r="C24" s="2610"/>
      <c r="D24" s="448"/>
      <c r="E24" s="2603"/>
      <c r="F24" s="448"/>
      <c r="G24" s="2604"/>
      <c r="H24" s="448"/>
      <c r="I24" s="2604"/>
      <c r="J24" s="448"/>
      <c r="K24" s="615"/>
      <c r="L24" s="1140"/>
      <c r="M24" s="1131"/>
      <c r="N24" s="1131"/>
      <c r="O24" s="1131"/>
      <c r="P24" s="3227"/>
      <c r="Q24" s="1810"/>
      <c r="R24" s="774"/>
      <c r="S24" s="775"/>
      <c r="T24" s="774"/>
      <c r="U24" s="775"/>
      <c r="V24" s="774"/>
      <c r="W24" s="775"/>
      <c r="X24" s="1813"/>
      <c r="Y24" s="3220"/>
      <c r="Z24" s="1814"/>
      <c r="AA24" s="1811">
        <v>1</v>
      </c>
      <c r="AB24" s="1811">
        <v>1</v>
      </c>
      <c r="AC24" s="2673">
        <v>1</v>
      </c>
    </row>
    <row r="25" spans="1:29" ht="28.8">
      <c r="A25" s="404"/>
      <c r="B25" s="631" t="s">
        <v>2687</v>
      </c>
      <c r="C25" s="2614"/>
      <c r="D25" s="435">
        <v>100</v>
      </c>
      <c r="E25" s="434"/>
      <c r="F25" s="435">
        <f>SUMIF(87:87,E26,88:88)-SUMIF(87:87,C26,88:88)+100</f>
        <v>100</v>
      </c>
      <c r="G25" s="2614"/>
      <c r="H25" s="435">
        <f>SUMIF(87:87,G26,88:88)-SUMIF(87:87,C26,88:88)+100</f>
        <v>100</v>
      </c>
      <c r="I25" s="434"/>
      <c r="J25" s="435">
        <f>SUMIF(87:87,I26,88:88)-SUMIF(87:87,C26,88:88)+100</f>
        <v>100</v>
      </c>
      <c r="K25" s="614"/>
      <c r="L25" s="1140"/>
      <c r="M25" s="1131"/>
      <c r="N25" s="1131"/>
      <c r="O25" s="1131"/>
      <c r="P25" s="3227"/>
      <c r="Q25" s="1810" t="str">
        <f>B25</f>
        <v>毗邻道路的类型与等级</v>
      </c>
      <c r="R25" s="774" t="s">
        <v>17</v>
      </c>
      <c r="S25" s="775">
        <f>F25</f>
        <v>100</v>
      </c>
      <c r="T25" s="774" t="s">
        <v>17</v>
      </c>
      <c r="U25" s="775">
        <f>H25</f>
        <v>100</v>
      </c>
      <c r="V25" s="774" t="s">
        <v>17</v>
      </c>
      <c r="W25" s="775">
        <f>J25</f>
        <v>100</v>
      </c>
      <c r="X25" s="1813"/>
      <c r="Y25" s="3220"/>
      <c r="Z25" s="1814" t="str">
        <f>Q25</f>
        <v>毗邻道路的类型与等级</v>
      </c>
      <c r="AA25" s="1811">
        <f t="shared" si="3"/>
        <v>1</v>
      </c>
      <c r="AB25" s="1811">
        <f t="shared" si="4"/>
        <v>1</v>
      </c>
      <c r="AC25" s="2673">
        <f t="shared" si="5"/>
        <v>1</v>
      </c>
    </row>
    <row r="26" spans="1:29" ht="15">
      <c r="A26" s="404"/>
      <c r="B26" s="632"/>
      <c r="C26" s="634"/>
      <c r="D26" s="435"/>
      <c r="E26" s="616"/>
      <c r="F26" s="435"/>
      <c r="G26" s="634"/>
      <c r="H26" s="435"/>
      <c r="I26" s="616"/>
      <c r="J26" s="435"/>
      <c r="K26" s="615"/>
      <c r="L26" s="1140"/>
      <c r="M26" s="1131"/>
      <c r="N26" s="1131"/>
      <c r="O26" s="1131"/>
      <c r="P26" s="3227"/>
      <c r="Q26" s="1810"/>
      <c r="R26" s="774"/>
      <c r="S26" s="775"/>
      <c r="T26" s="774"/>
      <c r="U26" s="775"/>
      <c r="V26" s="774"/>
      <c r="W26" s="775"/>
      <c r="X26" s="1813"/>
      <c r="Y26" s="3220"/>
      <c r="Z26" s="1814"/>
      <c r="AA26" s="1811">
        <v>1</v>
      </c>
      <c r="AB26" s="1811">
        <v>1</v>
      </c>
      <c r="AC26" s="2673">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40"/>
      <c r="M27" s="1131"/>
      <c r="N27" s="1131"/>
      <c r="O27" s="1131"/>
      <c r="P27" s="3227"/>
      <c r="Q27" s="1810" t="str">
        <f t="shared" ref="Q27:Q47" si="11">B27</f>
        <v>楼层</v>
      </c>
      <c r="R27" s="774" t="s">
        <v>17</v>
      </c>
      <c r="S27" s="775">
        <f>F27</f>
        <v>100</v>
      </c>
      <c r="T27" s="774" t="s">
        <v>17</v>
      </c>
      <c r="U27" s="775">
        <f>H27</f>
        <v>100</v>
      </c>
      <c r="V27" s="774" t="s">
        <v>17</v>
      </c>
      <c r="W27" s="775">
        <f>J27</f>
        <v>100</v>
      </c>
      <c r="X27" s="1813"/>
      <c r="Y27" s="3220"/>
      <c r="Z27" s="1814" t="str">
        <f>Q27</f>
        <v>楼层</v>
      </c>
      <c r="AA27" s="1811">
        <f t="shared" si="3"/>
        <v>1</v>
      </c>
      <c r="AB27" s="1811">
        <f t="shared" si="4"/>
        <v>1</v>
      </c>
      <c r="AC27" s="2673">
        <f t="shared" si="5"/>
        <v>1</v>
      </c>
    </row>
    <row r="28" spans="1:29" s="117" customFormat="1" ht="15">
      <c r="A28" s="431"/>
      <c r="B28" s="631" t="s">
        <v>2688</v>
      </c>
      <c r="C28" s="2676"/>
      <c r="D28" s="462">
        <v>100</v>
      </c>
      <c r="E28" s="2664"/>
      <c r="F28" s="462">
        <f>SUMIF(91:91,E28,92:92)-SUMIF(91:91,C28,92:92)+100</f>
        <v>100</v>
      </c>
      <c r="G28" s="2676"/>
      <c r="H28" s="462">
        <f>SUMIF(91:91,G28,92:92)-SUMIF(91:91,C28,92:92)+100</f>
        <v>100</v>
      </c>
      <c r="I28" s="2664"/>
      <c r="J28" s="462">
        <f>SUMIF(91:91,I28,92:92)-SUMIF(91:91,C28,92:92)+100</f>
        <v>100</v>
      </c>
      <c r="K28" s="612"/>
      <c r="L28" s="1132"/>
      <c r="M28" s="1133"/>
      <c r="N28" s="1133"/>
      <c r="O28" s="1133"/>
      <c r="P28" s="3227"/>
      <c r="Q28" s="1795" t="str">
        <f t="shared" si="11"/>
        <v>朝向</v>
      </c>
      <c r="R28" s="770" t="s">
        <v>17</v>
      </c>
      <c r="S28" s="771">
        <f>F28</f>
        <v>100</v>
      </c>
      <c r="T28" s="770" t="s">
        <v>17</v>
      </c>
      <c r="U28" s="771">
        <f>H28</f>
        <v>100</v>
      </c>
      <c r="V28" s="770" t="s">
        <v>17</v>
      </c>
      <c r="W28" s="771">
        <f>J28</f>
        <v>100</v>
      </c>
      <c r="X28" s="772"/>
      <c r="Y28" s="3220"/>
      <c r="Z28" s="55" t="str">
        <f>Q28</f>
        <v>朝向</v>
      </c>
      <c r="AA28" s="1811">
        <f>D28/F28</f>
        <v>1</v>
      </c>
      <c r="AB28" s="1811">
        <f>D28/H28</f>
        <v>1</v>
      </c>
      <c r="AC28" s="2673">
        <f>D28/J28</f>
        <v>1</v>
      </c>
    </row>
    <row r="29" spans="1:29" ht="15">
      <c r="A29" s="428"/>
      <c r="B29" s="2677">
        <v>111</v>
      </c>
      <c r="C29" s="2614"/>
      <c r="D29" s="435">
        <v>100</v>
      </c>
      <c r="E29" s="432"/>
      <c r="F29" s="435">
        <f>SUMIF(93:93,E29,94:94)-SUMIF(93:93,C29,94:94)+100</f>
        <v>100</v>
      </c>
      <c r="G29" s="2671"/>
      <c r="H29" s="435">
        <f>SUMIF(93:93,G29,94:94)-SUMIF(93:93,C29,94:94)+100</f>
        <v>100</v>
      </c>
      <c r="I29" s="432"/>
      <c r="J29" s="435">
        <f>SUMIF(93:93,I29,94:94)-SUMIF(93:93,C29,94:94)+100</f>
        <v>100</v>
      </c>
      <c r="K29" s="613"/>
      <c r="L29" s="1140"/>
      <c r="M29" s="1131"/>
      <c r="N29" s="1131"/>
      <c r="O29" s="1131"/>
      <c r="P29" s="3227"/>
      <c r="Q29" s="1810">
        <f t="shared" si="11"/>
        <v>111</v>
      </c>
      <c r="R29" s="774" t="s">
        <v>17</v>
      </c>
      <c r="S29" s="775">
        <f t="shared" ref="S29:S47" si="12">F29</f>
        <v>100</v>
      </c>
      <c r="T29" s="774" t="s">
        <v>17</v>
      </c>
      <c r="U29" s="775">
        <f t="shared" ref="U29:U47" si="13">H29</f>
        <v>100</v>
      </c>
      <c r="V29" s="774" t="s">
        <v>17</v>
      </c>
      <c r="W29" s="775">
        <f t="shared" ref="W29:W47" si="14">J29</f>
        <v>100</v>
      </c>
      <c r="X29" s="1813"/>
      <c r="Y29" s="3220"/>
      <c r="Z29" s="1814">
        <f t="shared" ref="Z29:Z47" si="15">Q29</f>
        <v>111</v>
      </c>
      <c r="AA29" s="1811">
        <f t="shared" si="3"/>
        <v>1</v>
      </c>
      <c r="AB29" s="1811">
        <f t="shared" si="4"/>
        <v>1</v>
      </c>
      <c r="AC29" s="2673">
        <f t="shared" si="5"/>
        <v>1</v>
      </c>
    </row>
    <row r="30" spans="1:29" ht="15">
      <c r="A30" s="428"/>
      <c r="B30" s="2677">
        <v>111</v>
      </c>
      <c r="C30" s="2614"/>
      <c r="D30" s="435">
        <v>100</v>
      </c>
      <c r="E30" s="432"/>
      <c r="F30" s="435">
        <f>SUMIF(95:95,E30,96:96)-SUMIF(95:95,C30,96:96)+100</f>
        <v>100</v>
      </c>
      <c r="G30" s="2671"/>
      <c r="H30" s="435">
        <f>SUMIF(95:95,G30,96:96)-SUMIF(95:95,C30,96:96)+100</f>
        <v>100</v>
      </c>
      <c r="I30" s="432"/>
      <c r="J30" s="435">
        <f>SUMIF(95:95,I30,96:96)-SUMIF(95:95,C30,96:96)+100</f>
        <v>100</v>
      </c>
      <c r="K30" s="613"/>
      <c r="L30" s="1140"/>
      <c r="M30" s="1131"/>
      <c r="N30" s="1131"/>
      <c r="O30" s="1131"/>
      <c r="P30" s="3227"/>
      <c r="Q30" s="1810">
        <f t="shared" si="11"/>
        <v>111</v>
      </c>
      <c r="R30" s="774" t="s">
        <v>17</v>
      </c>
      <c r="S30" s="775">
        <f t="shared" si="12"/>
        <v>100</v>
      </c>
      <c r="T30" s="774" t="s">
        <v>17</v>
      </c>
      <c r="U30" s="775">
        <f t="shared" si="13"/>
        <v>100</v>
      </c>
      <c r="V30" s="774" t="s">
        <v>17</v>
      </c>
      <c r="W30" s="775">
        <f t="shared" si="14"/>
        <v>100</v>
      </c>
      <c r="X30" s="1813"/>
      <c r="Y30" s="3220"/>
      <c r="Z30" s="1814">
        <f t="shared" si="15"/>
        <v>111</v>
      </c>
      <c r="AA30" s="1811">
        <f t="shared" si="3"/>
        <v>1</v>
      </c>
      <c r="AB30" s="1811">
        <f t="shared" si="4"/>
        <v>1</v>
      </c>
      <c r="AC30" s="2673">
        <f t="shared" si="5"/>
        <v>1</v>
      </c>
    </row>
    <row r="31" spans="1:29" ht="15">
      <c r="A31" s="428"/>
      <c r="B31" s="2677">
        <v>111</v>
      </c>
      <c r="C31" s="2614"/>
      <c r="D31" s="435">
        <v>100</v>
      </c>
      <c r="E31" s="432"/>
      <c r="F31" s="435">
        <f>SUMIF(97:97,E31,98:98)-SUMIF(97:97,C31,98:98)+100</f>
        <v>100</v>
      </c>
      <c r="G31" s="2671"/>
      <c r="H31" s="435">
        <f>SUMIF(97:97,G31,98:98)-SUMIF(97:97,C31,98:98)+100</f>
        <v>100</v>
      </c>
      <c r="I31" s="432"/>
      <c r="J31" s="435">
        <f>SUMIF(97:97,I31,98:98)-SUMIF(97:97,C31,98:98)+100</f>
        <v>100</v>
      </c>
      <c r="K31" s="613"/>
      <c r="L31" s="1140"/>
      <c r="M31" s="1131"/>
      <c r="N31" s="1131"/>
      <c r="O31" s="1131"/>
      <c r="P31" s="3227"/>
      <c r="Q31" s="1810">
        <f t="shared" si="11"/>
        <v>111</v>
      </c>
      <c r="R31" s="774" t="s">
        <v>17</v>
      </c>
      <c r="S31" s="775">
        <f t="shared" si="12"/>
        <v>100</v>
      </c>
      <c r="T31" s="774" t="s">
        <v>17</v>
      </c>
      <c r="U31" s="775">
        <f t="shared" si="13"/>
        <v>100</v>
      </c>
      <c r="V31" s="774" t="s">
        <v>17</v>
      </c>
      <c r="W31" s="775">
        <f t="shared" si="14"/>
        <v>100</v>
      </c>
      <c r="X31" s="1813"/>
      <c r="Y31" s="3220"/>
      <c r="Z31" s="1814">
        <f t="shared" si="15"/>
        <v>111</v>
      </c>
      <c r="AA31" s="1811">
        <f t="shared" si="3"/>
        <v>1</v>
      </c>
      <c r="AB31" s="1811">
        <f t="shared" si="4"/>
        <v>1</v>
      </c>
      <c r="AC31" s="2673">
        <f t="shared" si="5"/>
        <v>1</v>
      </c>
    </row>
    <row r="32" spans="1:29" ht="15.6" thickBot="1">
      <c r="A32" s="436"/>
      <c r="B32" s="635">
        <v>111</v>
      </c>
      <c r="C32" s="2615"/>
      <c r="D32" s="438">
        <v>100</v>
      </c>
      <c r="E32" s="628"/>
      <c r="F32" s="438">
        <f>SUMIF(99:99,E32,100:100)-SUMIF(99:99,C32,100:100)+100</f>
        <v>100</v>
      </c>
      <c r="G32" s="2671"/>
      <c r="H32" s="438">
        <f>SUMIF(99:99,G32,100:100)-SUMIF(99:99,C32,100:100)+100</f>
        <v>100</v>
      </c>
      <c r="I32" s="432"/>
      <c r="J32" s="438">
        <f>SUMIF(99:99,I32,100:100)-SUMIF(99:99,C32,100:100)+100</f>
        <v>100</v>
      </c>
      <c r="K32" s="613"/>
      <c r="L32" s="1140"/>
      <c r="M32" s="1131"/>
      <c r="N32" s="1131"/>
      <c r="O32" s="1131"/>
      <c r="P32" s="3227"/>
      <c r="Q32" s="1810">
        <f t="shared" si="11"/>
        <v>111</v>
      </c>
      <c r="R32" s="774" t="s">
        <v>17</v>
      </c>
      <c r="S32" s="775">
        <f t="shared" si="12"/>
        <v>100</v>
      </c>
      <c r="T32" s="774" t="s">
        <v>17</v>
      </c>
      <c r="U32" s="775">
        <f t="shared" si="13"/>
        <v>100</v>
      </c>
      <c r="V32" s="774" t="s">
        <v>17</v>
      </c>
      <c r="W32" s="775">
        <f t="shared" si="14"/>
        <v>100</v>
      </c>
      <c r="X32" s="1813"/>
      <c r="Y32" s="3220"/>
      <c r="Z32" s="1814">
        <f t="shared" si="15"/>
        <v>111</v>
      </c>
      <c r="AA32" s="1811">
        <f t="shared" si="3"/>
        <v>1</v>
      </c>
      <c r="AB32" s="1811">
        <f t="shared" si="4"/>
        <v>1</v>
      </c>
      <c r="AC32" s="2673">
        <f t="shared" si="5"/>
        <v>1</v>
      </c>
    </row>
    <row r="33" spans="1:29" ht="15">
      <c r="A33" s="440" t="s">
        <v>2559</v>
      </c>
      <c r="B33" s="71" t="s">
        <v>2689</v>
      </c>
      <c r="C33" s="2678"/>
      <c r="D33" s="467">
        <v>100</v>
      </c>
      <c r="E33" s="2678"/>
      <c r="F33" s="461">
        <f>SUMIF(101:101,E33,102:102)-SUMIF(101:101,C33,102:102)+100</f>
        <v>100</v>
      </c>
      <c r="G33" s="2678"/>
      <c r="H33" s="435">
        <f>SUMIF(101:101,G33,102:102)-SUMIF(101:101,C33,102:102)+100</f>
        <v>100</v>
      </c>
      <c r="I33" s="2678"/>
      <c r="J33" s="467">
        <f>SUMIF(101:101,I33,102:102)-SUMIF(101:101,C33,102:102)+100</f>
        <v>100</v>
      </c>
      <c r="K33" s="612"/>
      <c r="L33" s="1140"/>
      <c r="M33" s="1131"/>
      <c r="N33" s="1131"/>
      <c r="O33" s="1131"/>
      <c r="P33" s="3221" t="s">
        <v>2561</v>
      </c>
      <c r="Q33" s="1810" t="str">
        <f t="shared" si="11"/>
        <v>建筑类型</v>
      </c>
      <c r="R33" s="774" t="s">
        <v>17</v>
      </c>
      <c r="S33" s="775">
        <f t="shared" si="12"/>
        <v>100</v>
      </c>
      <c r="T33" s="774" t="s">
        <v>17</v>
      </c>
      <c r="U33" s="775">
        <f t="shared" si="13"/>
        <v>100</v>
      </c>
      <c r="V33" s="774" t="s">
        <v>17</v>
      </c>
      <c r="W33" s="775">
        <f t="shared" si="14"/>
        <v>100</v>
      </c>
      <c r="X33" s="1813"/>
      <c r="Y33" s="3224" t="s">
        <v>2561</v>
      </c>
      <c r="Z33" s="1814" t="str">
        <f t="shared" si="15"/>
        <v>建筑类型</v>
      </c>
      <c r="AA33" s="1811">
        <f t="shared" si="3"/>
        <v>1</v>
      </c>
      <c r="AB33" s="1811">
        <f t="shared" si="4"/>
        <v>1</v>
      </c>
      <c r="AC33" s="2673">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8"/>
      <c r="M34" s="1141"/>
      <c r="N34" s="1141"/>
      <c r="O34" s="1141"/>
      <c r="P34" s="3222"/>
      <c r="Q34" s="776" t="str">
        <f t="shared" si="11"/>
        <v>项目建筑规模</v>
      </c>
      <c r="R34" s="777" t="s">
        <v>17</v>
      </c>
      <c r="S34" s="778" t="e">
        <f t="shared" si="12"/>
        <v>#N/A</v>
      </c>
      <c r="T34" s="777" t="s">
        <v>17</v>
      </c>
      <c r="U34" s="778" t="e">
        <f t="shared" si="13"/>
        <v>#N/A</v>
      </c>
      <c r="V34" s="777" t="s">
        <v>17</v>
      </c>
      <c r="W34" s="778" t="e">
        <f t="shared" si="14"/>
        <v>#N/A</v>
      </c>
      <c r="X34" s="779"/>
      <c r="Y34" s="3224"/>
      <c r="Z34" s="780" t="str">
        <f t="shared" si="15"/>
        <v>项目建筑规模</v>
      </c>
      <c r="AA34" s="1811" t="e">
        <f t="shared" si="3"/>
        <v>#N/A</v>
      </c>
      <c r="AB34" s="1811" t="e">
        <f t="shared" si="4"/>
        <v>#N/A</v>
      </c>
      <c r="AC34" s="2673"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0"/>
      <c r="M35" s="1131"/>
      <c r="N35" s="1131"/>
      <c r="O35" s="1131"/>
      <c r="P35" s="3222"/>
      <c r="Q35" s="1810" t="str">
        <f t="shared" si="11"/>
        <v>建筑结构</v>
      </c>
      <c r="R35" s="774" t="s">
        <v>17</v>
      </c>
      <c r="S35" s="775">
        <f t="shared" si="12"/>
        <v>100</v>
      </c>
      <c r="T35" s="774" t="s">
        <v>17</v>
      </c>
      <c r="U35" s="775">
        <f t="shared" si="13"/>
        <v>100</v>
      </c>
      <c r="V35" s="774" t="s">
        <v>17</v>
      </c>
      <c r="W35" s="775">
        <f t="shared" si="14"/>
        <v>100</v>
      </c>
      <c r="X35" s="1813"/>
      <c r="Y35" s="3224"/>
      <c r="Z35" s="1814" t="str">
        <f t="shared" si="15"/>
        <v>建筑结构</v>
      </c>
      <c r="AA35" s="1811">
        <f t="shared" si="3"/>
        <v>1</v>
      </c>
      <c r="AB35" s="1811">
        <f t="shared" si="4"/>
        <v>1</v>
      </c>
      <c r="AC35" s="2673">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0"/>
      <c r="M36" s="1131"/>
      <c r="N36" s="1131"/>
      <c r="O36" s="1131"/>
      <c r="P36" s="3222"/>
      <c r="Q36" s="1810" t="str">
        <f t="shared" si="11"/>
        <v>公共部分装修</v>
      </c>
      <c r="R36" s="774" t="s">
        <v>17</v>
      </c>
      <c r="S36" s="775">
        <f t="shared" si="12"/>
        <v>100</v>
      </c>
      <c r="T36" s="774" t="s">
        <v>17</v>
      </c>
      <c r="U36" s="775">
        <f t="shared" si="13"/>
        <v>100</v>
      </c>
      <c r="V36" s="774" t="s">
        <v>17</v>
      </c>
      <c r="W36" s="775">
        <f t="shared" si="14"/>
        <v>100</v>
      </c>
      <c r="X36" s="1813"/>
      <c r="Y36" s="3224"/>
      <c r="Z36" s="1814" t="str">
        <f t="shared" si="15"/>
        <v>公共部分装修</v>
      </c>
      <c r="AA36" s="1811">
        <f t="shared" si="3"/>
        <v>1</v>
      </c>
      <c r="AB36" s="1811">
        <f t="shared" si="4"/>
        <v>1</v>
      </c>
      <c r="AC36" s="2673">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0"/>
      <c r="M37" s="1131"/>
      <c r="N37" s="1131"/>
      <c r="O37" s="1131"/>
      <c r="P37" s="3222"/>
      <c r="Q37" s="1810" t="str">
        <f t="shared" si="11"/>
        <v>成新度</v>
      </c>
      <c r="R37" s="774" t="s">
        <v>17</v>
      </c>
      <c r="S37" s="775" t="e">
        <f t="shared" si="12"/>
        <v>#N/A</v>
      </c>
      <c r="T37" s="774" t="s">
        <v>17</v>
      </c>
      <c r="U37" s="775" t="e">
        <f t="shared" si="13"/>
        <v>#N/A</v>
      </c>
      <c r="V37" s="774" t="s">
        <v>17</v>
      </c>
      <c r="W37" s="775" t="e">
        <f t="shared" si="14"/>
        <v>#N/A</v>
      </c>
      <c r="X37" s="1813"/>
      <c r="Y37" s="3224"/>
      <c r="Z37" s="1814" t="str">
        <f t="shared" si="15"/>
        <v>成新度</v>
      </c>
      <c r="AA37" s="1811" t="e">
        <f t="shared" si="3"/>
        <v>#N/A</v>
      </c>
      <c r="AB37" s="1811" t="e">
        <f t="shared" si="4"/>
        <v>#N/A</v>
      </c>
      <c r="AC37" s="2673"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2"/>
      <c r="M38" s="1133"/>
      <c r="N38" s="1133"/>
      <c r="O38" s="1133"/>
      <c r="P38" s="3222"/>
      <c r="Q38" s="1795" t="str">
        <f t="shared" si="11"/>
        <v>写字楼等级</v>
      </c>
      <c r="R38" s="770" t="s">
        <v>17</v>
      </c>
      <c r="S38" s="771">
        <f t="shared" si="12"/>
        <v>100</v>
      </c>
      <c r="T38" s="770" t="s">
        <v>17</v>
      </c>
      <c r="U38" s="771">
        <f t="shared" si="13"/>
        <v>100</v>
      </c>
      <c r="V38" s="770" t="s">
        <v>17</v>
      </c>
      <c r="W38" s="771">
        <f t="shared" si="14"/>
        <v>100</v>
      </c>
      <c r="X38" s="772"/>
      <c r="Y38" s="3224"/>
      <c r="Z38" s="55" t="str">
        <f t="shared" si="15"/>
        <v>写字楼等级</v>
      </c>
      <c r="AA38" s="773">
        <f t="shared" si="3"/>
        <v>1</v>
      </c>
      <c r="AB38" s="773">
        <f t="shared" si="4"/>
        <v>1</v>
      </c>
      <c r="AC38" s="2670">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0"/>
      <c r="M39" s="1131"/>
      <c r="N39" s="1131"/>
      <c r="O39" s="1131"/>
      <c r="P39" s="3222" t="s">
        <v>2561</v>
      </c>
      <c r="Q39" s="1810" t="str">
        <f t="shared" si="11"/>
        <v>物业管理</v>
      </c>
      <c r="R39" s="774" t="s">
        <v>17</v>
      </c>
      <c r="S39" s="775">
        <f t="shared" si="12"/>
        <v>100</v>
      </c>
      <c r="T39" s="774" t="s">
        <v>17</v>
      </c>
      <c r="U39" s="775">
        <f t="shared" si="13"/>
        <v>100</v>
      </c>
      <c r="V39" s="774" t="s">
        <v>17</v>
      </c>
      <c r="W39" s="775">
        <f t="shared" si="14"/>
        <v>100</v>
      </c>
      <c r="X39" s="1813"/>
      <c r="Y39" s="3224" t="s">
        <v>2561</v>
      </c>
      <c r="Z39" s="1814" t="str">
        <f t="shared" si="15"/>
        <v>物业管理</v>
      </c>
      <c r="AA39" s="1811">
        <f t="shared" si="3"/>
        <v>1</v>
      </c>
      <c r="AB39" s="1811">
        <f t="shared" si="4"/>
        <v>1</v>
      </c>
      <c r="AC39" s="2673">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0"/>
      <c r="M40" s="1131"/>
      <c r="N40" s="1131"/>
      <c r="O40" s="1131"/>
      <c r="P40" s="3222"/>
      <c r="Q40" s="1810" t="str">
        <f t="shared" si="11"/>
        <v>市政基础设施</v>
      </c>
      <c r="R40" s="774" t="s">
        <v>17</v>
      </c>
      <c r="S40" s="775">
        <f t="shared" si="12"/>
        <v>100</v>
      </c>
      <c r="T40" s="774" t="s">
        <v>17</v>
      </c>
      <c r="U40" s="775">
        <f t="shared" si="13"/>
        <v>100</v>
      </c>
      <c r="V40" s="774" t="s">
        <v>17</v>
      </c>
      <c r="W40" s="775">
        <f t="shared" si="14"/>
        <v>100</v>
      </c>
      <c r="X40" s="1813"/>
      <c r="Y40" s="3224"/>
      <c r="Z40" s="1814" t="str">
        <f t="shared" si="15"/>
        <v>市政基础设施</v>
      </c>
      <c r="AA40" s="1811">
        <f t="shared" si="3"/>
        <v>1</v>
      </c>
      <c r="AB40" s="1811">
        <f t="shared" si="4"/>
        <v>1</v>
      </c>
      <c r="AC40" s="2673">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0"/>
      <c r="M41" s="1131"/>
      <c r="N41" s="1131"/>
      <c r="O41" s="1131"/>
      <c r="P41" s="3222"/>
      <c r="Q41" s="1810" t="str">
        <f t="shared" si="11"/>
        <v>层高</v>
      </c>
      <c r="R41" s="774" t="s">
        <v>17</v>
      </c>
      <c r="S41" s="775">
        <f t="shared" si="12"/>
        <v>100</v>
      </c>
      <c r="T41" s="774" t="s">
        <v>17</v>
      </c>
      <c r="U41" s="775">
        <f t="shared" si="13"/>
        <v>100</v>
      </c>
      <c r="V41" s="774" t="s">
        <v>17</v>
      </c>
      <c r="W41" s="775">
        <f t="shared" si="14"/>
        <v>100</v>
      </c>
      <c r="X41" s="1813"/>
      <c r="Y41" s="3224"/>
      <c r="Z41" s="1814" t="str">
        <f t="shared" si="15"/>
        <v>层高</v>
      </c>
      <c r="AA41" s="1811">
        <f t="shared" si="3"/>
        <v>1</v>
      </c>
      <c r="AB41" s="1811">
        <f t="shared" si="4"/>
        <v>1</v>
      </c>
      <c r="AC41" s="2673">
        <f t="shared" si="5"/>
        <v>1</v>
      </c>
    </row>
    <row r="42" spans="1:29" s="471" customFormat="1" ht="15">
      <c r="A42" s="468"/>
      <c r="B42" s="1812"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8"/>
      <c r="M42" s="1141"/>
      <c r="N42" s="1141"/>
      <c r="O42" s="1141"/>
      <c r="P42" s="3222"/>
      <c r="Q42" s="776" t="str">
        <f t="shared" si="11"/>
        <v>单套建筑面积</v>
      </c>
      <c r="R42" s="777" t="s">
        <v>17</v>
      </c>
      <c r="S42" s="778">
        <f t="shared" si="12"/>
        <v>100</v>
      </c>
      <c r="T42" s="777" t="s">
        <v>17</v>
      </c>
      <c r="U42" s="778">
        <f t="shared" si="13"/>
        <v>100</v>
      </c>
      <c r="V42" s="777" t="s">
        <v>17</v>
      </c>
      <c r="W42" s="778">
        <f t="shared" si="14"/>
        <v>100</v>
      </c>
      <c r="X42" s="779"/>
      <c r="Y42" s="3224"/>
      <c r="Z42" s="780" t="str">
        <f t="shared" si="15"/>
        <v>单套建筑面积</v>
      </c>
      <c r="AA42" s="1811">
        <f t="shared" si="3"/>
        <v>1</v>
      </c>
      <c r="AB42" s="1811">
        <f t="shared" si="4"/>
        <v>1</v>
      </c>
      <c r="AC42" s="2673">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0"/>
      <c r="M43" s="1131"/>
      <c r="N43" s="1131"/>
      <c r="O43" s="1131"/>
      <c r="P43" s="3222"/>
      <c r="Q43" s="1810" t="str">
        <f t="shared" si="11"/>
        <v>内部装修</v>
      </c>
      <c r="R43" s="774" t="s">
        <v>17</v>
      </c>
      <c r="S43" s="775">
        <f t="shared" si="12"/>
        <v>100</v>
      </c>
      <c r="T43" s="774" t="s">
        <v>17</v>
      </c>
      <c r="U43" s="775">
        <f t="shared" si="13"/>
        <v>100</v>
      </c>
      <c r="V43" s="774" t="s">
        <v>17</v>
      </c>
      <c r="W43" s="775">
        <f t="shared" si="14"/>
        <v>100</v>
      </c>
      <c r="X43" s="1813"/>
      <c r="Y43" s="3224"/>
      <c r="Z43" s="1814" t="str">
        <f t="shared" si="15"/>
        <v>内部装修</v>
      </c>
      <c r="AA43" s="1811">
        <f t="shared" si="3"/>
        <v>1</v>
      </c>
      <c r="AB43" s="1811">
        <f t="shared" si="4"/>
        <v>1</v>
      </c>
      <c r="AC43" s="2673">
        <f t="shared" si="5"/>
        <v>1</v>
      </c>
    </row>
    <row r="44" spans="1:29" ht="28.8">
      <c r="A44" s="472"/>
      <c r="B44" s="422" t="s">
        <v>2572</v>
      </c>
      <c r="C44" s="460"/>
      <c r="D44" s="435">
        <v>100</v>
      </c>
      <c r="E44" s="2612"/>
      <c r="F44" s="461">
        <f>SUMIF(125:125,E44,126:126)-SUMIF(125:125,C44,126:126)+100</f>
        <v>100</v>
      </c>
      <c r="G44" s="2612"/>
      <c r="H44" s="435">
        <f>SUMIF(125:125,G44,126:126)-SUMIF(125:125,C44,126:126)+100</f>
        <v>100</v>
      </c>
      <c r="I44" s="2612"/>
      <c r="J44" s="435">
        <f>SUMIF(125:125,I44,126:126)-SUMIF(125:125,C44,126:126)+100</f>
        <v>100</v>
      </c>
      <c r="K44" s="612"/>
      <c r="L44" s="1140"/>
      <c r="M44" s="1131"/>
      <c r="N44" s="1131"/>
      <c r="O44" s="1131"/>
      <c r="P44" s="3222"/>
      <c r="Q44" s="1810" t="str">
        <f t="shared" si="11"/>
        <v>内部装修维护情况</v>
      </c>
      <c r="R44" s="774" t="s">
        <v>17</v>
      </c>
      <c r="S44" s="775">
        <f t="shared" si="12"/>
        <v>100</v>
      </c>
      <c r="T44" s="774" t="s">
        <v>17</v>
      </c>
      <c r="U44" s="775">
        <f t="shared" si="13"/>
        <v>100</v>
      </c>
      <c r="V44" s="774" t="s">
        <v>17</v>
      </c>
      <c r="W44" s="775">
        <f t="shared" si="14"/>
        <v>100</v>
      </c>
      <c r="X44" s="1813"/>
      <c r="Y44" s="3224"/>
      <c r="Z44" s="1814" t="str">
        <f t="shared" si="15"/>
        <v>内部装修维护情况</v>
      </c>
      <c r="AA44" s="1811">
        <f t="shared" si="3"/>
        <v>1</v>
      </c>
      <c r="AB44" s="1811">
        <f t="shared" si="4"/>
        <v>1</v>
      </c>
      <c r="AC44" s="2673">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22"/>
      <c r="Q45" s="1795">
        <f t="shared" si="11"/>
        <v>111</v>
      </c>
      <c r="R45" s="770" t="s">
        <v>17</v>
      </c>
      <c r="S45" s="771">
        <f t="shared" si="12"/>
        <v>100</v>
      </c>
      <c r="T45" s="770" t="s">
        <v>17</v>
      </c>
      <c r="U45" s="771">
        <f t="shared" si="13"/>
        <v>100</v>
      </c>
      <c r="V45" s="770" t="s">
        <v>17</v>
      </c>
      <c r="W45" s="771">
        <f t="shared" si="14"/>
        <v>100</v>
      </c>
      <c r="X45" s="772"/>
      <c r="Y45" s="3224"/>
      <c r="Z45" s="55">
        <f t="shared" si="15"/>
        <v>111</v>
      </c>
      <c r="AA45" s="773">
        <f t="shared" si="3"/>
        <v>1</v>
      </c>
      <c r="AB45" s="773">
        <f t="shared" si="4"/>
        <v>1</v>
      </c>
      <c r="AC45" s="2670">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22"/>
      <c r="Q46" s="1810">
        <f t="shared" si="11"/>
        <v>111</v>
      </c>
      <c r="R46" s="774" t="s">
        <v>17</v>
      </c>
      <c r="S46" s="775">
        <f t="shared" si="12"/>
        <v>100</v>
      </c>
      <c r="T46" s="774" t="s">
        <v>17</v>
      </c>
      <c r="U46" s="775">
        <f t="shared" si="13"/>
        <v>100</v>
      </c>
      <c r="V46" s="774" t="s">
        <v>17</v>
      </c>
      <c r="W46" s="775">
        <f t="shared" si="14"/>
        <v>100</v>
      </c>
      <c r="X46" s="1813"/>
      <c r="Y46" s="3224"/>
      <c r="Z46" s="1814">
        <f t="shared" si="15"/>
        <v>111</v>
      </c>
      <c r="AA46" s="1811">
        <f t="shared" si="3"/>
        <v>1</v>
      </c>
      <c r="AB46" s="1811">
        <f t="shared" si="4"/>
        <v>1</v>
      </c>
      <c r="AC46" s="2673">
        <f t="shared" si="5"/>
        <v>1</v>
      </c>
    </row>
    <row r="47" spans="1:29" ht="15.6" thickBot="1">
      <c r="A47" s="478"/>
      <c r="B47" s="2601">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23"/>
      <c r="Q47" s="1810">
        <f t="shared" si="11"/>
        <v>111</v>
      </c>
      <c r="R47" s="774" t="s">
        <v>17</v>
      </c>
      <c r="S47" s="775">
        <f t="shared" si="12"/>
        <v>100</v>
      </c>
      <c r="T47" s="774" t="s">
        <v>17</v>
      </c>
      <c r="U47" s="775">
        <f t="shared" si="13"/>
        <v>100</v>
      </c>
      <c r="V47" s="774" t="s">
        <v>17</v>
      </c>
      <c r="W47" s="775">
        <f t="shared" si="14"/>
        <v>100</v>
      </c>
      <c r="X47" s="1813"/>
      <c r="Y47" s="3225"/>
      <c r="Z47" s="1814">
        <f t="shared" si="15"/>
        <v>111</v>
      </c>
      <c r="AA47" s="1811">
        <f t="shared" si="3"/>
        <v>1</v>
      </c>
      <c r="AB47" s="1811">
        <f t="shared" si="4"/>
        <v>1</v>
      </c>
      <c r="AC47" s="2673">
        <f t="shared" si="5"/>
        <v>1</v>
      </c>
    </row>
    <row r="48" spans="1:29" ht="14.4">
      <c r="A48" s="479" t="s">
        <v>2573</v>
      </c>
      <c r="B48" s="480"/>
      <c r="C48" s="1407" t="s">
        <v>1</v>
      </c>
      <c r="D48" s="1408"/>
      <c r="E48" s="1409"/>
      <c r="F48" s="1410"/>
      <c r="G48" s="1411"/>
      <c r="H48" s="1412"/>
      <c r="I48" s="1409"/>
      <c r="J48" s="485"/>
      <c r="K48" s="783"/>
      <c r="L48" s="1143"/>
      <c r="M48" s="1131"/>
      <c r="N48" s="1131"/>
      <c r="O48" s="1131"/>
      <c r="P48" s="3199" t="str">
        <f>A48</f>
        <v>成交单价（元/平方米）</v>
      </c>
      <c r="Q48" s="3217"/>
      <c r="R48" s="3218">
        <f>E48</f>
        <v>0</v>
      </c>
      <c r="S48" s="3218"/>
      <c r="T48" s="3218">
        <f>G48</f>
        <v>0</v>
      </c>
      <c r="U48" s="3218"/>
      <c r="V48" s="3218">
        <f>I48</f>
        <v>0</v>
      </c>
      <c r="W48" s="3218"/>
      <c r="X48" s="446"/>
      <c r="Y48" s="781"/>
      <c r="Z48" s="446"/>
      <c r="AA48" s="446"/>
      <c r="AB48" s="446"/>
      <c r="AC48" s="630"/>
    </row>
    <row r="49" spans="1:29" ht="15" thickBot="1">
      <c r="A49" s="486" t="s">
        <v>2665</v>
      </c>
      <c r="B49" s="487"/>
      <c r="C49" s="1413" t="e">
        <f>R50</f>
        <v>#DIV/0!</v>
      </c>
      <c r="D49" s="1414"/>
      <c r="E49" s="1415" t="e">
        <f>R49</f>
        <v>#DIV/0!</v>
      </c>
      <c r="F49" s="1415"/>
      <c r="G49" s="1413" t="e">
        <f>T49</f>
        <v>#DIV/0!</v>
      </c>
      <c r="H49" s="1414"/>
      <c r="I49" s="1415" t="e">
        <f>V49</f>
        <v>#DIV/0!</v>
      </c>
      <c r="J49" s="489"/>
      <c r="K49" s="784"/>
      <c r="L49" s="1143"/>
      <c r="M49" s="1131"/>
      <c r="N49" s="1131"/>
      <c r="O49" s="1131"/>
      <c r="P49" s="3199" t="str">
        <f>A49</f>
        <v>比较价值（元/平方米）</v>
      </c>
      <c r="Q49" s="3217"/>
      <c r="R49" s="3218" t="e">
        <f>IF(F1="售价",ROUND(PRODUCT(R48,AA7:AA47),0),ROUND(PRODUCT(R48,AA7:AA47),1))</f>
        <v>#DIV/0!</v>
      </c>
      <c r="S49" s="3218"/>
      <c r="T49" s="3218" t="e">
        <f>IF(F1="售价",ROUND(PRODUCT(T48,AB7:AB47),0),ROUND(PRODUCT(T48,AB7:AB47),1))</f>
        <v>#DIV/0!</v>
      </c>
      <c r="U49" s="3218"/>
      <c r="V49" s="3218" t="e">
        <f>IF(F1="售价",ROUND(PRODUCT(V48,AC7:AC47),0),ROUND(PRODUCT(V48,AC7:AC47),1))</f>
        <v>#DIV/0!</v>
      </c>
      <c r="W49" s="3218"/>
      <c r="X49" s="446"/>
      <c r="Y49" s="446"/>
      <c r="Z49" s="446"/>
      <c r="AA49" s="446"/>
      <c r="AB49" s="446"/>
      <c r="AC49" s="630"/>
    </row>
    <row r="50" spans="1:29" ht="15" thickBot="1">
      <c r="A50" s="492" t="s">
        <v>2666</v>
      </c>
      <c r="B50" s="493"/>
      <c r="C50" s="1417" t="e">
        <f>R50</f>
        <v>#DIV/0!</v>
      </c>
      <c r="D50" s="1417"/>
      <c r="E50" s="1417"/>
      <c r="F50" s="1417"/>
      <c r="G50" s="1417"/>
      <c r="H50" s="1417"/>
      <c r="I50" s="1417"/>
      <c r="J50" s="494"/>
      <c r="K50" s="785"/>
      <c r="L50" s="1143"/>
      <c r="M50" s="1131"/>
      <c r="N50" s="1131"/>
      <c r="O50" s="1131"/>
      <c r="P50" s="3240" t="str">
        <f>A50</f>
        <v>估价对象XX用房的比较价值（楼面单价，元/平方米）</v>
      </c>
      <c r="Q50" s="3241"/>
      <c r="R50" s="3242" t="e">
        <f>IF(F1="售价",ROUND(AVERAGE(R49:V49),0),ROUND(AVERAGE(R49:V49),1))</f>
        <v>#DIV/0!</v>
      </c>
      <c r="S50" s="3242"/>
      <c r="T50" s="3242"/>
      <c r="U50" s="3242"/>
      <c r="V50" s="3242"/>
      <c r="W50" s="3242"/>
      <c r="X50" s="2653"/>
      <c r="Y50" s="2653"/>
      <c r="Z50" s="2653"/>
      <c r="AA50" s="2653"/>
      <c r="AB50" s="2653"/>
      <c r="AC50" s="2654"/>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9"/>
    </row>
    <row r="56" spans="1:29" s="502" customFormat="1">
      <c r="A56" s="1145"/>
      <c r="B56" s="1146"/>
      <c r="C56" s="1150"/>
      <c r="D56" s="1145"/>
      <c r="E56" s="1145"/>
      <c r="F56" s="1145"/>
      <c r="G56" s="1145"/>
      <c r="H56" s="1145"/>
      <c r="I56" s="1145"/>
      <c r="J56" s="1145"/>
      <c r="K56" s="1148"/>
      <c r="L56" s="1149"/>
      <c r="M56" s="1145"/>
      <c r="N56" s="1145"/>
      <c r="O56" s="1145"/>
      <c r="P56" s="2679"/>
    </row>
    <row r="57" spans="1:29">
      <c r="A57" s="1144"/>
      <c r="B57" s="1146"/>
      <c r="C57" s="1150"/>
      <c r="D57" s="1144"/>
      <c r="E57" s="1144"/>
      <c r="F57" s="1144"/>
      <c r="G57" s="1144"/>
      <c r="H57" s="1144"/>
      <c r="I57" s="1144"/>
      <c r="J57" s="1144"/>
      <c r="K57" s="1105"/>
      <c r="L57" s="1106"/>
      <c r="M57" s="1144"/>
      <c r="N57" s="1144"/>
      <c r="O57" s="1144"/>
    </row>
    <row r="58" spans="1:29" ht="22.2" thickBot="1">
      <c r="A58" s="763" t="s">
        <v>2670</v>
      </c>
      <c r="B58" s="759"/>
      <c r="C58" s="764"/>
      <c r="D58" s="764"/>
      <c r="E58" s="764"/>
      <c r="F58" s="765"/>
      <c r="G58" s="765"/>
      <c r="H58" s="764"/>
      <c r="I58" s="764"/>
      <c r="J58" s="764"/>
      <c r="K58" s="766"/>
      <c r="L58" s="1161"/>
      <c r="M58" s="1159"/>
      <c r="N58" s="1159"/>
      <c r="O58" s="1159"/>
      <c r="P58" s="2680"/>
      <c r="Q58" s="504"/>
    </row>
    <row r="59" spans="1:29" s="508" customFormat="1" ht="14.4">
      <c r="A59" s="505" t="s">
        <v>2544</v>
      </c>
      <c r="B59" s="506"/>
      <c r="C59" s="1574" t="str">
        <f>YEAR(C7)&amp;"-"&amp;MONTH(C7)</f>
        <v>2019-8</v>
      </c>
      <c r="D59" s="1575">
        <f>EDATE(C59,-1)</f>
        <v>43647</v>
      </c>
      <c r="E59" s="1575">
        <f>EDATE(D59,-1)</f>
        <v>43617</v>
      </c>
      <c r="F59" s="1575">
        <f t="shared" ref="F59:O59" si="16">EDATE(E59,-1)</f>
        <v>43586</v>
      </c>
      <c r="G59" s="1575">
        <f t="shared" si="16"/>
        <v>43556</v>
      </c>
      <c r="H59" s="1575">
        <f t="shared" si="16"/>
        <v>43525</v>
      </c>
      <c r="I59" s="1575">
        <f t="shared" si="16"/>
        <v>43497</v>
      </c>
      <c r="J59" s="1575">
        <f t="shared" si="16"/>
        <v>43466</v>
      </c>
      <c r="K59" s="1575">
        <f t="shared" si="16"/>
        <v>43435</v>
      </c>
      <c r="L59" s="1575">
        <f t="shared" si="16"/>
        <v>43405</v>
      </c>
      <c r="M59" s="1575">
        <f t="shared" si="16"/>
        <v>43374</v>
      </c>
      <c r="N59" s="1575">
        <f t="shared" si="16"/>
        <v>43344</v>
      </c>
      <c r="O59" s="1575">
        <f t="shared" si="16"/>
        <v>43313</v>
      </c>
      <c r="P59" s="1571"/>
    </row>
    <row r="60" spans="1:29" s="117" customFormat="1">
      <c r="A60" s="509"/>
      <c r="B60" s="510"/>
      <c r="C60" s="1573">
        <v>100</v>
      </c>
      <c r="D60" s="512"/>
      <c r="E60" s="512"/>
      <c r="F60" s="512"/>
      <c r="G60" s="512"/>
      <c r="H60" s="512"/>
      <c r="I60" s="512"/>
      <c r="J60" s="512"/>
      <c r="K60" s="512"/>
      <c r="L60" s="512"/>
      <c r="M60" s="513"/>
      <c r="N60" s="512"/>
      <c r="O60" s="513"/>
      <c r="P60" s="2681"/>
    </row>
    <row r="61" spans="1:29" s="117" customFormat="1" ht="15" thickBot="1">
      <c r="A61" s="515" t="s">
        <v>2581</v>
      </c>
      <c r="B61" s="516"/>
      <c r="C61" s="517"/>
      <c r="D61" s="518"/>
      <c r="E61" s="518"/>
      <c r="F61" s="518"/>
      <c r="G61" s="518"/>
      <c r="H61" s="518"/>
      <c r="I61" s="518"/>
      <c r="J61" s="518"/>
      <c r="K61" s="518"/>
      <c r="L61" s="518"/>
      <c r="M61" s="519"/>
      <c r="N61" s="518"/>
      <c r="O61" s="519"/>
      <c r="P61" s="2681"/>
      <c r="Q61" s="504"/>
    </row>
    <row r="62" spans="1:29" s="117" customFormat="1" ht="14.4">
      <c r="A62" s="521" t="s">
        <v>2546</v>
      </c>
      <c r="B62" s="510"/>
      <c r="C62" s="522" t="s">
        <v>2648</v>
      </c>
      <c r="D62" s="523"/>
      <c r="E62" s="523"/>
      <c r="F62" s="523"/>
      <c r="G62" s="523"/>
      <c r="H62" s="523"/>
      <c r="I62" s="523"/>
      <c r="J62" s="523"/>
      <c r="K62" s="523"/>
      <c r="L62" s="524"/>
      <c r="M62" s="525"/>
      <c r="N62" s="1151"/>
      <c r="O62" s="1151"/>
      <c r="P62" s="2682"/>
      <c r="Q62" s="504"/>
    </row>
    <row r="63" spans="1:29" s="117" customFormat="1" ht="14.4" thickBot="1">
      <c r="A63" s="521"/>
      <c r="B63" s="510"/>
      <c r="C63" s="511">
        <v>100</v>
      </c>
      <c r="D63" s="512"/>
      <c r="E63" s="512"/>
      <c r="F63" s="512"/>
      <c r="G63" s="512"/>
      <c r="H63" s="512"/>
      <c r="I63" s="512"/>
      <c r="J63" s="512"/>
      <c r="K63" s="512"/>
      <c r="L63" s="512"/>
      <c r="M63" s="514"/>
      <c r="N63" s="1151"/>
      <c r="O63" s="1151"/>
      <c r="P63" s="2681"/>
      <c r="Q63" s="504"/>
    </row>
    <row r="64" spans="1:29" ht="14.4">
      <c r="A64" s="527" t="s">
        <v>2584</v>
      </c>
      <c r="B64" s="528" t="s">
        <v>2550</v>
      </c>
      <c r="C64" s="529">
        <f>C9</f>
        <v>0</v>
      </c>
      <c r="D64" s="530"/>
      <c r="E64" s="530"/>
      <c r="F64" s="530"/>
      <c r="G64" s="530"/>
      <c r="H64" s="530"/>
      <c r="I64" s="530"/>
      <c r="J64" s="530"/>
      <c r="K64" s="531"/>
      <c r="L64" s="532"/>
      <c r="M64" s="533"/>
      <c r="N64" s="1152"/>
      <c r="O64" s="1152"/>
      <c r="P64" s="2683"/>
      <c r="Q64" s="504"/>
    </row>
    <row r="65" spans="1:17" ht="14.4" thickBot="1">
      <c r="A65" s="534"/>
      <c r="B65" s="535"/>
      <c r="C65" s="536">
        <v>100</v>
      </c>
      <c r="D65" s="536"/>
      <c r="E65" s="536"/>
      <c r="F65" s="536"/>
      <c r="G65" s="536"/>
      <c r="H65" s="536"/>
      <c r="I65" s="536"/>
      <c r="J65" s="536"/>
      <c r="K65" s="536"/>
      <c r="L65" s="536"/>
      <c r="M65" s="537"/>
      <c r="N65" s="1153"/>
      <c r="O65" s="1153"/>
      <c r="P65" s="2683"/>
      <c r="Q65" s="504"/>
    </row>
    <row r="66" spans="1:17" ht="29.4" thickTop="1">
      <c r="A66" s="534"/>
      <c r="B66" s="538" t="s">
        <v>2553</v>
      </c>
      <c r="C66" s="539" t="s">
        <v>2585</v>
      </c>
      <c r="D66" s="539" t="s">
        <v>2586</v>
      </c>
      <c r="E66" s="539" t="s">
        <v>2587</v>
      </c>
      <c r="F66" s="539" t="s">
        <v>2588</v>
      </c>
      <c r="G66" s="539" t="s">
        <v>2589</v>
      </c>
      <c r="H66" s="539" t="s">
        <v>2590</v>
      </c>
      <c r="I66" s="539" t="s">
        <v>2591</v>
      </c>
      <c r="J66" s="539"/>
      <c r="K66" s="540"/>
      <c r="L66" s="541"/>
      <c r="M66" s="542"/>
      <c r="N66" s="1152"/>
      <c r="O66" s="1152"/>
      <c r="P66" s="2683"/>
      <c r="Q66" s="504"/>
    </row>
    <row r="67" spans="1:17" ht="14.4" thickBot="1">
      <c r="A67" s="534"/>
      <c r="B67" s="543"/>
      <c r="C67" s="544" t="s">
        <v>24</v>
      </c>
      <c r="D67" s="544" t="s">
        <v>25</v>
      </c>
      <c r="E67" s="544">
        <v>100</v>
      </c>
      <c r="F67" s="544">
        <f>E67-$K10</f>
        <v>100</v>
      </c>
      <c r="G67" s="544">
        <f>F67-$K10</f>
        <v>100</v>
      </c>
      <c r="H67" s="544">
        <f>G67-$K10</f>
        <v>100</v>
      </c>
      <c r="I67" s="544">
        <f>H67-$K10</f>
        <v>100</v>
      </c>
      <c r="J67" s="544"/>
      <c r="K67" s="544"/>
      <c r="L67" s="544"/>
      <c r="M67" s="545"/>
      <c r="N67" s="1153"/>
      <c r="O67" s="1153"/>
      <c r="P67" s="2683"/>
      <c r="Q67" s="504"/>
    </row>
    <row r="68" spans="1:17" ht="1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3"/>
      <c r="Q68" s="504"/>
    </row>
    <row r="69" spans="1:17">
      <c r="A69" s="534"/>
      <c r="B69" s="548"/>
      <c r="C69" s="549"/>
      <c r="D69" s="549"/>
      <c r="E69" s="549"/>
      <c r="F69" s="549"/>
      <c r="G69" s="549"/>
      <c r="H69" s="549"/>
      <c r="I69" s="549"/>
      <c r="J69" s="549"/>
      <c r="K69" s="550"/>
      <c r="L69" s="551"/>
      <c r="M69" s="552"/>
      <c r="N69" s="1152"/>
      <c r="O69" s="1152"/>
      <c r="P69" s="2683"/>
      <c r="Q69" s="504"/>
    </row>
    <row r="70" spans="1:17" ht="14.4"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3"/>
      <c r="O70" s="1153"/>
      <c r="P70" s="2683"/>
      <c r="Q70" s="504"/>
    </row>
    <row r="71" spans="1:17" s="471" customFormat="1" ht="14.4" thickTop="1">
      <c r="A71" s="553"/>
      <c r="B71" s="538">
        <f>B12</f>
        <v>111</v>
      </c>
      <c r="C71" s="554"/>
      <c r="D71" s="554"/>
      <c r="E71" s="554"/>
      <c r="F71" s="554"/>
      <c r="G71" s="554"/>
      <c r="H71" s="555"/>
      <c r="I71" s="555"/>
      <c r="J71" s="555"/>
      <c r="K71" s="555"/>
      <c r="L71" s="556"/>
      <c r="M71" s="557"/>
      <c r="N71" s="1154"/>
      <c r="O71" s="1154"/>
      <c r="P71" s="2684"/>
      <c r="Q71" s="559"/>
    </row>
    <row r="72" spans="1:17" s="471" customFormat="1" ht="14.4" thickBot="1">
      <c r="A72" s="553"/>
      <c r="B72" s="543"/>
      <c r="C72" s="560"/>
      <c r="D72" s="536"/>
      <c r="E72" s="536"/>
      <c r="F72" s="536"/>
      <c r="G72" s="536"/>
      <c r="H72" s="536"/>
      <c r="I72" s="536"/>
      <c r="J72" s="536"/>
      <c r="K72" s="536"/>
      <c r="L72" s="536"/>
      <c r="M72" s="537"/>
      <c r="N72" s="1153"/>
      <c r="O72" s="1153"/>
      <c r="P72" s="2684"/>
      <c r="Q72" s="559"/>
    </row>
    <row r="73" spans="1:17" s="471" customFormat="1" ht="14.4" thickTop="1">
      <c r="A73" s="553"/>
      <c r="B73" s="538">
        <f>B13</f>
        <v>111</v>
      </c>
      <c r="C73" s="554"/>
      <c r="D73" s="554"/>
      <c r="E73" s="554"/>
      <c r="F73" s="554"/>
      <c r="G73" s="554"/>
      <c r="H73" s="555"/>
      <c r="I73" s="555"/>
      <c r="J73" s="555"/>
      <c r="K73" s="555"/>
      <c r="L73" s="556"/>
      <c r="M73" s="557"/>
      <c r="N73" s="1154"/>
      <c r="O73" s="1154"/>
      <c r="P73" s="2685"/>
      <c r="Q73" s="561"/>
    </row>
    <row r="74" spans="1:17" s="471" customFormat="1" ht="14.4" thickBot="1">
      <c r="A74" s="553"/>
      <c r="B74" s="543"/>
      <c r="C74" s="560"/>
      <c r="D74" s="560"/>
      <c r="E74" s="560"/>
      <c r="F74" s="560"/>
      <c r="G74" s="560"/>
      <c r="H74" s="562"/>
      <c r="I74" s="562"/>
      <c r="J74" s="562"/>
      <c r="K74" s="562"/>
      <c r="L74" s="562"/>
      <c r="M74" s="563"/>
      <c r="N74" s="1154"/>
      <c r="O74" s="1154"/>
      <c r="P74" s="2684"/>
      <c r="Q74" s="559"/>
    </row>
    <row r="75" spans="1:17" s="471" customFormat="1" ht="14.4" thickTop="1">
      <c r="A75" s="553"/>
      <c r="B75" s="546">
        <f>B14</f>
        <v>111</v>
      </c>
      <c r="C75" s="523"/>
      <c r="D75" s="523"/>
      <c r="E75" s="523"/>
      <c r="F75" s="523"/>
      <c r="G75" s="523"/>
      <c r="H75" s="564"/>
      <c r="I75" s="564"/>
      <c r="J75" s="564"/>
      <c r="K75" s="564"/>
      <c r="L75" s="565"/>
      <c r="M75" s="566"/>
      <c r="N75" s="1154"/>
      <c r="O75" s="1154"/>
      <c r="P75" s="2686"/>
      <c r="Q75" s="559"/>
    </row>
    <row r="76" spans="1:17" s="471" customFormat="1" ht="14.4" thickBot="1">
      <c r="A76" s="568"/>
      <c r="B76" s="569"/>
      <c r="C76" s="570"/>
      <c r="D76" s="570"/>
      <c r="E76" s="570"/>
      <c r="F76" s="570"/>
      <c r="G76" s="570"/>
      <c r="H76" s="571"/>
      <c r="I76" s="571"/>
      <c r="J76" s="571"/>
      <c r="K76" s="571"/>
      <c r="L76" s="571"/>
      <c r="M76" s="572"/>
      <c r="N76" s="1154"/>
      <c r="O76" s="1154"/>
      <c r="P76" s="2684"/>
      <c r="Q76" s="559"/>
    </row>
    <row r="77" spans="1:17" ht="14.4">
      <c r="A77" s="527" t="s">
        <v>2555</v>
      </c>
      <c r="B77" s="528" t="s">
        <v>2693</v>
      </c>
      <c r="C77" s="573" t="s">
        <v>2593</v>
      </c>
      <c r="D77" s="573" t="s">
        <v>2594</v>
      </c>
      <c r="E77" s="573" t="s">
        <v>2595</v>
      </c>
      <c r="F77" s="573" t="s">
        <v>2596</v>
      </c>
      <c r="G77" s="573" t="s">
        <v>2597</v>
      </c>
      <c r="H77" s="529"/>
      <c r="I77" s="529"/>
      <c r="J77" s="529"/>
      <c r="K77" s="574"/>
      <c r="L77" s="575"/>
      <c r="M77" s="576"/>
      <c r="N77" s="1152"/>
      <c r="O77" s="1152"/>
      <c r="P77" s="2687"/>
      <c r="Q77" s="504"/>
    </row>
    <row r="78" spans="1:17" ht="14.4" thickBot="1">
      <c r="A78" s="534"/>
      <c r="B78" s="543"/>
      <c r="C78" s="544">
        <v>100</v>
      </c>
      <c r="D78" s="544">
        <f>C78-$K15</f>
        <v>100</v>
      </c>
      <c r="E78" s="544">
        <f>D78-$K15</f>
        <v>100</v>
      </c>
      <c r="F78" s="544">
        <f>E78-$K15</f>
        <v>100</v>
      </c>
      <c r="G78" s="544">
        <f>F78-$K15</f>
        <v>100</v>
      </c>
      <c r="H78" s="544"/>
      <c r="I78" s="544"/>
      <c r="J78" s="544"/>
      <c r="K78" s="544"/>
      <c r="L78" s="544"/>
      <c r="M78" s="545"/>
      <c r="N78" s="1153"/>
      <c r="O78" s="1153"/>
      <c r="P78" s="2683"/>
      <c r="Q78" s="504"/>
    </row>
    <row r="79" spans="1:17" ht="15" thickTop="1">
      <c r="A79" s="534"/>
      <c r="B79" s="538" t="s">
        <v>2598</v>
      </c>
      <c r="C79" s="578" t="s">
        <v>2593</v>
      </c>
      <c r="D79" s="578" t="s">
        <v>2594</v>
      </c>
      <c r="E79" s="578" t="s">
        <v>2595</v>
      </c>
      <c r="F79" s="578" t="s">
        <v>2596</v>
      </c>
      <c r="G79" s="578" t="s">
        <v>2597</v>
      </c>
      <c r="H79" s="539"/>
      <c r="I79" s="539"/>
      <c r="J79" s="539"/>
      <c r="K79" s="540"/>
      <c r="L79" s="541"/>
      <c r="M79" s="542"/>
      <c r="N79" s="1152"/>
      <c r="O79" s="1152"/>
      <c r="P79" s="2683"/>
      <c r="Q79" s="504"/>
    </row>
    <row r="80" spans="1:17" ht="14.4" thickBot="1">
      <c r="A80" s="534"/>
      <c r="B80" s="543"/>
      <c r="C80" s="544">
        <v>100</v>
      </c>
      <c r="D80" s="544">
        <f>C80-$K17</f>
        <v>100</v>
      </c>
      <c r="E80" s="544">
        <f>D80-$K17</f>
        <v>100</v>
      </c>
      <c r="F80" s="544">
        <f>E80-$K17</f>
        <v>100</v>
      </c>
      <c r="G80" s="544">
        <f>F80-$K17</f>
        <v>100</v>
      </c>
      <c r="H80" s="544"/>
      <c r="I80" s="544"/>
      <c r="J80" s="544"/>
      <c r="K80" s="544"/>
      <c r="L80" s="544"/>
      <c r="M80" s="545"/>
      <c r="N80" s="1153"/>
      <c r="O80" s="1153"/>
      <c r="P80" s="2683"/>
      <c r="Q80" s="504"/>
    </row>
    <row r="81" spans="1:17" ht="15" thickTop="1">
      <c r="A81" s="534"/>
      <c r="B81" s="538" t="s">
        <v>2599</v>
      </c>
      <c r="C81" s="578" t="s">
        <v>2593</v>
      </c>
      <c r="D81" s="578" t="s">
        <v>2594</v>
      </c>
      <c r="E81" s="578" t="s">
        <v>2595</v>
      </c>
      <c r="F81" s="578" t="s">
        <v>2596</v>
      </c>
      <c r="G81" s="578" t="s">
        <v>2597</v>
      </c>
      <c r="H81" s="539"/>
      <c r="I81" s="539"/>
      <c r="J81" s="539"/>
      <c r="K81" s="540"/>
      <c r="L81" s="541"/>
      <c r="M81" s="542"/>
      <c r="N81" s="1152"/>
      <c r="O81" s="1152"/>
      <c r="P81" s="2683"/>
      <c r="Q81" s="504"/>
    </row>
    <row r="82" spans="1:17" ht="14.4" thickBot="1">
      <c r="A82" s="534"/>
      <c r="B82" s="543"/>
      <c r="C82" s="544">
        <v>100</v>
      </c>
      <c r="D82" s="544">
        <f>C82-$K19</f>
        <v>100</v>
      </c>
      <c r="E82" s="544">
        <f>D82-$K19</f>
        <v>100</v>
      </c>
      <c r="F82" s="544">
        <f>E82-$K19</f>
        <v>100</v>
      </c>
      <c r="G82" s="544">
        <f>F82-$K19</f>
        <v>100</v>
      </c>
      <c r="H82" s="544"/>
      <c r="I82" s="544"/>
      <c r="J82" s="544"/>
      <c r="K82" s="544"/>
      <c r="L82" s="544"/>
      <c r="M82" s="545"/>
      <c r="N82" s="1153"/>
      <c r="O82" s="1153"/>
      <c r="P82" s="2683"/>
      <c r="Q82" s="504"/>
    </row>
    <row r="83" spans="1:17" ht="15" thickTop="1">
      <c r="A83" s="534"/>
      <c r="B83" s="546" t="s">
        <v>2685</v>
      </c>
      <c r="C83" s="660" t="s">
        <v>2671</v>
      </c>
      <c r="D83" s="660" t="s">
        <v>2672</v>
      </c>
      <c r="E83" s="660" t="s">
        <v>2673</v>
      </c>
      <c r="F83" s="660" t="s">
        <v>2674</v>
      </c>
      <c r="G83" s="660" t="s">
        <v>2675</v>
      </c>
      <c r="H83" s="539"/>
      <c r="I83" s="539"/>
      <c r="J83" s="539"/>
      <c r="K83" s="539"/>
      <c r="L83" s="539"/>
      <c r="M83" s="1382"/>
      <c r="N83" s="1153"/>
      <c r="O83" s="1153"/>
      <c r="P83" s="2683"/>
      <c r="Q83" s="504"/>
    </row>
    <row r="84" spans="1:17" ht="14.4" thickBot="1">
      <c r="A84" s="534"/>
      <c r="B84" s="546"/>
      <c r="C84" s="544">
        <v>100</v>
      </c>
      <c r="D84" s="544">
        <f>C84-$K21</f>
        <v>100</v>
      </c>
      <c r="E84" s="544">
        <f>D84-$K21</f>
        <v>100</v>
      </c>
      <c r="F84" s="544">
        <f>E84-$K21</f>
        <v>100</v>
      </c>
      <c r="G84" s="544">
        <f>F84-$K21</f>
        <v>100</v>
      </c>
      <c r="H84" s="660"/>
      <c r="I84" s="660"/>
      <c r="J84" s="660"/>
      <c r="K84" s="660"/>
      <c r="L84" s="660"/>
      <c r="M84" s="450"/>
      <c r="N84" s="1153"/>
      <c r="O84" s="1153"/>
      <c r="P84" s="2683"/>
      <c r="Q84" s="504"/>
    </row>
    <row r="85" spans="1:17" ht="15" thickTop="1">
      <c r="A85" s="534"/>
      <c r="B85" s="538" t="s">
        <v>2694</v>
      </c>
      <c r="C85" s="578" t="s">
        <v>2593</v>
      </c>
      <c r="D85" s="578" t="s">
        <v>2594</v>
      </c>
      <c r="E85" s="578" t="s">
        <v>2595</v>
      </c>
      <c r="F85" s="578" t="s">
        <v>2596</v>
      </c>
      <c r="G85" s="578" t="s">
        <v>2597</v>
      </c>
      <c r="H85" s="539"/>
      <c r="I85" s="539"/>
      <c r="J85" s="539"/>
      <c r="K85" s="540"/>
      <c r="L85" s="541"/>
      <c r="M85" s="542"/>
      <c r="N85" s="1152"/>
      <c r="O85" s="1152"/>
      <c r="P85" s="2683"/>
      <c r="Q85" s="504"/>
    </row>
    <row r="86" spans="1:17" ht="14.4" thickBot="1">
      <c r="A86" s="534"/>
      <c r="B86" s="543"/>
      <c r="C86" s="544">
        <v>100</v>
      </c>
      <c r="D86" s="544">
        <f>C86-$K23</f>
        <v>100</v>
      </c>
      <c r="E86" s="544">
        <f>D86-$K23</f>
        <v>100</v>
      </c>
      <c r="F86" s="544">
        <f>E86-$K23</f>
        <v>100</v>
      </c>
      <c r="G86" s="544">
        <f>F86-$K23</f>
        <v>100</v>
      </c>
      <c r="H86" s="544"/>
      <c r="I86" s="544"/>
      <c r="J86" s="544"/>
      <c r="K86" s="544"/>
      <c r="L86" s="544"/>
      <c r="M86" s="545"/>
      <c r="N86" s="1153"/>
      <c r="O86" s="1153"/>
      <c r="P86" s="2683"/>
      <c r="Q86" s="504"/>
    </row>
    <row r="87" spans="1:17" s="117" customFormat="1" ht="29.4" thickTop="1">
      <c r="A87" s="579"/>
      <c r="B87" s="538" t="s">
        <v>2695</v>
      </c>
      <c r="C87" s="554"/>
      <c r="D87" s="554"/>
      <c r="E87" s="554"/>
      <c r="F87" s="554"/>
      <c r="G87" s="554"/>
      <c r="H87" s="554"/>
      <c r="I87" s="554"/>
      <c r="J87" s="554"/>
      <c r="K87" s="554"/>
      <c r="L87" s="580"/>
      <c r="M87" s="581"/>
      <c r="N87" s="1151"/>
      <c r="O87" s="1151"/>
      <c r="P87" s="2683"/>
      <c r="Q87" s="504"/>
    </row>
    <row r="88" spans="1:17" s="117" customFormat="1" ht="14.4"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3"/>
      <c r="O88" s="1153"/>
      <c r="P88" s="2683"/>
      <c r="Q88" s="504"/>
    </row>
    <row r="89" spans="1:17" s="117" customFormat="1" ht="14.4" thickTop="1">
      <c r="A89" s="579"/>
      <c r="B89" s="538" t="str">
        <f>B27</f>
        <v>楼层</v>
      </c>
      <c r="C89" s="554"/>
      <c r="D89" s="554"/>
      <c r="E89" s="554"/>
      <c r="F89" s="2634"/>
      <c r="G89" s="554"/>
      <c r="H89" s="554"/>
      <c r="I89" s="554"/>
      <c r="J89" s="554"/>
      <c r="K89" s="554"/>
      <c r="L89" s="554"/>
      <c r="M89" s="581"/>
      <c r="N89" s="1151"/>
      <c r="O89" s="1151"/>
      <c r="P89" s="2683"/>
      <c r="Q89" s="504"/>
    </row>
    <row r="90" spans="1:17" s="117" customFormat="1" ht="14.4"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3"/>
      <c r="O90" s="1153"/>
      <c r="P90" s="2683"/>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4"/>
      <c r="Q91" s="559"/>
    </row>
    <row r="92" spans="1:17" s="471" customFormat="1" ht="14.4"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4"/>
      <c r="O92" s="1154"/>
      <c r="P92" s="2684"/>
      <c r="Q92" s="559"/>
    </row>
    <row r="93" spans="1:17" ht="14.4" thickTop="1">
      <c r="A93" s="534"/>
      <c r="B93" s="538">
        <f>B29</f>
        <v>111</v>
      </c>
      <c r="C93" s="554"/>
      <c r="D93" s="554"/>
      <c r="E93" s="554"/>
      <c r="F93" s="554"/>
      <c r="G93" s="554"/>
      <c r="H93" s="554"/>
      <c r="I93" s="554"/>
      <c r="J93" s="554"/>
      <c r="K93" s="554"/>
      <c r="L93" s="580"/>
      <c r="M93" s="581"/>
      <c r="N93" s="1152"/>
      <c r="O93" s="1152"/>
      <c r="P93" s="2683"/>
      <c r="Q93" s="504"/>
    </row>
    <row r="94" spans="1:17" ht="14.4" thickBot="1">
      <c r="A94" s="534"/>
      <c r="B94" s="543"/>
      <c r="C94" s="560"/>
      <c r="D94" s="536"/>
      <c r="E94" s="536"/>
      <c r="F94" s="536"/>
      <c r="G94" s="536"/>
      <c r="H94" s="536"/>
      <c r="I94" s="536"/>
      <c r="J94" s="536"/>
      <c r="K94" s="536"/>
      <c r="L94" s="536"/>
      <c r="M94" s="537"/>
      <c r="N94" s="1153"/>
      <c r="O94" s="1153"/>
      <c r="P94" s="2683"/>
      <c r="Q94" s="504"/>
    </row>
    <row r="95" spans="1:17" ht="14.4" thickTop="1">
      <c r="A95" s="534"/>
      <c r="B95" s="538">
        <f>B30</f>
        <v>111</v>
      </c>
      <c r="C95" s="554"/>
      <c r="D95" s="554"/>
      <c r="E95" s="554"/>
      <c r="F95" s="554"/>
      <c r="G95" s="583"/>
      <c r="H95" s="583"/>
      <c r="I95" s="583"/>
      <c r="J95" s="583"/>
      <c r="K95" s="584"/>
      <c r="L95" s="585"/>
      <c r="M95" s="586"/>
      <c r="N95" s="1152"/>
      <c r="O95" s="1152"/>
      <c r="P95" s="2683"/>
      <c r="Q95" s="504"/>
    </row>
    <row r="96" spans="1:17" ht="14.4" thickBot="1">
      <c r="A96" s="534"/>
      <c r="B96" s="543"/>
      <c r="C96" s="560"/>
      <c r="D96" s="560"/>
      <c r="E96" s="560"/>
      <c r="F96" s="560"/>
      <c r="G96" s="536"/>
      <c r="H96" s="536"/>
      <c r="I96" s="536"/>
      <c r="J96" s="536"/>
      <c r="K96" s="536"/>
      <c r="L96" s="536"/>
      <c r="M96" s="537"/>
      <c r="N96" s="1153"/>
      <c r="O96" s="1153"/>
      <c r="P96" s="2683"/>
      <c r="Q96" s="504"/>
    </row>
    <row r="97" spans="1:17" ht="14.4" thickTop="1">
      <c r="A97" s="534"/>
      <c r="B97" s="538">
        <f>B31</f>
        <v>111</v>
      </c>
      <c r="C97" s="554"/>
      <c r="D97" s="554"/>
      <c r="E97" s="554"/>
      <c r="F97" s="554"/>
      <c r="G97" s="583"/>
      <c r="H97" s="583"/>
      <c r="I97" s="583"/>
      <c r="J97" s="583"/>
      <c r="K97" s="584"/>
      <c r="L97" s="585"/>
      <c r="M97" s="586"/>
      <c r="N97" s="1152"/>
      <c r="O97" s="1152"/>
      <c r="P97" s="2683"/>
      <c r="Q97" s="504"/>
    </row>
    <row r="98" spans="1:17" ht="14.4" thickBot="1">
      <c r="A98" s="534"/>
      <c r="B98" s="543"/>
      <c r="C98" s="560"/>
      <c r="D98" s="536"/>
      <c r="E98" s="536"/>
      <c r="F98" s="536"/>
      <c r="G98" s="536"/>
      <c r="H98" s="536"/>
      <c r="I98" s="536"/>
      <c r="J98" s="536"/>
      <c r="K98" s="536"/>
      <c r="L98" s="536"/>
      <c r="M98" s="537"/>
      <c r="N98" s="1153"/>
      <c r="O98" s="1153"/>
      <c r="P98" s="2683"/>
      <c r="Q98" s="504"/>
    </row>
    <row r="99" spans="1:17" ht="14.4" thickTop="1">
      <c r="A99" s="534"/>
      <c r="B99" s="546">
        <f>B32</f>
        <v>111</v>
      </c>
      <c r="C99" s="523"/>
      <c r="D99" s="523"/>
      <c r="E99" s="523"/>
      <c r="F99" s="523"/>
      <c r="G99" s="587"/>
      <c r="H99" s="587"/>
      <c r="I99" s="587"/>
      <c r="J99" s="587"/>
      <c r="K99" s="588"/>
      <c r="L99" s="589"/>
      <c r="M99" s="590"/>
      <c r="N99" s="1152"/>
      <c r="O99" s="1152"/>
      <c r="P99" s="2683"/>
      <c r="Q99" s="504"/>
    </row>
    <row r="100" spans="1:17" ht="14.4" thickBot="1">
      <c r="A100" s="2635"/>
      <c r="B100" s="569"/>
      <c r="C100" s="570"/>
      <c r="D100" s="570"/>
      <c r="E100" s="570"/>
      <c r="F100" s="570"/>
      <c r="G100" s="591"/>
      <c r="H100" s="591"/>
      <c r="I100" s="591"/>
      <c r="J100" s="591"/>
      <c r="K100" s="591"/>
      <c r="L100" s="591"/>
      <c r="M100" s="592"/>
      <c r="N100" s="1153"/>
      <c r="O100" s="1153"/>
      <c r="P100" s="2683"/>
      <c r="Q100" s="504"/>
    </row>
    <row r="101" spans="1:17" ht="14.4">
      <c r="A101" s="527" t="s">
        <v>2559</v>
      </c>
      <c r="B101" s="528" t="s">
        <v>2608</v>
      </c>
      <c r="C101" s="530"/>
      <c r="D101" s="530"/>
      <c r="E101" s="530"/>
      <c r="F101" s="530"/>
      <c r="G101" s="530"/>
      <c r="H101" s="530"/>
      <c r="I101" s="530"/>
      <c r="J101" s="530"/>
      <c r="K101" s="531"/>
      <c r="L101" s="532"/>
      <c r="M101" s="533"/>
      <c r="N101" s="1152"/>
      <c r="O101" s="1152"/>
      <c r="P101" s="2683"/>
      <c r="Q101" s="504"/>
    </row>
    <row r="102" spans="1:17" ht="14.4"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3"/>
      <c r="O102" s="1153"/>
      <c r="P102" s="2683"/>
      <c r="Q102" s="504"/>
    </row>
    <row r="103" spans="1:17" ht="1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1"/>
      <c r="O103" s="1151"/>
      <c r="P103" s="2683"/>
      <c r="Q103" s="504"/>
    </row>
    <row r="104" spans="1:17" s="471" customFormat="1">
      <c r="A104" s="593"/>
      <c r="B104" s="594"/>
      <c r="C104" s="595"/>
      <c r="D104" s="595"/>
      <c r="E104" s="595"/>
      <c r="F104" s="595"/>
      <c r="G104" s="595"/>
      <c r="H104" s="595"/>
      <c r="I104" s="595"/>
      <c r="J104" s="596"/>
      <c r="K104" s="596"/>
      <c r="L104" s="597"/>
      <c r="M104" s="598"/>
      <c r="N104" s="1154"/>
      <c r="O104" s="1154"/>
      <c r="P104" s="2684"/>
      <c r="Q104" s="559"/>
    </row>
    <row r="105" spans="1:17" s="471" customFormat="1" ht="14.4" thickBot="1">
      <c r="A105" s="553"/>
      <c r="B105" s="543"/>
      <c r="C105" s="560"/>
      <c r="D105" s="536"/>
      <c r="E105" s="536"/>
      <c r="F105" s="536"/>
      <c r="G105" s="536"/>
      <c r="H105" s="536"/>
      <c r="I105" s="536"/>
      <c r="J105" s="536"/>
      <c r="K105" s="536"/>
      <c r="L105" s="536"/>
      <c r="M105" s="537"/>
      <c r="N105" s="1153"/>
      <c r="O105" s="1153"/>
      <c r="P105" s="2684"/>
      <c r="Q105" s="559"/>
    </row>
    <row r="106" spans="1:17" ht="15" thickTop="1">
      <c r="A106" s="599"/>
      <c r="B106" s="538" t="s">
        <v>2610</v>
      </c>
      <c r="C106" s="554"/>
      <c r="D106" s="554"/>
      <c r="E106" s="583"/>
      <c r="F106" s="583"/>
      <c r="G106" s="583"/>
      <c r="H106" s="583"/>
      <c r="I106" s="583"/>
      <c r="J106" s="583"/>
      <c r="K106" s="584"/>
      <c r="L106" s="585"/>
      <c r="M106" s="586"/>
      <c r="N106" s="1152"/>
      <c r="O106" s="1152"/>
      <c r="P106" s="2683"/>
      <c r="Q106" s="504"/>
    </row>
    <row r="107" spans="1:17" ht="14.4"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3"/>
      <c r="O107" s="1153"/>
      <c r="P107" s="2683"/>
      <c r="Q107" s="504"/>
    </row>
    <row r="108" spans="1:17" ht="15" thickTop="1">
      <c r="A108" s="599"/>
      <c r="B108" s="538" t="s">
        <v>2612</v>
      </c>
      <c r="C108" s="554"/>
      <c r="D108" s="554"/>
      <c r="E108" s="554"/>
      <c r="F108" s="583"/>
      <c r="G108" s="583"/>
      <c r="H108" s="583"/>
      <c r="I108" s="583"/>
      <c r="J108" s="583"/>
      <c r="K108" s="584"/>
      <c r="L108" s="585"/>
      <c r="M108" s="586"/>
      <c r="N108" s="1152"/>
      <c r="O108" s="1152"/>
      <c r="P108" s="2683"/>
      <c r="Q108" s="504"/>
    </row>
    <row r="109" spans="1:17" ht="14.4"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3"/>
      <c r="O109" s="1153"/>
      <c r="P109" s="2683"/>
      <c r="Q109" s="504"/>
    </row>
    <row r="110" spans="1:17" ht="15" thickTop="1">
      <c r="A110" s="599"/>
      <c r="B110" s="538" t="s">
        <v>1994</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3"/>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3"/>
      <c r="Q111" s="504"/>
    </row>
    <row r="112" spans="1:17" ht="14.4"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3"/>
      <c r="O112" s="1153"/>
      <c r="P112" s="2683"/>
      <c r="Q112" s="504"/>
    </row>
    <row r="113" spans="1:17" s="471" customFormat="1" ht="15" thickTop="1">
      <c r="A113" s="593"/>
      <c r="B113" s="538" t="s">
        <v>2696</v>
      </c>
      <c r="C113" s="554"/>
      <c r="D113" s="554"/>
      <c r="E113" s="554"/>
      <c r="F113" s="554"/>
      <c r="G113" s="554"/>
      <c r="H113" s="583"/>
      <c r="I113" s="583"/>
      <c r="J113" s="583"/>
      <c r="K113" s="584"/>
      <c r="L113" s="585"/>
      <c r="M113" s="586"/>
      <c r="N113" s="1154"/>
      <c r="O113" s="1154"/>
      <c r="P113" s="2684"/>
      <c r="Q113" s="559"/>
    </row>
    <row r="114" spans="1:17" s="471" customFormat="1" ht="14.4"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4"/>
      <c r="O114" s="1154"/>
      <c r="P114" s="2684"/>
      <c r="Q114" s="559"/>
    </row>
    <row r="115" spans="1:17" ht="15" thickTop="1">
      <c r="A115" s="599"/>
      <c r="B115" s="538" t="s">
        <v>2613</v>
      </c>
      <c r="C115" s="554"/>
      <c r="D115" s="554"/>
      <c r="E115" s="583"/>
      <c r="F115" s="583"/>
      <c r="G115" s="583"/>
      <c r="H115" s="583"/>
      <c r="I115" s="583"/>
      <c r="J115" s="583"/>
      <c r="K115" s="584"/>
      <c r="L115" s="585"/>
      <c r="M115" s="586"/>
      <c r="N115" s="1152"/>
      <c r="O115" s="1152"/>
      <c r="P115" s="2683"/>
      <c r="Q115" s="504"/>
    </row>
    <row r="116" spans="1:17" ht="14.4"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3"/>
      <c r="O116" s="1153"/>
      <c r="P116" s="2683"/>
      <c r="Q116" s="504"/>
    </row>
    <row r="117" spans="1:17" ht="15" thickTop="1">
      <c r="A117" s="599"/>
      <c r="B117" s="538" t="s">
        <v>2614</v>
      </c>
      <c r="C117" s="554"/>
      <c r="D117" s="554"/>
      <c r="E117" s="554"/>
      <c r="F117" s="554"/>
      <c r="G117" s="554"/>
      <c r="H117" s="583"/>
      <c r="I117" s="583"/>
      <c r="J117" s="583"/>
      <c r="K117" s="584"/>
      <c r="L117" s="585"/>
      <c r="M117" s="586"/>
      <c r="N117" s="1152"/>
      <c r="O117" s="1152"/>
      <c r="P117" s="2683"/>
      <c r="Q117" s="504"/>
    </row>
    <row r="118" spans="1:17" ht="14.4" thickBot="1">
      <c r="A118" s="534"/>
      <c r="B118" s="543"/>
      <c r="C118" s="544">
        <v>100</v>
      </c>
      <c r="D118" s="544">
        <f>C118-$K40</f>
        <v>100</v>
      </c>
      <c r="E118" s="544">
        <f>D118-$K40</f>
        <v>100</v>
      </c>
      <c r="F118" s="544">
        <f>E118-$K40</f>
        <v>100</v>
      </c>
      <c r="G118" s="544">
        <f>F118-$K40</f>
        <v>100</v>
      </c>
      <c r="H118" s="544"/>
      <c r="I118" s="544"/>
      <c r="J118" s="544"/>
      <c r="K118" s="544"/>
      <c r="L118" s="544"/>
      <c r="M118" s="545"/>
      <c r="N118" s="1153"/>
      <c r="O118" s="1153"/>
      <c r="P118" s="2683"/>
      <c r="Q118" s="504"/>
    </row>
    <row r="119" spans="1:17" ht="15" thickTop="1">
      <c r="A119" s="599"/>
      <c r="B119" s="636" t="s">
        <v>2697</v>
      </c>
      <c r="C119" s="583"/>
      <c r="D119" s="583"/>
      <c r="E119" s="583"/>
      <c r="F119" s="583"/>
      <c r="G119" s="583"/>
      <c r="H119" s="583"/>
      <c r="I119" s="583"/>
      <c r="J119" s="583"/>
      <c r="K119" s="583"/>
      <c r="L119" s="2688"/>
      <c r="M119" s="2689"/>
      <c r="N119" s="1153"/>
      <c r="O119" s="1153"/>
      <c r="P119" s="2690"/>
      <c r="Q119" s="638"/>
    </row>
    <row r="120" spans="1:17" ht="14.4"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3"/>
      <c r="O120" s="1153"/>
      <c r="P120" s="2683"/>
      <c r="Q120" s="504"/>
    </row>
    <row r="121" spans="1:17" s="471" customFormat="1" ht="15" thickTop="1">
      <c r="A121" s="593"/>
      <c r="B121" s="538" t="s">
        <v>2680</v>
      </c>
      <c r="C121" s="554"/>
      <c r="D121" s="554"/>
      <c r="E121" s="554"/>
      <c r="F121" s="583"/>
      <c r="G121" s="555"/>
      <c r="H121" s="555"/>
      <c r="I121" s="555"/>
      <c r="J121" s="555"/>
      <c r="K121" s="555"/>
      <c r="L121" s="556"/>
      <c r="M121" s="557"/>
      <c r="N121" s="1154"/>
      <c r="O121" s="1154"/>
      <c r="P121" s="2684"/>
      <c r="Q121" s="559"/>
    </row>
    <row r="122" spans="1:17" s="471" customFormat="1" ht="14.4" thickBot="1">
      <c r="A122" s="553"/>
      <c r="B122" s="535"/>
      <c r="C122" s="560"/>
      <c r="D122" s="560"/>
      <c r="E122" s="560"/>
      <c r="F122" s="560"/>
      <c r="G122" s="560"/>
      <c r="H122" s="560"/>
      <c r="I122" s="560"/>
      <c r="J122" s="560"/>
      <c r="K122" s="560"/>
      <c r="L122" s="560"/>
      <c r="M122" s="560"/>
      <c r="N122" s="1154"/>
      <c r="O122" s="1154"/>
      <c r="P122" s="2684"/>
      <c r="Q122" s="559"/>
    </row>
    <row r="123" spans="1:17" ht="15" thickTop="1">
      <c r="A123" s="599"/>
      <c r="B123" s="538" t="s">
        <v>2616</v>
      </c>
      <c r="C123" s="554"/>
      <c r="D123" s="554"/>
      <c r="E123" s="554"/>
      <c r="F123" s="583"/>
      <c r="G123" s="583"/>
      <c r="H123" s="583"/>
      <c r="I123" s="583"/>
      <c r="J123" s="583"/>
      <c r="K123" s="584"/>
      <c r="L123" s="585"/>
      <c r="M123" s="586"/>
      <c r="N123" s="1152"/>
      <c r="O123" s="1152"/>
      <c r="P123" s="2683"/>
      <c r="Q123" s="504"/>
    </row>
    <row r="124" spans="1:17" ht="14.4"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3"/>
      <c r="O124" s="1153"/>
      <c r="P124" s="2683"/>
      <c r="Q124" s="504"/>
    </row>
    <row r="125" spans="1:17" ht="29.4" thickTop="1">
      <c r="A125" s="599"/>
      <c r="B125" s="538" t="s">
        <v>2617</v>
      </c>
      <c r="C125" s="578" t="s">
        <v>2593</v>
      </c>
      <c r="D125" s="578" t="s">
        <v>2594</v>
      </c>
      <c r="E125" s="578" t="s">
        <v>2595</v>
      </c>
      <c r="F125" s="578" t="s">
        <v>2596</v>
      </c>
      <c r="G125" s="578" t="s">
        <v>2597</v>
      </c>
      <c r="H125" s="539"/>
      <c r="I125" s="539"/>
      <c r="J125" s="539"/>
      <c r="K125" s="540"/>
      <c r="L125" s="541"/>
      <c r="M125" s="542"/>
      <c r="N125" s="1152"/>
      <c r="O125" s="1152"/>
      <c r="P125" s="2684"/>
      <c r="Q125" s="504"/>
    </row>
    <row r="126" spans="1:17" ht="14.4" thickBot="1">
      <c r="A126" s="534"/>
      <c r="B126" s="543"/>
      <c r="C126" s="544">
        <v>100</v>
      </c>
      <c r="D126" s="544">
        <f>C126-$K44</f>
        <v>100</v>
      </c>
      <c r="E126" s="544">
        <f>D126-$K44</f>
        <v>100</v>
      </c>
      <c r="F126" s="544">
        <f>E126-$K44</f>
        <v>100</v>
      </c>
      <c r="G126" s="544">
        <f>F126-$K44</f>
        <v>100</v>
      </c>
      <c r="H126" s="544"/>
      <c r="I126" s="544"/>
      <c r="J126" s="544"/>
      <c r="K126" s="544"/>
      <c r="L126" s="544"/>
      <c r="M126" s="545"/>
      <c r="N126" s="1153"/>
      <c r="O126" s="1153"/>
      <c r="P126" s="2683"/>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4"/>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4"/>
      <c r="Q128" s="559"/>
    </row>
    <row r="129" spans="1:17" ht="14.4" thickTop="1">
      <c r="A129" s="599"/>
      <c r="B129" s="538">
        <f>B46</f>
        <v>111</v>
      </c>
      <c r="C129" s="554"/>
      <c r="D129" s="554"/>
      <c r="E129" s="554"/>
      <c r="F129" s="554"/>
      <c r="G129" s="583"/>
      <c r="H129" s="583"/>
      <c r="I129" s="583"/>
      <c r="J129" s="583"/>
      <c r="K129" s="584"/>
      <c r="L129" s="585"/>
      <c r="M129" s="586"/>
      <c r="N129" s="1152"/>
      <c r="O129" s="1152"/>
      <c r="P129" s="2683"/>
      <c r="Q129" s="504"/>
    </row>
    <row r="130" spans="1:17" ht="14.4" thickBot="1">
      <c r="A130" s="534"/>
      <c r="B130" s="543"/>
      <c r="C130" s="560"/>
      <c r="D130" s="560"/>
      <c r="E130" s="560"/>
      <c r="F130" s="560"/>
      <c r="G130" s="536"/>
      <c r="H130" s="536"/>
      <c r="I130" s="536"/>
      <c r="J130" s="536"/>
      <c r="K130" s="536"/>
      <c r="L130" s="536"/>
      <c r="M130" s="537"/>
      <c r="N130" s="1153"/>
      <c r="O130" s="1153"/>
      <c r="P130" s="2683"/>
      <c r="Q130" s="504"/>
    </row>
    <row r="131" spans="1:17" ht="14.4" thickTop="1">
      <c r="A131" s="599"/>
      <c r="B131" s="546">
        <f>B47</f>
        <v>111</v>
      </c>
      <c r="C131" s="523"/>
      <c r="D131" s="523"/>
      <c r="E131" s="523"/>
      <c r="F131" s="523"/>
      <c r="G131" s="587"/>
      <c r="H131" s="587"/>
      <c r="I131" s="587"/>
      <c r="J131" s="587"/>
      <c r="K131" s="523"/>
      <c r="L131" s="524"/>
      <c r="M131" s="590"/>
      <c r="N131" s="1152"/>
      <c r="O131" s="1152"/>
      <c r="P131" s="2683"/>
      <c r="Q131" s="504"/>
    </row>
    <row r="132" spans="1:17" ht="14.4" thickBot="1">
      <c r="A132" s="2635"/>
      <c r="B132" s="569"/>
      <c r="C132" s="570"/>
      <c r="D132" s="570"/>
      <c r="E132" s="570"/>
      <c r="F132" s="570"/>
      <c r="G132" s="591"/>
      <c r="H132" s="591"/>
      <c r="I132" s="591"/>
      <c r="J132" s="591"/>
      <c r="K132" s="591"/>
      <c r="L132" s="591"/>
      <c r="M132" s="592"/>
      <c r="N132" s="1153"/>
      <c r="O132" s="1153"/>
      <c r="P132" s="2683"/>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2524</v>
      </c>
      <c r="B1" s="2668" t="s">
        <v>2698</v>
      </c>
      <c r="C1" s="1620" t="s">
        <v>2526</v>
      </c>
      <c r="D1" s="1621"/>
      <c r="E1" s="1630"/>
      <c r="F1" s="2583"/>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IF(C2="——",ROUND(C43*D3/10000,0),ROUND(C43*D3/10000,0)-D2)</f>
        <v>#DIV/0!</v>
      </c>
      <c r="C2" s="2585"/>
      <c r="D2" s="1124" t="e">
        <f ca="1">SUMIF(INDIRECT("'"&amp;F2&amp;"'"&amp;"!A:A"),"承租人权益价值",INDIRECT("'"&amp;F2&amp;"'"&amp;"!c:c"))</f>
        <v>#REF!</v>
      </c>
      <c r="E2" s="2586" t="s">
        <v>2324</v>
      </c>
      <c r="F2" s="2587"/>
      <c r="G2" s="1125"/>
      <c r="H2" s="1125"/>
      <c r="I2" s="1125"/>
      <c r="J2" s="1125"/>
      <c r="K2" s="1125"/>
      <c r="L2" s="1128"/>
      <c r="M2" s="1129"/>
      <c r="N2" s="1129"/>
      <c r="O2" s="1129"/>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76522.880000000005</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183" t="s">
        <v>2644</v>
      </c>
      <c r="AC4" s="3182" t="s">
        <v>2645</v>
      </c>
    </row>
    <row r="5" spans="1:29">
      <c r="A5" s="404"/>
      <c r="B5" s="405"/>
      <c r="C5" s="3193" t="s">
        <v>2538</v>
      </c>
      <c r="D5" s="3194"/>
      <c r="E5" s="3191" t="s">
        <v>2539</v>
      </c>
      <c r="F5" s="3192"/>
      <c r="G5" s="3193" t="s">
        <v>2540</v>
      </c>
      <c r="H5" s="3194"/>
      <c r="I5" s="3193" t="s">
        <v>2541</v>
      </c>
      <c r="J5" s="3194"/>
      <c r="K5" s="610"/>
      <c r="L5" s="1130"/>
      <c r="M5" s="1131"/>
      <c r="N5" s="1131"/>
      <c r="O5" s="1131"/>
      <c r="P5" s="3206"/>
      <c r="Q5" s="3207"/>
      <c r="R5" s="3189"/>
      <c r="S5" s="3190"/>
      <c r="T5" s="3189"/>
      <c r="U5" s="3190"/>
      <c r="V5" s="3212"/>
      <c r="W5" s="3212"/>
      <c r="X5" s="1813"/>
      <c r="Y5" s="3189"/>
      <c r="Z5" s="3190"/>
      <c r="AA5" s="3183"/>
      <c r="AB5" s="3183"/>
      <c r="AC5" s="3183"/>
    </row>
    <row r="6" spans="1:29" ht="15" thickBot="1">
      <c r="A6" s="406"/>
      <c r="B6" s="407"/>
      <c r="C6" s="3195" t="s">
        <v>2542</v>
      </c>
      <c r="D6" s="3196"/>
      <c r="E6" s="3197" t="s">
        <v>2542</v>
      </c>
      <c r="F6" s="3198"/>
      <c r="G6" s="3195" t="s">
        <v>2542</v>
      </c>
      <c r="H6" s="3196"/>
      <c r="I6" s="3195" t="s">
        <v>2542</v>
      </c>
      <c r="J6" s="3196"/>
      <c r="K6" s="610" t="s">
        <v>2543</v>
      </c>
      <c r="L6" s="1130"/>
      <c r="M6" s="1131"/>
      <c r="N6" s="1131"/>
      <c r="O6" s="1131"/>
      <c r="P6" s="3208"/>
      <c r="Q6" s="3209"/>
      <c r="R6" s="3189"/>
      <c r="S6" s="3190"/>
      <c r="T6" s="3210"/>
      <c r="U6" s="3211"/>
      <c r="V6" s="3212"/>
      <c r="W6" s="3212"/>
      <c r="X6" s="1813"/>
      <c r="Y6" s="3210"/>
      <c r="Z6" s="3211"/>
      <c r="AA6" s="3184"/>
      <c r="AB6" s="3184"/>
      <c r="AC6" s="3184"/>
    </row>
    <row r="7" spans="1:29" s="117" customFormat="1" ht="15" thickBot="1">
      <c r="A7" s="408" t="s">
        <v>2544</v>
      </c>
      <c r="B7" s="409"/>
      <c r="C7" s="410">
        <f>'数据-取费表'!B2</f>
        <v>43692</v>
      </c>
      <c r="D7" s="411">
        <v>100</v>
      </c>
      <c r="E7" s="412"/>
      <c r="F7" s="413">
        <f>SUMIF(52:52,YEAR(E7)&amp;"-"&amp;MONTH(E7),53:53)</f>
        <v>0</v>
      </c>
      <c r="G7" s="412"/>
      <c r="H7" s="411">
        <f>SUMIF(52:52,YEAR(G7)&amp;"-"&amp;MONTH(G7),53:53)</f>
        <v>0</v>
      </c>
      <c r="I7" s="412"/>
      <c r="J7" s="411">
        <f>SUMIF(52:52,YEAR(I7)&amp;"-"&amp;MONTH(I7),53:53)</f>
        <v>0</v>
      </c>
      <c r="K7" s="611"/>
      <c r="L7" s="1132"/>
      <c r="M7" s="1133"/>
      <c r="N7" s="1133"/>
      <c r="O7" s="1133"/>
      <c r="P7" s="3185" t="s">
        <v>2545</v>
      </c>
      <c r="Q7" s="3213"/>
      <c r="R7" s="770" t="s">
        <v>17</v>
      </c>
      <c r="S7" s="771">
        <f t="shared" ref="S7:S15" si="0">F7</f>
        <v>0</v>
      </c>
      <c r="T7" s="770" t="s">
        <v>17</v>
      </c>
      <c r="U7" s="771">
        <f t="shared" ref="U7:U15" si="1">H7</f>
        <v>0</v>
      </c>
      <c r="V7" s="770" t="s">
        <v>17</v>
      </c>
      <c r="W7" s="771">
        <f t="shared" ref="W7:W15" si="2">J7</f>
        <v>0</v>
      </c>
      <c r="X7" s="772"/>
      <c r="Y7" s="3185" t="s">
        <v>2545</v>
      </c>
      <c r="Z7" s="3186"/>
      <c r="AA7" s="773" t="e">
        <f>D7/F7</f>
        <v>#DIV/0!</v>
      </c>
      <c r="AB7" s="773" t="e">
        <f>D7/H7</f>
        <v>#DIV/0!</v>
      </c>
      <c r="AC7" s="773" t="e">
        <f>D7/J7</f>
        <v>#DIV/0!</v>
      </c>
    </row>
    <row r="8" spans="1:29" s="117" customFormat="1" ht="1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185" t="s">
        <v>2548</v>
      </c>
      <c r="Q8" s="3186"/>
      <c r="R8" s="770" t="s">
        <v>17</v>
      </c>
      <c r="S8" s="771">
        <f t="shared" si="0"/>
        <v>0</v>
      </c>
      <c r="T8" s="770" t="s">
        <v>17</v>
      </c>
      <c r="U8" s="771">
        <f t="shared" si="1"/>
        <v>0</v>
      </c>
      <c r="V8" s="770" t="s">
        <v>17</v>
      </c>
      <c r="W8" s="771">
        <f t="shared" si="2"/>
        <v>0</v>
      </c>
      <c r="X8" s="772"/>
      <c r="Y8" s="3185" t="s">
        <v>2548</v>
      </c>
      <c r="Z8" s="3186"/>
      <c r="AA8" s="773" t="e">
        <f t="shared" ref="AA8:AA40" si="3">D8/F8</f>
        <v>#DIV/0!</v>
      </c>
      <c r="AB8" s="773" t="e">
        <f t="shared" ref="AB8:AB40" si="4">D8/H8</f>
        <v>#DIV/0!</v>
      </c>
      <c r="AC8" s="773" t="e">
        <f t="shared" ref="AC8:AC40" si="5">D8/J8</f>
        <v>#DIV/0!</v>
      </c>
    </row>
    <row r="9" spans="1:29" s="117" customFormat="1" ht="14.4">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217"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8.8">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217"/>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217"/>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9">
        <v>111</v>
      </c>
      <c r="C12" s="432"/>
      <c r="D12" s="433">
        <v>100</v>
      </c>
      <c r="E12" s="434"/>
      <c r="F12" s="136">
        <f>SUMIF(64:64,E12,65:65)-SUMIF(64:64,C12,65:65)+100</f>
        <v>100</v>
      </c>
      <c r="G12" s="2691"/>
      <c r="H12" s="136">
        <f>SUMIF(64:64,G12,65:65)-SUMIF(64:64,C12,65:65)+100</f>
        <v>100</v>
      </c>
      <c r="I12" s="469"/>
      <c r="J12" s="136">
        <f>SUMIF(64:64,I12,65:65)-SUMIF(64:64,C12,65:65)+100</f>
        <v>100</v>
      </c>
      <c r="K12" s="613"/>
      <c r="L12" s="1132"/>
      <c r="M12" s="1133"/>
      <c r="N12" s="1133"/>
      <c r="O12" s="1134"/>
      <c r="P12" s="3217"/>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9">
        <v>111</v>
      </c>
      <c r="C13" s="434"/>
      <c r="D13" s="435">
        <v>100</v>
      </c>
      <c r="E13" s="434"/>
      <c r="F13" s="136">
        <f>SUMIF(66:66,E13,67:67)-SUMIF(66:66,C13,67:67)+100</f>
        <v>100</v>
      </c>
      <c r="G13" s="2691"/>
      <c r="H13" s="435">
        <f>SUMIF(66:66,G13,67:67)-SUMIF(66:66,C13,67:67)+100</f>
        <v>100</v>
      </c>
      <c r="I13" s="469"/>
      <c r="J13" s="435">
        <f>SUMIF(66:66,I13,67:67)-SUMIF(66:66,C13,67:67)+100</f>
        <v>100</v>
      </c>
      <c r="K13" s="613"/>
      <c r="L13" s="1140"/>
      <c r="M13" s="1131"/>
      <c r="N13" s="1131"/>
      <c r="O13" s="1139"/>
      <c r="P13" s="3217"/>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6" thickBot="1">
      <c r="A14" s="436"/>
      <c r="B14" s="2601">
        <v>111</v>
      </c>
      <c r="C14" s="437"/>
      <c r="D14" s="438">
        <v>100</v>
      </c>
      <c r="E14" s="437"/>
      <c r="F14" s="438">
        <f>SUMIF(68:68,E14,69:69)-SUMIF(68:68,C14,69:69)+100</f>
        <v>100</v>
      </c>
      <c r="G14" s="2691"/>
      <c r="H14" s="438">
        <f>SUMIF(68:68,G14,69:69)-SUMIF(68:68,C14,69:69)+100</f>
        <v>100</v>
      </c>
      <c r="I14" s="469"/>
      <c r="J14" s="438">
        <f>SUMIF(68:68,I14,69:69)-SUMIF(68:68,C14,69:69)+100</f>
        <v>100</v>
      </c>
      <c r="K14" s="613"/>
      <c r="L14" s="1140"/>
      <c r="M14" s="1131"/>
      <c r="N14" s="1131"/>
      <c r="O14" s="1139"/>
      <c r="P14" s="3217"/>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69">
      <c r="A15" s="440" t="s">
        <v>2555</v>
      </c>
      <c r="B15" s="69" t="s">
        <v>2699</v>
      </c>
      <c r="C15" s="2692"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219" t="s">
        <v>2556</v>
      </c>
      <c r="Q15" s="1810" t="str">
        <f t="shared" si="6"/>
        <v>产业集聚程度</v>
      </c>
      <c r="R15" s="774" t="s">
        <v>17</v>
      </c>
      <c r="S15" s="775">
        <f t="shared" si="0"/>
        <v>100</v>
      </c>
      <c r="T15" s="774" t="s">
        <v>17</v>
      </c>
      <c r="U15" s="775">
        <f t="shared" si="1"/>
        <v>100</v>
      </c>
      <c r="V15" s="774" t="s">
        <v>17</v>
      </c>
      <c r="W15" s="775">
        <f t="shared" si="2"/>
        <v>100</v>
      </c>
      <c r="X15" s="1813"/>
      <c r="Y15" s="3219" t="s">
        <v>2556</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220"/>
      <c r="Q16" s="1810"/>
      <c r="R16" s="774"/>
      <c r="S16" s="775"/>
      <c r="T16" s="774"/>
      <c r="U16" s="775"/>
      <c r="V16" s="774"/>
      <c r="W16" s="775"/>
      <c r="X16" s="1813"/>
      <c r="Y16" s="3220"/>
      <c r="Z16" s="1814"/>
      <c r="AA16" s="1811">
        <v>1</v>
      </c>
      <c r="AB16" s="1811">
        <v>1</v>
      </c>
      <c r="AC16" s="1811">
        <v>1</v>
      </c>
    </row>
    <row r="17" spans="1:29" ht="96.6">
      <c r="A17" s="428"/>
      <c r="B17" s="451" t="s">
        <v>2093</v>
      </c>
      <c r="C17" s="2606"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220"/>
      <c r="Q17" s="1810" t="str">
        <f>B17</f>
        <v>交通便捷度</v>
      </c>
      <c r="R17" s="774" t="s">
        <v>17</v>
      </c>
      <c r="S17" s="775">
        <f>F17</f>
        <v>100</v>
      </c>
      <c r="T17" s="774" t="s">
        <v>17</v>
      </c>
      <c r="U17" s="775">
        <f>H17</f>
        <v>100</v>
      </c>
      <c r="V17" s="774" t="s">
        <v>17</v>
      </c>
      <c r="W17" s="775">
        <f>J17</f>
        <v>100</v>
      </c>
      <c r="X17" s="1813"/>
      <c r="Y17" s="3220"/>
      <c r="Z17" s="1814" t="str">
        <f>Q17</f>
        <v>交通便捷度</v>
      </c>
      <c r="AA17" s="1811">
        <f t="shared" si="3"/>
        <v>1</v>
      </c>
      <c r="AB17" s="1811">
        <f t="shared" si="4"/>
        <v>1</v>
      </c>
      <c r="AC17" s="1811">
        <f t="shared" si="5"/>
        <v>1</v>
      </c>
    </row>
    <row r="18" spans="1:29" ht="15">
      <c r="A18" s="428"/>
      <c r="B18" s="456"/>
      <c r="C18" s="2607"/>
      <c r="D18" s="450"/>
      <c r="E18" s="2609"/>
      <c r="F18" s="453"/>
      <c r="G18" s="2608"/>
      <c r="H18" s="448"/>
      <c r="I18" s="2609"/>
      <c r="J18" s="448"/>
      <c r="K18" s="615"/>
      <c r="L18" s="1140"/>
      <c r="M18" s="1131"/>
      <c r="N18" s="1131"/>
      <c r="O18" s="1139"/>
      <c r="P18" s="3220"/>
      <c r="Q18" s="1810"/>
      <c r="R18" s="774"/>
      <c r="S18" s="775"/>
      <c r="T18" s="774"/>
      <c r="U18" s="775"/>
      <c r="V18" s="774"/>
      <c r="W18" s="775"/>
      <c r="X18" s="1813"/>
      <c r="Y18" s="3220"/>
      <c r="Z18" s="1814"/>
      <c r="AA18" s="1811">
        <v>1</v>
      </c>
      <c r="AB18" s="1811">
        <v>1</v>
      </c>
      <c r="AC18" s="1811">
        <v>1</v>
      </c>
    </row>
    <row r="19" spans="1:29" ht="41.4">
      <c r="A19" s="428"/>
      <c r="B19" s="451" t="s">
        <v>2684</v>
      </c>
      <c r="C19" s="2606"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220"/>
      <c r="Q19" s="1810" t="str">
        <f>B19</f>
        <v>公共配套设施</v>
      </c>
      <c r="R19" s="774" t="s">
        <v>17</v>
      </c>
      <c r="S19" s="775">
        <f>F19</f>
        <v>100</v>
      </c>
      <c r="T19" s="774" t="s">
        <v>17</v>
      </c>
      <c r="U19" s="775">
        <f>H19</f>
        <v>100</v>
      </c>
      <c r="V19" s="774" t="s">
        <v>17</v>
      </c>
      <c r="W19" s="775">
        <f>J19</f>
        <v>100</v>
      </c>
      <c r="X19" s="1813"/>
      <c r="Y19" s="3220"/>
      <c r="Z19" s="1814" t="str">
        <f>Q19</f>
        <v>公共配套设施</v>
      </c>
      <c r="AA19" s="1811">
        <f t="shared" si="3"/>
        <v>1</v>
      </c>
      <c r="AB19" s="1811">
        <f t="shared" si="4"/>
        <v>1</v>
      </c>
      <c r="AC19" s="1811">
        <f t="shared" si="5"/>
        <v>1</v>
      </c>
    </row>
    <row r="20" spans="1:29" ht="15">
      <c r="A20" s="428"/>
      <c r="B20" s="456"/>
      <c r="C20" s="447"/>
      <c r="D20" s="448"/>
      <c r="E20" s="2604"/>
      <c r="F20" s="449"/>
      <c r="G20" s="2603"/>
      <c r="H20" s="448"/>
      <c r="I20" s="2604"/>
      <c r="J20" s="448"/>
      <c r="K20" s="615"/>
      <c r="L20" s="1140"/>
      <c r="M20" s="1131"/>
      <c r="N20" s="1131"/>
      <c r="O20" s="1139"/>
      <c r="P20" s="3220"/>
      <c r="Q20" s="1810"/>
      <c r="R20" s="774"/>
      <c r="S20" s="775"/>
      <c r="T20" s="774"/>
      <c r="U20" s="775"/>
      <c r="V20" s="774"/>
      <c r="W20" s="775"/>
      <c r="X20" s="1813"/>
      <c r="Y20" s="3220"/>
      <c r="Z20" s="1814"/>
      <c r="AA20" s="1811">
        <v>1</v>
      </c>
      <c r="AB20" s="1811">
        <v>1</v>
      </c>
      <c r="AC20" s="1811">
        <v>1</v>
      </c>
    </row>
    <row r="21" spans="1:29" ht="41.4">
      <c r="A21" s="428"/>
      <c r="B21" s="1384" t="s">
        <v>2685</v>
      </c>
      <c r="C21" s="2606"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220"/>
      <c r="Q21" s="1810" t="str">
        <f>B21</f>
        <v>基础设施水平</v>
      </c>
      <c r="R21" s="774" t="s">
        <v>17</v>
      </c>
      <c r="S21" s="775">
        <f>F21</f>
        <v>100</v>
      </c>
      <c r="T21" s="774" t="s">
        <v>17</v>
      </c>
      <c r="U21" s="775">
        <f>H21</f>
        <v>100</v>
      </c>
      <c r="V21" s="774" t="s">
        <v>17</v>
      </c>
      <c r="W21" s="775">
        <f>J21</f>
        <v>100</v>
      </c>
      <c r="X21" s="1813"/>
      <c r="Y21" s="3220"/>
      <c r="Z21" s="1814" t="str">
        <f>Q21</f>
        <v>基础设施水平</v>
      </c>
      <c r="AA21" s="1811">
        <f t="shared" ref="AA21" si="8">D21/F21</f>
        <v>1</v>
      </c>
      <c r="AB21" s="1811">
        <f t="shared" ref="AB21" si="9">D21/H21</f>
        <v>1</v>
      </c>
      <c r="AC21" s="1811">
        <f t="shared" ref="AC21" si="10">D21/J21</f>
        <v>1</v>
      </c>
    </row>
    <row r="22" spans="1:29" ht="15">
      <c r="A22" s="428"/>
      <c r="B22" s="1384"/>
      <c r="C22" s="2607"/>
      <c r="D22" s="448"/>
      <c r="E22" s="447"/>
      <c r="F22" s="449"/>
      <c r="G22" s="447"/>
      <c r="H22" s="448"/>
      <c r="I22" s="447"/>
      <c r="J22" s="448"/>
      <c r="K22" s="1383"/>
      <c r="L22" s="1140"/>
      <c r="M22" s="1131"/>
      <c r="N22" s="1131"/>
      <c r="O22" s="1139"/>
      <c r="P22" s="3220"/>
      <c r="Q22" s="1810"/>
      <c r="R22" s="774"/>
      <c r="S22" s="775"/>
      <c r="T22" s="774"/>
      <c r="U22" s="775"/>
      <c r="V22" s="774"/>
      <c r="W22" s="775"/>
      <c r="X22" s="1813"/>
      <c r="Y22" s="3220"/>
      <c r="Z22" s="1814"/>
      <c r="AA22" s="1811">
        <v>1</v>
      </c>
      <c r="AB22" s="1811">
        <v>1</v>
      </c>
      <c r="AC22" s="1811">
        <v>1</v>
      </c>
    </row>
    <row r="23" spans="1:29" ht="82.8">
      <c r="A23" s="428"/>
      <c r="B23" s="451" t="s">
        <v>2686</v>
      </c>
      <c r="C23" s="2606"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220"/>
      <c r="Q23" s="1810" t="str">
        <f>B23</f>
        <v>环境质量</v>
      </c>
      <c r="R23" s="774" t="s">
        <v>17</v>
      </c>
      <c r="S23" s="775">
        <f>F23</f>
        <v>100</v>
      </c>
      <c r="T23" s="774" t="s">
        <v>17</v>
      </c>
      <c r="U23" s="775">
        <f>H23</f>
        <v>100</v>
      </c>
      <c r="V23" s="774" t="s">
        <v>17</v>
      </c>
      <c r="W23" s="775">
        <f>J23</f>
        <v>100</v>
      </c>
      <c r="X23" s="1813"/>
      <c r="Y23" s="3220"/>
      <c r="Z23" s="1814" t="str">
        <f>Q23</f>
        <v>环境质量</v>
      </c>
      <c r="AA23" s="1811">
        <f t="shared" si="3"/>
        <v>1</v>
      </c>
      <c r="AB23" s="1811">
        <f t="shared" si="4"/>
        <v>1</v>
      </c>
      <c r="AC23" s="1811">
        <f t="shared" si="5"/>
        <v>1</v>
      </c>
    </row>
    <row r="24" spans="1:29" ht="15">
      <c r="A24" s="428"/>
      <c r="B24" s="1384"/>
      <c r="C24" s="447"/>
      <c r="D24" s="448"/>
      <c r="E24" s="2604"/>
      <c r="F24" s="449"/>
      <c r="G24" s="2603"/>
      <c r="H24" s="448"/>
      <c r="I24" s="2604"/>
      <c r="J24" s="448"/>
      <c r="K24" s="615"/>
      <c r="L24" s="1140"/>
      <c r="M24" s="1131"/>
      <c r="N24" s="1131"/>
      <c r="O24" s="1139"/>
      <c r="P24" s="3220"/>
      <c r="Q24" s="1810"/>
      <c r="R24" s="774"/>
      <c r="S24" s="775"/>
      <c r="T24" s="774"/>
      <c r="U24" s="775"/>
      <c r="V24" s="774"/>
      <c r="W24" s="775"/>
      <c r="X24" s="1813"/>
      <c r="Y24" s="3220"/>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220"/>
      <c r="Q25" s="1810">
        <f>B25</f>
        <v>111</v>
      </c>
      <c r="R25" s="774" t="s">
        <v>17</v>
      </c>
      <c r="S25" s="775">
        <f>F25</f>
        <v>100</v>
      </c>
      <c r="T25" s="774" t="s">
        <v>17</v>
      </c>
      <c r="U25" s="775">
        <f>H25</f>
        <v>100</v>
      </c>
      <c r="V25" s="774" t="s">
        <v>17</v>
      </c>
      <c r="W25" s="775">
        <f>J25</f>
        <v>100</v>
      </c>
      <c r="X25" s="1813"/>
      <c r="Y25" s="3220"/>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220"/>
      <c r="Q26" s="1810">
        <f t="shared" ref="Q26:Q40" si="11">B26</f>
        <v>111</v>
      </c>
      <c r="R26" s="774" t="s">
        <v>17</v>
      </c>
      <c r="S26" s="775">
        <f>F26</f>
        <v>100</v>
      </c>
      <c r="T26" s="774" t="s">
        <v>17</v>
      </c>
      <c r="U26" s="775">
        <f>H26</f>
        <v>100</v>
      </c>
      <c r="V26" s="774" t="s">
        <v>17</v>
      </c>
      <c r="W26" s="775">
        <f>J26</f>
        <v>100</v>
      </c>
      <c r="X26" s="1813"/>
      <c r="Y26" s="3220"/>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220"/>
      <c r="Q27" s="1795">
        <f t="shared" si="11"/>
        <v>111</v>
      </c>
      <c r="R27" s="770" t="s">
        <v>17</v>
      </c>
      <c r="S27" s="771">
        <f>F27</f>
        <v>100</v>
      </c>
      <c r="T27" s="770" t="s">
        <v>17</v>
      </c>
      <c r="U27" s="771">
        <f>H27</f>
        <v>100</v>
      </c>
      <c r="V27" s="770" t="s">
        <v>17</v>
      </c>
      <c r="W27" s="771">
        <f>J27</f>
        <v>100</v>
      </c>
      <c r="X27" s="772"/>
      <c r="Y27" s="3220"/>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220"/>
      <c r="Q28" s="1810">
        <f t="shared" si="11"/>
        <v>111</v>
      </c>
      <c r="R28" s="774" t="s">
        <v>17</v>
      </c>
      <c r="S28" s="775">
        <f t="shared" ref="S28:S40" si="12">F28</f>
        <v>100</v>
      </c>
      <c r="T28" s="774" t="s">
        <v>17</v>
      </c>
      <c r="U28" s="775">
        <f t="shared" ref="U28:U40" si="13">H28</f>
        <v>100</v>
      </c>
      <c r="V28" s="774" t="s">
        <v>17</v>
      </c>
      <c r="W28" s="775">
        <f t="shared" ref="W28:W40" si="14">J28</f>
        <v>100</v>
      </c>
      <c r="X28" s="1813"/>
      <c r="Y28" s="3220"/>
      <c r="Z28" s="1814">
        <f t="shared" ref="Z28:Z40" si="15">Q28</f>
        <v>111</v>
      </c>
      <c r="AA28" s="1811">
        <f t="shared" si="3"/>
        <v>1</v>
      </c>
      <c r="AB28" s="1811">
        <f t="shared" si="4"/>
        <v>1</v>
      </c>
      <c r="AC28" s="1811">
        <f t="shared" si="5"/>
        <v>1</v>
      </c>
    </row>
    <row r="29" spans="1:29" ht="30">
      <c r="A29" s="466" t="s">
        <v>2559</v>
      </c>
      <c r="B29" s="71" t="s">
        <v>2689</v>
      </c>
      <c r="C29" s="2678"/>
      <c r="D29" s="467">
        <v>100</v>
      </c>
      <c r="E29" s="2678"/>
      <c r="F29" s="461">
        <f>SUMIF(88:88,E29,89:89)-SUMIF(88:88,C29,89:89)+100</f>
        <v>100</v>
      </c>
      <c r="G29" s="2678"/>
      <c r="H29" s="435">
        <f>SUMIF(88:88,G29,89:89)-SUMIF(88:88,C29,89:89)+100</f>
        <v>100</v>
      </c>
      <c r="I29" s="2678"/>
      <c r="J29" s="467">
        <f>SUMIF(88:88,I29,89:89)-SUMIF(88:88,C29,89:89)+100</f>
        <v>100</v>
      </c>
      <c r="K29" s="612"/>
      <c r="L29" s="1140"/>
      <c r="M29" s="1131"/>
      <c r="N29" s="1131"/>
      <c r="O29" s="1139"/>
      <c r="P29" s="3243" t="s">
        <v>2561</v>
      </c>
      <c r="Q29" s="1810" t="str">
        <f t="shared" si="11"/>
        <v>建筑类型</v>
      </c>
      <c r="R29" s="774" t="s">
        <v>17</v>
      </c>
      <c r="S29" s="775">
        <f t="shared" si="12"/>
        <v>100</v>
      </c>
      <c r="T29" s="774" t="s">
        <v>17</v>
      </c>
      <c r="U29" s="775">
        <f t="shared" si="13"/>
        <v>100</v>
      </c>
      <c r="V29" s="774" t="s">
        <v>17</v>
      </c>
      <c r="W29" s="775">
        <f t="shared" si="14"/>
        <v>100</v>
      </c>
      <c r="X29" s="1813"/>
      <c r="Y29" s="3224" t="s">
        <v>2561</v>
      </c>
      <c r="Z29" s="1814" t="str">
        <f t="shared" si="15"/>
        <v>建筑类型</v>
      </c>
      <c r="AA29" s="1811">
        <f t="shared" si="3"/>
        <v>1</v>
      </c>
      <c r="AB29" s="1811">
        <f t="shared" si="4"/>
        <v>1</v>
      </c>
      <c r="AC29" s="1811">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224"/>
      <c r="Q30" s="776" t="str">
        <f t="shared" si="11"/>
        <v>项目建筑规模</v>
      </c>
      <c r="R30" s="777" t="s">
        <v>17</v>
      </c>
      <c r="S30" s="778" t="e">
        <f t="shared" si="12"/>
        <v>#N/A</v>
      </c>
      <c r="T30" s="777" t="s">
        <v>17</v>
      </c>
      <c r="U30" s="778" t="e">
        <f t="shared" si="13"/>
        <v>#N/A</v>
      </c>
      <c r="V30" s="777" t="s">
        <v>17</v>
      </c>
      <c r="W30" s="778" t="e">
        <f t="shared" si="14"/>
        <v>#N/A</v>
      </c>
      <c r="X30" s="779"/>
      <c r="Y30" s="3224"/>
      <c r="Z30" s="780" t="str">
        <f t="shared" si="15"/>
        <v>项目建筑规模</v>
      </c>
      <c r="AA30" s="1811" t="e">
        <f t="shared" si="3"/>
        <v>#N/A</v>
      </c>
      <c r="AB30" s="1811" t="e">
        <f t="shared" si="4"/>
        <v>#N/A</v>
      </c>
      <c r="AC30" s="1811"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224"/>
      <c r="Q31" s="1810" t="str">
        <f t="shared" si="11"/>
        <v>建筑结构</v>
      </c>
      <c r="R31" s="774" t="s">
        <v>17</v>
      </c>
      <c r="S31" s="775">
        <f t="shared" si="12"/>
        <v>100</v>
      </c>
      <c r="T31" s="774" t="s">
        <v>17</v>
      </c>
      <c r="U31" s="775">
        <f t="shared" si="13"/>
        <v>100</v>
      </c>
      <c r="V31" s="774" t="s">
        <v>17</v>
      </c>
      <c r="W31" s="775">
        <f t="shared" si="14"/>
        <v>100</v>
      </c>
      <c r="X31" s="1813"/>
      <c r="Y31" s="3224"/>
      <c r="Z31" s="1814" t="str">
        <f t="shared" si="15"/>
        <v>建筑结构</v>
      </c>
      <c r="AA31" s="1811">
        <f t="shared" si="3"/>
        <v>1</v>
      </c>
      <c r="AB31" s="1811">
        <f t="shared" si="4"/>
        <v>1</v>
      </c>
      <c r="AC31" s="1811">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224"/>
      <c r="Q32" s="1810" t="str">
        <f t="shared" si="11"/>
        <v>公共部分装修</v>
      </c>
      <c r="R32" s="774" t="s">
        <v>17</v>
      </c>
      <c r="S32" s="775">
        <f t="shared" si="12"/>
        <v>100</v>
      </c>
      <c r="T32" s="774" t="s">
        <v>17</v>
      </c>
      <c r="U32" s="775">
        <f t="shared" si="13"/>
        <v>100</v>
      </c>
      <c r="V32" s="774" t="s">
        <v>17</v>
      </c>
      <c r="W32" s="775">
        <f t="shared" si="14"/>
        <v>100</v>
      </c>
      <c r="X32" s="1813"/>
      <c r="Y32" s="3224"/>
      <c r="Z32" s="1814" t="str">
        <f t="shared" si="15"/>
        <v>公共部分装修</v>
      </c>
      <c r="AA32" s="1811">
        <f t="shared" si="3"/>
        <v>1</v>
      </c>
      <c r="AB32" s="1811">
        <f t="shared" si="4"/>
        <v>1</v>
      </c>
      <c r="AC32" s="1811">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224"/>
      <c r="Q33" s="1810" t="str">
        <f t="shared" si="11"/>
        <v>成新度</v>
      </c>
      <c r="R33" s="774" t="s">
        <v>17</v>
      </c>
      <c r="S33" s="775" t="e">
        <f t="shared" si="12"/>
        <v>#N/A</v>
      </c>
      <c r="T33" s="774" t="s">
        <v>17</v>
      </c>
      <c r="U33" s="775" t="e">
        <f t="shared" si="13"/>
        <v>#N/A</v>
      </c>
      <c r="V33" s="774" t="s">
        <v>17</v>
      </c>
      <c r="W33" s="775" t="e">
        <f t="shared" si="14"/>
        <v>#N/A</v>
      </c>
      <c r="X33" s="1813"/>
      <c r="Y33" s="3224"/>
      <c r="Z33" s="1814" t="str">
        <f t="shared" si="15"/>
        <v>成新度</v>
      </c>
      <c r="AA33" s="1811" t="e">
        <f t="shared" si="3"/>
        <v>#N/A</v>
      </c>
      <c r="AB33" s="1811" t="e">
        <f t="shared" si="4"/>
        <v>#N/A</v>
      </c>
      <c r="AC33" s="1811"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224"/>
      <c r="Q34" s="1795" t="str">
        <f t="shared" si="11"/>
        <v>物业管理</v>
      </c>
      <c r="R34" s="770" t="s">
        <v>17</v>
      </c>
      <c r="S34" s="771">
        <f t="shared" si="12"/>
        <v>100</v>
      </c>
      <c r="T34" s="770" t="s">
        <v>17</v>
      </c>
      <c r="U34" s="771">
        <f t="shared" si="13"/>
        <v>100</v>
      </c>
      <c r="V34" s="770" t="s">
        <v>17</v>
      </c>
      <c r="W34" s="771">
        <f t="shared" si="14"/>
        <v>100</v>
      </c>
      <c r="X34" s="772"/>
      <c r="Y34" s="3224"/>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224" t="s">
        <v>2561</v>
      </c>
      <c r="Q35" s="1810" t="str">
        <f t="shared" si="11"/>
        <v>市政基础设施</v>
      </c>
      <c r="R35" s="774" t="s">
        <v>17</v>
      </c>
      <c r="S35" s="775">
        <f t="shared" si="12"/>
        <v>100</v>
      </c>
      <c r="T35" s="774" t="s">
        <v>17</v>
      </c>
      <c r="U35" s="775">
        <f t="shared" si="13"/>
        <v>100</v>
      </c>
      <c r="V35" s="774" t="s">
        <v>17</v>
      </c>
      <c r="W35" s="775">
        <f t="shared" si="14"/>
        <v>100</v>
      </c>
      <c r="X35" s="1813"/>
      <c r="Y35" s="3224" t="s">
        <v>2561</v>
      </c>
      <c r="Z35" s="1814" t="str">
        <f t="shared" si="15"/>
        <v>市政基础设施</v>
      </c>
      <c r="AA35" s="1811">
        <f t="shared" si="3"/>
        <v>1</v>
      </c>
      <c r="AB35" s="1811">
        <f t="shared" si="4"/>
        <v>1</v>
      </c>
      <c r="AC35" s="1811">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224"/>
      <c r="Q36" s="1810" t="str">
        <f t="shared" si="11"/>
        <v>内部装修</v>
      </c>
      <c r="R36" s="774" t="s">
        <v>17</v>
      </c>
      <c r="S36" s="775">
        <f t="shared" si="12"/>
        <v>100</v>
      </c>
      <c r="T36" s="774" t="s">
        <v>17</v>
      </c>
      <c r="U36" s="775">
        <f t="shared" si="13"/>
        <v>100</v>
      </c>
      <c r="V36" s="774" t="s">
        <v>17</v>
      </c>
      <c r="W36" s="775">
        <f t="shared" si="14"/>
        <v>100</v>
      </c>
      <c r="X36" s="1813"/>
      <c r="Y36" s="3224"/>
      <c r="Z36" s="1814" t="str">
        <f t="shared" si="15"/>
        <v>内部装修</v>
      </c>
      <c r="AA36" s="1811">
        <f t="shared" si="3"/>
        <v>1</v>
      </c>
      <c r="AB36" s="1811">
        <f t="shared" si="4"/>
        <v>1</v>
      </c>
      <c r="AC36" s="1811">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224"/>
      <c r="Q37" s="1810" t="str">
        <f t="shared" si="11"/>
        <v>内部装修状况</v>
      </c>
      <c r="R37" s="774" t="s">
        <v>17</v>
      </c>
      <c r="S37" s="775">
        <f t="shared" si="12"/>
        <v>100</v>
      </c>
      <c r="T37" s="774" t="s">
        <v>17</v>
      </c>
      <c r="U37" s="775">
        <f t="shared" si="13"/>
        <v>100</v>
      </c>
      <c r="V37" s="774" t="s">
        <v>17</v>
      </c>
      <c r="W37" s="775">
        <f t="shared" si="14"/>
        <v>100</v>
      </c>
      <c r="X37" s="1813"/>
      <c r="Y37" s="3224"/>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224"/>
      <c r="Q38" s="776">
        <f t="shared" si="11"/>
        <v>111</v>
      </c>
      <c r="R38" s="777" t="s">
        <v>17</v>
      </c>
      <c r="S38" s="778">
        <f t="shared" si="12"/>
        <v>100</v>
      </c>
      <c r="T38" s="777" t="s">
        <v>17</v>
      </c>
      <c r="U38" s="778">
        <f t="shared" si="13"/>
        <v>100</v>
      </c>
      <c r="V38" s="777" t="s">
        <v>17</v>
      </c>
      <c r="W38" s="778">
        <f t="shared" si="14"/>
        <v>100</v>
      </c>
      <c r="X38" s="779"/>
      <c r="Y38" s="3224"/>
      <c r="Z38" s="780">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224"/>
      <c r="Q39" s="1810">
        <f t="shared" si="11"/>
        <v>111</v>
      </c>
      <c r="R39" s="774" t="s">
        <v>17</v>
      </c>
      <c r="S39" s="775">
        <f t="shared" si="12"/>
        <v>100</v>
      </c>
      <c r="T39" s="774" t="s">
        <v>17</v>
      </c>
      <c r="U39" s="775">
        <f t="shared" si="13"/>
        <v>100</v>
      </c>
      <c r="V39" s="774" t="s">
        <v>17</v>
      </c>
      <c r="W39" s="775">
        <f t="shared" si="14"/>
        <v>100</v>
      </c>
      <c r="X39" s="1813"/>
      <c r="Y39" s="3224"/>
      <c r="Z39" s="1814">
        <f t="shared" si="15"/>
        <v>111</v>
      </c>
      <c r="AA39" s="1811">
        <f t="shared" si="3"/>
        <v>1</v>
      </c>
      <c r="AB39" s="1811">
        <f t="shared" si="4"/>
        <v>1</v>
      </c>
      <c r="AC39" s="1811">
        <f t="shared" si="5"/>
        <v>1</v>
      </c>
    </row>
    <row r="40" spans="1:29" ht="15.6" thickBot="1">
      <c r="A40" s="478"/>
      <c r="B40" s="2601">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25"/>
      <c r="Q40" s="1810">
        <f t="shared" si="11"/>
        <v>111</v>
      </c>
      <c r="R40" s="774" t="s">
        <v>17</v>
      </c>
      <c r="S40" s="775">
        <f t="shared" si="12"/>
        <v>100</v>
      </c>
      <c r="T40" s="774" t="s">
        <v>17</v>
      </c>
      <c r="U40" s="775">
        <f t="shared" si="13"/>
        <v>100</v>
      </c>
      <c r="V40" s="774" t="s">
        <v>17</v>
      </c>
      <c r="W40" s="775">
        <f t="shared" si="14"/>
        <v>100</v>
      </c>
      <c r="X40" s="1813"/>
      <c r="Y40" s="3225"/>
      <c r="Z40" s="1814">
        <f t="shared" si="15"/>
        <v>111</v>
      </c>
      <c r="AA40" s="1811">
        <f t="shared" si="3"/>
        <v>1</v>
      </c>
      <c r="AB40" s="1811">
        <f t="shared" si="4"/>
        <v>1</v>
      </c>
      <c r="AC40" s="1811">
        <f t="shared" si="5"/>
        <v>1</v>
      </c>
    </row>
    <row r="41" spans="1:29" ht="14.4">
      <c r="A41" s="479" t="s">
        <v>2573</v>
      </c>
      <c r="B41" s="480"/>
      <c r="C41" s="1407" t="s">
        <v>1</v>
      </c>
      <c r="D41" s="1408"/>
      <c r="E41" s="1409"/>
      <c r="F41" s="1410"/>
      <c r="G41" s="1411"/>
      <c r="H41" s="1412"/>
      <c r="I41" s="1409"/>
      <c r="J41" s="1412"/>
      <c r="K41" s="783"/>
      <c r="L41" s="1143"/>
      <c r="M41" s="1144"/>
      <c r="N41" s="1131"/>
      <c r="O41" s="1144"/>
      <c r="P41" s="3217" t="str">
        <f>A41</f>
        <v>成交单价（元/平方米）</v>
      </c>
      <c r="Q41" s="3217"/>
      <c r="R41" s="3218">
        <f>E41</f>
        <v>0</v>
      </c>
      <c r="S41" s="3218"/>
      <c r="T41" s="3218">
        <f>G41</f>
        <v>0</v>
      </c>
      <c r="U41" s="3218"/>
      <c r="V41" s="3218">
        <f>I41</f>
        <v>0</v>
      </c>
      <c r="W41" s="3218"/>
      <c r="X41" s="759"/>
      <c r="Y41" s="781"/>
      <c r="Z41" s="759"/>
      <c r="AA41" s="759"/>
      <c r="AB41" s="759"/>
      <c r="AC41" s="759"/>
    </row>
    <row r="42" spans="1:29" ht="15" thickBot="1">
      <c r="A42" s="486" t="s">
        <v>2665</v>
      </c>
      <c r="B42" s="487"/>
      <c r="C42" s="1413" t="e">
        <f>R43</f>
        <v>#DIV/0!</v>
      </c>
      <c r="D42" s="1414"/>
      <c r="E42" s="1415" t="e">
        <f>R42</f>
        <v>#DIV/0!</v>
      </c>
      <c r="F42" s="1415"/>
      <c r="G42" s="1413" t="e">
        <f>T42</f>
        <v>#DIV/0!</v>
      </c>
      <c r="H42" s="1414"/>
      <c r="I42" s="1415" t="e">
        <f>V42</f>
        <v>#DIV/0!</v>
      </c>
      <c r="J42" s="1414"/>
      <c r="K42" s="784"/>
      <c r="L42" s="1143"/>
      <c r="M42" s="1144"/>
      <c r="N42" s="1131"/>
      <c r="O42" s="1144"/>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 thickBot="1">
      <c r="A43" s="492" t="s">
        <v>2666</v>
      </c>
      <c r="B43" s="493"/>
      <c r="C43" s="1417" t="e">
        <f>R43</f>
        <v>#DIV/0!</v>
      </c>
      <c r="D43" s="1417"/>
      <c r="E43" s="1417"/>
      <c r="F43" s="1417"/>
      <c r="G43" s="1417"/>
      <c r="H43" s="1417"/>
      <c r="I43" s="1417"/>
      <c r="J43" s="1417"/>
      <c r="K43" s="785"/>
      <c r="L43" s="1143"/>
      <c r="M43" s="1144"/>
      <c r="N43" s="1144"/>
      <c r="O43" s="1144"/>
      <c r="P43" s="3214" t="str">
        <f>A43</f>
        <v>估价对象XX用房的比较价值（楼面单价，元/平方米）</v>
      </c>
      <c r="Q43" s="3215"/>
      <c r="R43" s="3216" t="e">
        <f>IF(F1="售价",ROUND(AVERAGE(R42:V42),0),ROUND(AVERAGE(R42:V42),1))</f>
        <v>#DIV/0!</v>
      </c>
      <c r="S43" s="3216"/>
      <c r="T43" s="3216"/>
      <c r="U43" s="3216"/>
      <c r="V43" s="3216"/>
      <c r="W43" s="3216"/>
      <c r="X43" s="759"/>
      <c r="Y43" s="759"/>
      <c r="Z43" s="759"/>
      <c r="AA43" s="759"/>
      <c r="AB43" s="759"/>
      <c r="AC43" s="759"/>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3" t="s">
        <v>2670</v>
      </c>
      <c r="B51" s="759"/>
      <c r="C51" s="764"/>
      <c r="D51" s="764"/>
      <c r="E51" s="764"/>
      <c r="F51" s="765"/>
      <c r="G51" s="765"/>
      <c r="H51" s="764"/>
      <c r="I51" s="764"/>
      <c r="J51" s="764"/>
      <c r="K51" s="1160"/>
      <c r="L51" s="1161"/>
      <c r="M51" s="1159"/>
      <c r="N51" s="1159"/>
      <c r="O51" s="1159"/>
      <c r="P51" s="503"/>
      <c r="Q51" s="504"/>
    </row>
    <row r="52" spans="1:17" s="508" customFormat="1" ht="14.4">
      <c r="A52" s="505" t="s">
        <v>2544</v>
      </c>
      <c r="B52" s="506"/>
      <c r="C52" s="1574" t="str">
        <f>YEAR(C7)&amp;"-"&amp;MONTH(C7)</f>
        <v>2019-8</v>
      </c>
      <c r="D52" s="1575">
        <f>EDATE(C52,-1)</f>
        <v>43647</v>
      </c>
      <c r="E52" s="1575">
        <f t="shared" ref="E52:O52" si="16">EDATE(D52,-1)</f>
        <v>43617</v>
      </c>
      <c r="F52" s="1575">
        <f t="shared" si="16"/>
        <v>43586</v>
      </c>
      <c r="G52" s="1575">
        <f t="shared" si="16"/>
        <v>43556</v>
      </c>
      <c r="H52" s="1575">
        <f t="shared" si="16"/>
        <v>43525</v>
      </c>
      <c r="I52" s="1575">
        <f t="shared" si="16"/>
        <v>43497</v>
      </c>
      <c r="J52" s="1575">
        <f t="shared" si="16"/>
        <v>43466</v>
      </c>
      <c r="K52" s="1575">
        <f t="shared" si="16"/>
        <v>43435</v>
      </c>
      <c r="L52" s="1575">
        <f t="shared" si="16"/>
        <v>43405</v>
      </c>
      <c r="M52" s="1575">
        <f t="shared" si="16"/>
        <v>43374</v>
      </c>
      <c r="N52" s="1575">
        <f t="shared" si="16"/>
        <v>43344</v>
      </c>
      <c r="O52" s="1575">
        <f t="shared" si="16"/>
        <v>43313</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2581</v>
      </c>
      <c r="B54" s="516"/>
      <c r="C54" s="517"/>
      <c r="D54" s="518"/>
      <c r="E54" s="518"/>
      <c r="F54" s="518"/>
      <c r="G54" s="518"/>
      <c r="H54" s="518"/>
      <c r="I54" s="518"/>
      <c r="J54" s="518"/>
      <c r="K54" s="518"/>
      <c r="L54" s="518"/>
      <c r="M54" s="519"/>
      <c r="N54" s="518"/>
      <c r="O54" s="520"/>
      <c r="P54" s="504"/>
      <c r="Q54" s="504"/>
    </row>
    <row r="55" spans="1:17" s="117" customFormat="1" ht="14.4">
      <c r="A55" s="521" t="s">
        <v>2546</v>
      </c>
      <c r="B55" s="510"/>
      <c r="C55" s="522" t="s">
        <v>2648</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2584</v>
      </c>
      <c r="B57" s="528" t="s">
        <v>2550</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2553</v>
      </c>
      <c r="C59" s="539" t="s">
        <v>2585</v>
      </c>
      <c r="D59" s="539" t="s">
        <v>2586</v>
      </c>
      <c r="E59" s="539" t="s">
        <v>2587</v>
      </c>
      <c r="F59" s="539" t="s">
        <v>2588</v>
      </c>
      <c r="G59" s="539" t="s">
        <v>2589</v>
      </c>
      <c r="H59" s="539" t="s">
        <v>2590</v>
      </c>
      <c r="I59" s="539" t="s">
        <v>2591</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2555</v>
      </c>
      <c r="B70" s="528" t="s">
        <v>2701</v>
      </c>
      <c r="C70" s="573" t="s">
        <v>2593</v>
      </c>
      <c r="D70" s="573" t="s">
        <v>2594</v>
      </c>
      <c r="E70" s="573" t="s">
        <v>2595</v>
      </c>
      <c r="F70" s="573" t="s">
        <v>2596</v>
      </c>
      <c r="G70" s="573" t="s">
        <v>2597</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2598</v>
      </c>
      <c r="C72" s="578" t="s">
        <v>2593</v>
      </c>
      <c r="D72" s="578" t="s">
        <v>2594</v>
      </c>
      <c r="E72" s="578" t="s">
        <v>2595</v>
      </c>
      <c r="F72" s="578" t="s">
        <v>2596</v>
      </c>
      <c r="G72" s="578" t="s">
        <v>2597</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2599</v>
      </c>
      <c r="C74" s="578" t="s">
        <v>2593</v>
      </c>
      <c r="D74" s="578" t="s">
        <v>2594</v>
      </c>
      <c r="E74" s="578" t="s">
        <v>2595</v>
      </c>
      <c r="F74" s="578" t="s">
        <v>2596</v>
      </c>
      <c r="G74" s="578" t="s">
        <v>2597</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2685</v>
      </c>
      <c r="C76" s="660" t="s">
        <v>2671</v>
      </c>
      <c r="D76" s="660" t="s">
        <v>2672</v>
      </c>
      <c r="E76" s="660" t="s">
        <v>2673</v>
      </c>
      <c r="F76" s="660" t="s">
        <v>2674</v>
      </c>
      <c r="G76" s="660" t="s">
        <v>2675</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2694</v>
      </c>
      <c r="C78" s="578" t="s">
        <v>2593</v>
      </c>
      <c r="D78" s="578" t="s">
        <v>2594</v>
      </c>
      <c r="E78" s="578" t="s">
        <v>2595</v>
      </c>
      <c r="F78" s="578" t="s">
        <v>2596</v>
      </c>
      <c r="G78" s="578" t="s">
        <v>2597</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5"/>
      <c r="B87" s="569"/>
      <c r="C87" s="570"/>
      <c r="D87" s="570"/>
      <c r="E87" s="570"/>
      <c r="F87" s="570"/>
      <c r="G87" s="591"/>
      <c r="H87" s="591"/>
      <c r="I87" s="591"/>
      <c r="J87" s="591"/>
      <c r="K87" s="591"/>
      <c r="L87" s="591"/>
      <c r="M87" s="592"/>
      <c r="N87" s="1153"/>
      <c r="O87" s="1153"/>
      <c r="P87" s="45"/>
      <c r="Q87" s="504"/>
    </row>
    <row r="88" spans="1:17" ht="14.4">
      <c r="A88" s="527" t="s">
        <v>2559</v>
      </c>
      <c r="B88" s="528" t="s">
        <v>2608</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2610</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2612</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1994</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2613</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2614</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2616</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2702</v>
      </c>
      <c r="C106" s="578" t="s">
        <v>2593</v>
      </c>
      <c r="D106" s="578" t="s">
        <v>2594</v>
      </c>
      <c r="E106" s="578" t="s">
        <v>2595</v>
      </c>
      <c r="F106" s="578" t="s">
        <v>2596</v>
      </c>
      <c r="G106" s="578" t="s">
        <v>2597</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5"/>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2703</v>
      </c>
      <c r="B1" s="1619"/>
      <c r="C1" s="1620" t="s">
        <v>2526</v>
      </c>
      <c r="D1" s="1621"/>
      <c r="E1" s="1622"/>
      <c r="F1" s="2583"/>
      <c r="G1" s="1623" t="s">
        <v>2639</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2323</v>
      </c>
      <c r="B2" s="1418" t="e">
        <f ca="1">IF(C2="——",IF(B37="元/平方米",ROUND(C39*D3/10000,0),ROUND(F3*C39/10000,0)),IF(B37="元/平方米",ROUND(C39*D3/10000,0),ROUND(F3*C39/10000,0))-D2)</f>
        <v>#DIV/0!</v>
      </c>
      <c r="C2" s="2585"/>
      <c r="D2" s="1124" t="e">
        <f ca="1">SUMIF(INDIRECT("'"&amp;F2&amp;"'"&amp;"!A:A"),"承租人权益价值",INDIRECT("'"&amp;F2&amp;"'"&amp;"!c:c"))</f>
        <v>#REF!</v>
      </c>
      <c r="E2" s="2586" t="s">
        <v>2324</v>
      </c>
      <c r="F2" s="2587"/>
      <c r="G2" s="1125"/>
      <c r="H2" s="1125"/>
      <c r="I2" s="1125"/>
      <c r="J2" s="1125"/>
      <c r="K2" s="1127"/>
      <c r="L2" s="1128"/>
      <c r="M2" s="1129"/>
      <c r="N2" s="1129"/>
      <c r="O2" s="1129"/>
      <c r="P2" s="1419"/>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5"/>
      <c r="H3" s="1125"/>
      <c r="I3" s="1125"/>
      <c r="J3" s="1125"/>
      <c r="K3" s="1127"/>
      <c r="L3" s="1128"/>
      <c r="M3" s="1129"/>
      <c r="N3" s="1129"/>
      <c r="O3" s="1129"/>
      <c r="P3" s="1419"/>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183" t="s">
        <v>2644</v>
      </c>
      <c r="AC4" s="3182" t="s">
        <v>2645</v>
      </c>
    </row>
    <row r="5" spans="1:29">
      <c r="A5" s="404"/>
      <c r="B5" s="405"/>
      <c r="C5" s="3193" t="s">
        <v>2538</v>
      </c>
      <c r="D5" s="3194"/>
      <c r="E5" s="3191" t="s">
        <v>2539</v>
      </c>
      <c r="F5" s="3192"/>
      <c r="G5" s="3193" t="s">
        <v>2540</v>
      </c>
      <c r="H5" s="3194"/>
      <c r="I5" s="3193" t="s">
        <v>2541</v>
      </c>
      <c r="J5" s="3194"/>
      <c r="K5" s="610"/>
      <c r="L5" s="1130"/>
      <c r="M5" s="1131"/>
      <c r="N5" s="1131"/>
      <c r="O5" s="1131"/>
      <c r="P5" s="3206"/>
      <c r="Q5" s="3207"/>
      <c r="R5" s="3189"/>
      <c r="S5" s="3190"/>
      <c r="T5" s="3189"/>
      <c r="U5" s="3190"/>
      <c r="V5" s="3212"/>
      <c r="W5" s="3212"/>
      <c r="X5" s="1813"/>
      <c r="Y5" s="3189"/>
      <c r="Z5" s="3190"/>
      <c r="AA5" s="3183"/>
      <c r="AB5" s="3183"/>
      <c r="AC5" s="3183"/>
    </row>
    <row r="6" spans="1:29" ht="15" thickBot="1">
      <c r="A6" s="406"/>
      <c r="B6" s="407"/>
      <c r="C6" s="3195" t="s">
        <v>2542</v>
      </c>
      <c r="D6" s="3196"/>
      <c r="E6" s="3197" t="s">
        <v>2542</v>
      </c>
      <c r="F6" s="3198"/>
      <c r="G6" s="3195" t="s">
        <v>2542</v>
      </c>
      <c r="H6" s="3196"/>
      <c r="I6" s="3195" t="s">
        <v>2542</v>
      </c>
      <c r="J6" s="3196"/>
      <c r="K6" s="610" t="s">
        <v>2543</v>
      </c>
      <c r="L6" s="1130"/>
      <c r="M6" s="1131"/>
      <c r="N6" s="1131"/>
      <c r="O6" s="1131"/>
      <c r="P6" s="3208"/>
      <c r="Q6" s="3209"/>
      <c r="R6" s="3189"/>
      <c r="S6" s="3190"/>
      <c r="T6" s="3210"/>
      <c r="U6" s="3211"/>
      <c r="V6" s="3212"/>
      <c r="W6" s="3212"/>
      <c r="X6" s="1813"/>
      <c r="Y6" s="3210"/>
      <c r="Z6" s="3211"/>
      <c r="AA6" s="3184"/>
      <c r="AB6" s="3184"/>
      <c r="AC6" s="3184"/>
    </row>
    <row r="7" spans="1:29" s="117" customFormat="1" ht="15" thickBot="1">
      <c r="A7" s="408" t="s">
        <v>2544</v>
      </c>
      <c r="B7" s="409"/>
      <c r="C7" s="410">
        <f>'数据-取费表'!B2</f>
        <v>43692</v>
      </c>
      <c r="D7" s="411">
        <v>100</v>
      </c>
      <c r="E7" s="412"/>
      <c r="F7" s="413">
        <f>SUMIF(48:48,YEAR(E7)&amp;"-"&amp;MONTH(E7),49:49)</f>
        <v>0</v>
      </c>
      <c r="G7" s="412"/>
      <c r="H7" s="411">
        <f>SUMIF(48:48,YEAR(G7)&amp;"-"&amp;MONTH(G7),49:49)</f>
        <v>0</v>
      </c>
      <c r="I7" s="412"/>
      <c r="J7" s="411">
        <f>SUMIF(48:48,YEAR(I7)&amp;"-"&amp;MONTH(I7),49:49)</f>
        <v>0</v>
      </c>
      <c r="K7" s="611"/>
      <c r="L7" s="1132"/>
      <c r="M7" s="1133"/>
      <c r="N7" s="1133"/>
      <c r="O7" s="1133"/>
      <c r="P7" s="3185" t="s">
        <v>2545</v>
      </c>
      <c r="Q7" s="3213"/>
      <c r="R7" s="770" t="s">
        <v>17</v>
      </c>
      <c r="S7" s="771">
        <f t="shared" ref="S7:S14" si="0">F7</f>
        <v>0</v>
      </c>
      <c r="T7" s="770" t="s">
        <v>17</v>
      </c>
      <c r="U7" s="771">
        <f t="shared" ref="U7:U14" si="1">H7</f>
        <v>0</v>
      </c>
      <c r="V7" s="770" t="s">
        <v>17</v>
      </c>
      <c r="W7" s="771">
        <f t="shared" ref="W7:W14" si="2">J7</f>
        <v>0</v>
      </c>
      <c r="X7" s="772"/>
      <c r="Y7" s="3185" t="s">
        <v>2545</v>
      </c>
      <c r="Z7" s="3186"/>
      <c r="AA7" s="773" t="e">
        <f>D7/F7</f>
        <v>#DIV/0!</v>
      </c>
      <c r="AB7" s="773" t="e">
        <f>D7/H7</f>
        <v>#DIV/0!</v>
      </c>
      <c r="AC7" s="773" t="e">
        <f>D7/J7</f>
        <v>#DIV/0!</v>
      </c>
    </row>
    <row r="8" spans="1:29" s="117" customFormat="1" ht="1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185" t="s">
        <v>2548</v>
      </c>
      <c r="Q8" s="3186"/>
      <c r="R8" s="770" t="s">
        <v>17</v>
      </c>
      <c r="S8" s="771">
        <f t="shared" si="0"/>
        <v>0</v>
      </c>
      <c r="T8" s="770" t="s">
        <v>17</v>
      </c>
      <c r="U8" s="771">
        <f t="shared" si="1"/>
        <v>0</v>
      </c>
      <c r="V8" s="770" t="s">
        <v>17</v>
      </c>
      <c r="W8" s="771">
        <f t="shared" si="2"/>
        <v>0</v>
      </c>
      <c r="X8" s="772"/>
      <c r="Y8" s="3185" t="s">
        <v>2548</v>
      </c>
      <c r="Z8" s="3186"/>
      <c r="AA8" s="773" t="e">
        <f t="shared" ref="AA8:AA36" si="3">D8/F8</f>
        <v>#DIV/0!</v>
      </c>
      <c r="AB8" s="773" t="e">
        <f t="shared" ref="AB8:AB36" si="4">D8/H8</f>
        <v>#DIV/0!</v>
      </c>
      <c r="AC8" s="773" t="e">
        <f t="shared" ref="AC8:AC36" si="5">D8/J8</f>
        <v>#DIV/0!</v>
      </c>
    </row>
    <row r="9" spans="1:29" s="117" customFormat="1" ht="14.4">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217" t="s">
        <v>2551</v>
      </c>
      <c r="Q9" s="1795" t="str">
        <f t="shared" ref="Q9:Q14" si="6">B9</f>
        <v>用途</v>
      </c>
      <c r="R9" s="770" t="s">
        <v>17</v>
      </c>
      <c r="S9" s="771">
        <f t="shared" si="0"/>
        <v>100</v>
      </c>
      <c r="T9" s="770" t="s">
        <v>17</v>
      </c>
      <c r="U9" s="771">
        <f t="shared" si="1"/>
        <v>100</v>
      </c>
      <c r="V9" s="770" t="s">
        <v>17</v>
      </c>
      <c r="W9" s="771">
        <f t="shared" si="2"/>
        <v>100</v>
      </c>
      <c r="X9" s="772"/>
      <c r="Y9" s="3032" t="s">
        <v>2552</v>
      </c>
      <c r="Z9" s="55" t="str">
        <f t="shared" ref="Z9:Z14" si="7">Q9</f>
        <v>用途</v>
      </c>
      <c r="AA9" s="773">
        <f t="shared" si="3"/>
        <v>1</v>
      </c>
      <c r="AB9" s="773">
        <f t="shared" si="4"/>
        <v>1</v>
      </c>
      <c r="AC9" s="773">
        <f t="shared" si="5"/>
        <v>1</v>
      </c>
    </row>
    <row r="10" spans="1:29" s="427" customFormat="1" ht="28.8">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217"/>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217"/>
      <c r="Q11" s="1795">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217"/>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217"/>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
      <c r="A14" s="401" t="s">
        <v>2555</v>
      </c>
      <c r="B14" s="629" t="s">
        <v>2705</v>
      </c>
      <c r="C14" s="2692" t="str">
        <f>IF(B1="工业",估价对象房地状况!G4,估价对象房地状况!C6)</f>
        <v>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219" t="s">
        <v>2556</v>
      </c>
      <c r="Q14" s="1810" t="str">
        <f t="shared" si="6"/>
        <v>交通便捷度</v>
      </c>
      <c r="R14" s="774" t="s">
        <v>17</v>
      </c>
      <c r="S14" s="775">
        <f t="shared" si="0"/>
        <v>100</v>
      </c>
      <c r="T14" s="774" t="s">
        <v>17</v>
      </c>
      <c r="U14" s="775">
        <f t="shared" si="1"/>
        <v>100</v>
      </c>
      <c r="V14" s="774" t="s">
        <v>17</v>
      </c>
      <c r="W14" s="775">
        <f t="shared" si="2"/>
        <v>100</v>
      </c>
      <c r="X14" s="1813"/>
      <c r="Y14" s="3219" t="s">
        <v>2556</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220"/>
      <c r="Q15" s="1810"/>
      <c r="R15" s="774"/>
      <c r="S15" s="775"/>
      <c r="T15" s="774"/>
      <c r="U15" s="775"/>
      <c r="V15" s="774"/>
      <c r="W15" s="775"/>
      <c r="X15" s="1813"/>
      <c r="Y15" s="3220"/>
      <c r="Z15" s="1814"/>
      <c r="AA15" s="1811">
        <v>1</v>
      </c>
      <c r="AB15" s="1811">
        <v>1</v>
      </c>
      <c r="AC15" s="1811">
        <v>1</v>
      </c>
    </row>
    <row r="16" spans="1:29" ht="15">
      <c r="A16" s="404"/>
      <c r="B16" s="631" t="s">
        <v>2684</v>
      </c>
      <c r="C16" s="2606" t="str">
        <f>IF(B1="工业",估价对象房地状况!G5,估价对象房地状况!C7)</f>
        <v>较好</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220"/>
      <c r="Q16" s="1810" t="str">
        <f>B16</f>
        <v>公共配套设施</v>
      </c>
      <c r="R16" s="774" t="s">
        <v>17</v>
      </c>
      <c r="S16" s="775">
        <f>F16</f>
        <v>100</v>
      </c>
      <c r="T16" s="774" t="s">
        <v>17</v>
      </c>
      <c r="U16" s="775">
        <f>H16</f>
        <v>100</v>
      </c>
      <c r="V16" s="774" t="s">
        <v>17</v>
      </c>
      <c r="W16" s="775">
        <f>J16</f>
        <v>100</v>
      </c>
      <c r="X16" s="1813"/>
      <c r="Y16" s="3220"/>
      <c r="Z16" s="1814" t="str">
        <f>Q16</f>
        <v>公共配套设施</v>
      </c>
      <c r="AA16" s="1811">
        <f t="shared" si="3"/>
        <v>1</v>
      </c>
      <c r="AB16" s="1811">
        <f t="shared" si="4"/>
        <v>1</v>
      </c>
      <c r="AC16" s="1811">
        <f t="shared" si="5"/>
        <v>1</v>
      </c>
    </row>
    <row r="17" spans="1:29" ht="15">
      <c r="A17" s="404"/>
      <c r="B17" s="632"/>
      <c r="C17" s="2607"/>
      <c r="D17" s="448"/>
      <c r="E17" s="447"/>
      <c r="F17" s="449"/>
      <c r="G17" s="447"/>
      <c r="H17" s="448"/>
      <c r="I17" s="447"/>
      <c r="J17" s="448"/>
      <c r="K17" s="615"/>
      <c r="L17" s="1140"/>
      <c r="M17" s="1131"/>
      <c r="N17" s="1131"/>
      <c r="O17" s="1131"/>
      <c r="P17" s="3220"/>
      <c r="Q17" s="1810"/>
      <c r="R17" s="774"/>
      <c r="S17" s="775"/>
      <c r="T17" s="774"/>
      <c r="U17" s="775"/>
      <c r="V17" s="774"/>
      <c r="W17" s="775"/>
      <c r="X17" s="1813"/>
      <c r="Y17" s="3220"/>
      <c r="Z17" s="1814"/>
      <c r="AA17" s="1811">
        <v>1</v>
      </c>
      <c r="AB17" s="1811">
        <v>1</v>
      </c>
      <c r="AC17" s="1811">
        <v>1</v>
      </c>
    </row>
    <row r="18" spans="1:29" ht="15">
      <c r="A18" s="404"/>
      <c r="B18" s="633" t="s">
        <v>2685</v>
      </c>
      <c r="C18" s="2606" t="str">
        <f>IF(B1="工业",估价对象房地状况!G6,估价对象房地状况!C8)</f>
        <v>六通</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220"/>
      <c r="Q18" s="1810" t="str">
        <f>B18</f>
        <v>基础设施水平</v>
      </c>
      <c r="R18" s="774" t="s">
        <v>17</v>
      </c>
      <c r="S18" s="775">
        <f>F18</f>
        <v>100</v>
      </c>
      <c r="T18" s="774" t="s">
        <v>17</v>
      </c>
      <c r="U18" s="775">
        <f>H18</f>
        <v>100</v>
      </c>
      <c r="V18" s="774" t="s">
        <v>17</v>
      </c>
      <c r="W18" s="775">
        <f>J18</f>
        <v>100</v>
      </c>
      <c r="X18" s="1813"/>
      <c r="Y18" s="3220"/>
      <c r="Z18" s="1814" t="str">
        <f>Q18</f>
        <v>基础设施水平</v>
      </c>
      <c r="AA18" s="1811">
        <f t="shared" ref="AA18" si="8">D18/F18</f>
        <v>1</v>
      </c>
      <c r="AB18" s="1811">
        <f t="shared" ref="AB18" si="9">D18/H18</f>
        <v>1</v>
      </c>
      <c r="AC18" s="1811">
        <f t="shared" ref="AC18" si="10">D18/J18</f>
        <v>1</v>
      </c>
    </row>
    <row r="19" spans="1:29" ht="15">
      <c r="A19" s="404"/>
      <c r="B19" s="633"/>
      <c r="C19" s="2607"/>
      <c r="D19" s="450"/>
      <c r="E19" s="2607"/>
      <c r="F19" s="453"/>
      <c r="G19" s="2607"/>
      <c r="H19" s="448"/>
      <c r="I19" s="447"/>
      <c r="J19" s="448"/>
      <c r="K19" s="1383"/>
      <c r="L19" s="1140"/>
      <c r="M19" s="1131"/>
      <c r="N19" s="1131"/>
      <c r="O19" s="1131"/>
      <c r="P19" s="3220"/>
      <c r="Q19" s="1810"/>
      <c r="R19" s="774"/>
      <c r="S19" s="775"/>
      <c r="T19" s="774"/>
      <c r="U19" s="775"/>
      <c r="V19" s="774"/>
      <c r="W19" s="775"/>
      <c r="X19" s="1813"/>
      <c r="Y19" s="3220"/>
      <c r="Z19" s="1814"/>
      <c r="AA19" s="1811">
        <v>1</v>
      </c>
      <c r="AB19" s="1811">
        <v>1</v>
      </c>
      <c r="AC19" s="1811">
        <v>1</v>
      </c>
    </row>
    <row r="20" spans="1:29" ht="15">
      <c r="A20" s="404"/>
      <c r="B20" s="631" t="s">
        <v>2706</v>
      </c>
      <c r="C20" s="2606" t="str">
        <f>IF(B1="工业",估价对象房地状况!G7,估价对象房地状况!C9)</f>
        <v>较好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220"/>
      <c r="Q20" s="1810" t="str">
        <f>B20</f>
        <v>自然及人文环境</v>
      </c>
      <c r="R20" s="774" t="s">
        <v>17</v>
      </c>
      <c r="S20" s="775">
        <f>F20</f>
        <v>100</v>
      </c>
      <c r="T20" s="774" t="s">
        <v>17</v>
      </c>
      <c r="U20" s="775">
        <f>H20</f>
        <v>100</v>
      </c>
      <c r="V20" s="774" t="s">
        <v>17</v>
      </c>
      <c r="W20" s="775">
        <f>J20</f>
        <v>100</v>
      </c>
      <c r="X20" s="1813"/>
      <c r="Y20" s="3220"/>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220"/>
      <c r="Q21" s="1810"/>
      <c r="R21" s="774"/>
      <c r="S21" s="775"/>
      <c r="T21" s="774"/>
      <c r="U21" s="775"/>
      <c r="V21" s="774"/>
      <c r="W21" s="775"/>
      <c r="X21" s="1813"/>
      <c r="Y21" s="3220"/>
      <c r="Z21" s="1814"/>
      <c r="AA21" s="1811">
        <v>1</v>
      </c>
      <c r="AB21" s="1811">
        <v>1</v>
      </c>
      <c r="AC21" s="1811">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220"/>
      <c r="Q22" s="1810" t="str">
        <f>B22</f>
        <v>楼层</v>
      </c>
      <c r="R22" s="774" t="s">
        <v>17</v>
      </c>
      <c r="S22" s="775">
        <f>F22</f>
        <v>100</v>
      </c>
      <c r="T22" s="774" t="s">
        <v>17</v>
      </c>
      <c r="U22" s="775">
        <f>H22</f>
        <v>100</v>
      </c>
      <c r="V22" s="774" t="s">
        <v>17</v>
      </c>
      <c r="W22" s="775">
        <f>J22</f>
        <v>100</v>
      </c>
      <c r="X22" s="1813"/>
      <c r="Y22" s="3220"/>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220"/>
      <c r="Q23" s="1810">
        <f>B23</f>
        <v>111</v>
      </c>
      <c r="R23" s="774" t="s">
        <v>17</v>
      </c>
      <c r="S23" s="775">
        <f>F23</f>
        <v>100</v>
      </c>
      <c r="T23" s="774" t="s">
        <v>17</v>
      </c>
      <c r="U23" s="775">
        <f>H23</f>
        <v>100</v>
      </c>
      <c r="V23" s="774" t="s">
        <v>17</v>
      </c>
      <c r="W23" s="775">
        <f>J23</f>
        <v>100</v>
      </c>
      <c r="X23" s="1813"/>
      <c r="Y23" s="3220"/>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220"/>
      <c r="Q24" s="1810">
        <f t="shared" ref="Q24:Q36" si="11">B24</f>
        <v>111</v>
      </c>
      <c r="R24" s="774" t="s">
        <v>17</v>
      </c>
      <c r="S24" s="775">
        <f>F24</f>
        <v>100</v>
      </c>
      <c r="T24" s="774" t="s">
        <v>17</v>
      </c>
      <c r="U24" s="775">
        <f>H24</f>
        <v>100</v>
      </c>
      <c r="V24" s="774" t="s">
        <v>17</v>
      </c>
      <c r="W24" s="775">
        <f>J24</f>
        <v>100</v>
      </c>
      <c r="X24" s="1813"/>
      <c r="Y24" s="3220"/>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220"/>
      <c r="Q25" s="1795">
        <f t="shared" si="11"/>
        <v>111</v>
      </c>
      <c r="R25" s="770" t="s">
        <v>17</v>
      </c>
      <c r="S25" s="771">
        <f>F25</f>
        <v>100</v>
      </c>
      <c r="T25" s="770" t="s">
        <v>17</v>
      </c>
      <c r="U25" s="771">
        <f>H25</f>
        <v>100</v>
      </c>
      <c r="V25" s="770" t="s">
        <v>17</v>
      </c>
      <c r="W25" s="771">
        <f>J25</f>
        <v>100</v>
      </c>
      <c r="X25" s="772"/>
      <c r="Y25" s="3220"/>
      <c r="Z25" s="55">
        <f>Q25</f>
        <v>111</v>
      </c>
      <c r="AA25" s="1811">
        <f>D25/F25</f>
        <v>1</v>
      </c>
      <c r="AB25" s="1811">
        <f>D25/H25</f>
        <v>1</v>
      </c>
      <c r="AC25" s="1811">
        <f>D25/J25</f>
        <v>1</v>
      </c>
    </row>
    <row r="26" spans="1:29" ht="30">
      <c r="A26" s="652" t="s">
        <v>2559</v>
      </c>
      <c r="B26" s="70" t="s">
        <v>2708</v>
      </c>
      <c r="C26" s="2693">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243" t="s">
        <v>2561</v>
      </c>
      <c r="Q26" s="1810" t="str">
        <f t="shared" si="11"/>
        <v>配套类型</v>
      </c>
      <c r="R26" s="774" t="s">
        <v>17</v>
      </c>
      <c r="S26" s="775">
        <f t="shared" ref="S26:S36" si="12">F26</f>
        <v>100</v>
      </c>
      <c r="T26" s="774" t="s">
        <v>17</v>
      </c>
      <c r="U26" s="775">
        <f t="shared" ref="U26:U36" si="13">H26</f>
        <v>100</v>
      </c>
      <c r="V26" s="774" t="s">
        <v>17</v>
      </c>
      <c r="W26" s="775">
        <f t="shared" ref="W26:W36" si="14">J26</f>
        <v>100</v>
      </c>
      <c r="X26" s="1813"/>
      <c r="Y26" s="3224" t="s">
        <v>2561</v>
      </c>
      <c r="Z26" s="1814" t="str">
        <f t="shared" ref="Z26:Z36" si="15">Q26</f>
        <v>配套类型</v>
      </c>
      <c r="AA26" s="1811">
        <f t="shared" si="3"/>
        <v>1</v>
      </c>
      <c r="AB26" s="1811">
        <f t="shared" si="4"/>
        <v>1</v>
      </c>
      <c r="AC26" s="1811">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224"/>
      <c r="Q27" s="776" t="str">
        <f t="shared" si="11"/>
        <v>项目停车位配比</v>
      </c>
      <c r="R27" s="777" t="s">
        <v>17</v>
      </c>
      <c r="S27" s="778">
        <f t="shared" si="12"/>
        <v>100</v>
      </c>
      <c r="T27" s="777" t="s">
        <v>17</v>
      </c>
      <c r="U27" s="778">
        <f t="shared" si="13"/>
        <v>100</v>
      </c>
      <c r="V27" s="777" t="s">
        <v>17</v>
      </c>
      <c r="W27" s="778">
        <f t="shared" si="14"/>
        <v>100</v>
      </c>
      <c r="X27" s="779"/>
      <c r="Y27" s="3224"/>
      <c r="Z27" s="780" t="str">
        <f t="shared" si="15"/>
        <v>项目停车位配比</v>
      </c>
      <c r="AA27" s="1811">
        <f t="shared" si="3"/>
        <v>1</v>
      </c>
      <c r="AB27" s="1811">
        <f t="shared" si="4"/>
        <v>1</v>
      </c>
      <c r="AC27" s="1811">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224"/>
      <c r="Q28" s="1810" t="str">
        <f t="shared" si="11"/>
        <v>公共部分装修</v>
      </c>
      <c r="R28" s="774" t="s">
        <v>17</v>
      </c>
      <c r="S28" s="775">
        <f t="shared" si="12"/>
        <v>100</v>
      </c>
      <c r="T28" s="774" t="s">
        <v>17</v>
      </c>
      <c r="U28" s="775">
        <f t="shared" si="13"/>
        <v>100</v>
      </c>
      <c r="V28" s="774" t="s">
        <v>17</v>
      </c>
      <c r="W28" s="775">
        <f t="shared" si="14"/>
        <v>100</v>
      </c>
      <c r="X28" s="1813"/>
      <c r="Y28" s="3224"/>
      <c r="Z28" s="1814" t="str">
        <f t="shared" si="15"/>
        <v>公共部分装修</v>
      </c>
      <c r="AA28" s="1811">
        <f t="shared" si="3"/>
        <v>1</v>
      </c>
      <c r="AB28" s="1811">
        <f t="shared" si="4"/>
        <v>1</v>
      </c>
      <c r="AC28" s="1811">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224"/>
      <c r="Q29" s="1810" t="str">
        <f t="shared" si="11"/>
        <v>成新率</v>
      </c>
      <c r="R29" s="774" t="s">
        <v>17</v>
      </c>
      <c r="S29" s="775" t="e">
        <f t="shared" si="12"/>
        <v>#N/A</v>
      </c>
      <c r="T29" s="774" t="s">
        <v>17</v>
      </c>
      <c r="U29" s="775" t="e">
        <f t="shared" si="13"/>
        <v>#N/A</v>
      </c>
      <c r="V29" s="774" t="s">
        <v>17</v>
      </c>
      <c r="W29" s="775" t="e">
        <f t="shared" si="14"/>
        <v>#N/A</v>
      </c>
      <c r="X29" s="1813"/>
      <c r="Y29" s="3224"/>
      <c r="Z29" s="1814" t="str">
        <f t="shared" si="15"/>
        <v>成新率</v>
      </c>
      <c r="AA29" s="1811" t="e">
        <f t="shared" si="3"/>
        <v>#N/A</v>
      </c>
      <c r="AB29" s="1811" t="e">
        <f t="shared" si="4"/>
        <v>#N/A</v>
      </c>
      <c r="AC29" s="1811"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224"/>
      <c r="Q30" s="1810" t="str">
        <f t="shared" si="11"/>
        <v>物业等级</v>
      </c>
      <c r="R30" s="774" t="s">
        <v>17</v>
      </c>
      <c r="S30" s="775">
        <f t="shared" si="12"/>
        <v>100</v>
      </c>
      <c r="T30" s="774" t="s">
        <v>17</v>
      </c>
      <c r="U30" s="775">
        <f t="shared" si="13"/>
        <v>100</v>
      </c>
      <c r="V30" s="774" t="s">
        <v>17</v>
      </c>
      <c r="W30" s="775">
        <f t="shared" si="14"/>
        <v>100</v>
      </c>
      <c r="X30" s="1813"/>
      <c r="Y30" s="3224"/>
      <c r="Z30" s="1814" t="str">
        <f t="shared" si="15"/>
        <v>物业等级</v>
      </c>
      <c r="AA30" s="1811">
        <f t="shared" si="3"/>
        <v>1</v>
      </c>
      <c r="AB30" s="1811">
        <f t="shared" si="4"/>
        <v>1</v>
      </c>
      <c r="AC30" s="1811">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224"/>
      <c r="Q31" s="1795" t="str">
        <f t="shared" si="11"/>
        <v>停车位面积</v>
      </c>
      <c r="R31" s="770" t="s">
        <v>17</v>
      </c>
      <c r="S31" s="771" t="e">
        <f t="shared" si="12"/>
        <v>#N/A</v>
      </c>
      <c r="T31" s="770" t="s">
        <v>17</v>
      </c>
      <c r="U31" s="771" t="e">
        <f t="shared" si="13"/>
        <v>#N/A</v>
      </c>
      <c r="V31" s="770" t="s">
        <v>17</v>
      </c>
      <c r="W31" s="771" t="e">
        <f t="shared" si="14"/>
        <v>#N/A</v>
      </c>
      <c r="X31" s="772"/>
      <c r="Y31" s="3224"/>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224" t="s">
        <v>2561</v>
      </c>
      <c r="Q32" s="1810" t="str">
        <f t="shared" si="11"/>
        <v>车位类型</v>
      </c>
      <c r="R32" s="774" t="s">
        <v>17</v>
      </c>
      <c r="S32" s="775">
        <f t="shared" si="12"/>
        <v>100</v>
      </c>
      <c r="T32" s="774" t="s">
        <v>17</v>
      </c>
      <c r="U32" s="775">
        <f t="shared" si="13"/>
        <v>100</v>
      </c>
      <c r="V32" s="774" t="s">
        <v>17</v>
      </c>
      <c r="W32" s="775">
        <f t="shared" si="14"/>
        <v>100</v>
      </c>
      <c r="X32" s="1813"/>
      <c r="Y32" s="3224" t="s">
        <v>2561</v>
      </c>
      <c r="Z32" s="1814" t="str">
        <f t="shared" si="15"/>
        <v>车位类型</v>
      </c>
      <c r="AA32" s="1811">
        <f t="shared" si="3"/>
        <v>1</v>
      </c>
      <c r="AB32" s="1811">
        <f t="shared" si="4"/>
        <v>1</v>
      </c>
      <c r="AC32" s="1811">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224"/>
      <c r="Q33" s="1810" t="str">
        <f t="shared" si="11"/>
        <v>是否直接入户</v>
      </c>
      <c r="R33" s="774" t="s">
        <v>17</v>
      </c>
      <c r="S33" s="775">
        <f t="shared" si="12"/>
        <v>100</v>
      </c>
      <c r="T33" s="774" t="s">
        <v>17</v>
      </c>
      <c r="U33" s="775">
        <f t="shared" si="13"/>
        <v>100</v>
      </c>
      <c r="V33" s="774" t="s">
        <v>17</v>
      </c>
      <c r="W33" s="775">
        <f t="shared" si="14"/>
        <v>100</v>
      </c>
      <c r="X33" s="1813"/>
      <c r="Y33" s="3224"/>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224"/>
      <c r="Q34" s="1810">
        <f t="shared" si="11"/>
        <v>111</v>
      </c>
      <c r="R34" s="774" t="s">
        <v>17</v>
      </c>
      <c r="S34" s="775">
        <f t="shared" si="12"/>
        <v>100</v>
      </c>
      <c r="T34" s="774" t="s">
        <v>17</v>
      </c>
      <c r="U34" s="775">
        <f t="shared" si="13"/>
        <v>100</v>
      </c>
      <c r="V34" s="774" t="s">
        <v>17</v>
      </c>
      <c r="W34" s="775">
        <f t="shared" si="14"/>
        <v>100</v>
      </c>
      <c r="X34" s="1813"/>
      <c r="Y34" s="3224"/>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224"/>
      <c r="Q35" s="776">
        <f t="shared" si="11"/>
        <v>111</v>
      </c>
      <c r="R35" s="777" t="s">
        <v>17</v>
      </c>
      <c r="S35" s="778">
        <f t="shared" si="12"/>
        <v>100</v>
      </c>
      <c r="T35" s="777" t="s">
        <v>17</v>
      </c>
      <c r="U35" s="778">
        <f t="shared" si="13"/>
        <v>100</v>
      </c>
      <c r="V35" s="777" t="s">
        <v>17</v>
      </c>
      <c r="W35" s="778">
        <f t="shared" si="14"/>
        <v>100</v>
      </c>
      <c r="X35" s="779"/>
      <c r="Y35" s="3224"/>
      <c r="Z35" s="780">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224"/>
      <c r="Q36" s="1810">
        <f t="shared" si="11"/>
        <v>111</v>
      </c>
      <c r="R36" s="774" t="s">
        <v>17</v>
      </c>
      <c r="S36" s="775">
        <f t="shared" si="12"/>
        <v>100</v>
      </c>
      <c r="T36" s="774" t="s">
        <v>17</v>
      </c>
      <c r="U36" s="775">
        <f t="shared" si="13"/>
        <v>100</v>
      </c>
      <c r="V36" s="774" t="s">
        <v>17</v>
      </c>
      <c r="W36" s="775">
        <f t="shared" si="14"/>
        <v>100</v>
      </c>
      <c r="X36" s="1813"/>
      <c r="Y36" s="3224"/>
      <c r="Z36" s="1814">
        <f t="shared" si="15"/>
        <v>111</v>
      </c>
      <c r="AA36" s="1811">
        <f t="shared" si="3"/>
        <v>1</v>
      </c>
      <c r="AB36" s="1811">
        <f t="shared" si="4"/>
        <v>1</v>
      </c>
      <c r="AC36" s="1811">
        <f t="shared" si="5"/>
        <v>1</v>
      </c>
    </row>
    <row r="37" spans="1:29" ht="14.4">
      <c r="A37" s="479" t="s">
        <v>2716</v>
      </c>
      <c r="B37" s="2694" t="s">
        <v>2717</v>
      </c>
      <c r="C37" s="1407" t="s">
        <v>1</v>
      </c>
      <c r="D37" s="1408"/>
      <c r="E37" s="1409"/>
      <c r="F37" s="1410"/>
      <c r="G37" s="1411"/>
      <c r="H37" s="1412"/>
      <c r="I37" s="1409"/>
      <c r="J37" s="1412"/>
      <c r="K37" s="619"/>
      <c r="L37" s="1143"/>
      <c r="M37" s="1144"/>
      <c r="N37" s="1131"/>
      <c r="O37" s="1144"/>
      <c r="P37" s="3217" t="str">
        <f>A37</f>
        <v>成交单价</v>
      </c>
      <c r="Q37" s="3217"/>
      <c r="R37" s="3218">
        <f>E37</f>
        <v>0</v>
      </c>
      <c r="S37" s="3218"/>
      <c r="T37" s="3218">
        <f>G37</f>
        <v>0</v>
      </c>
      <c r="U37" s="3218"/>
      <c r="V37" s="3218">
        <f>I37</f>
        <v>0</v>
      </c>
      <c r="W37" s="3218"/>
      <c r="X37" s="759"/>
      <c r="Y37" s="781"/>
      <c r="Z37" s="759"/>
      <c r="AA37" s="759"/>
      <c r="AB37" s="759"/>
      <c r="AC37" s="759"/>
    </row>
    <row r="38" spans="1:29" ht="15" thickBot="1">
      <c r="A38" s="486" t="s">
        <v>2718</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 thickBot="1">
      <c r="A39" s="492" t="s">
        <v>2719</v>
      </c>
      <c r="B39" s="493"/>
      <c r="C39" s="1417" t="e">
        <f>R39</f>
        <v>#DIV/0!</v>
      </c>
      <c r="D39" s="1417"/>
      <c r="E39" s="1417"/>
      <c r="F39" s="1417"/>
      <c r="G39" s="1417"/>
      <c r="H39" s="1417"/>
      <c r="I39" s="1417"/>
      <c r="J39" s="1417"/>
      <c r="K39" s="621"/>
      <c r="L39" s="1143"/>
      <c r="M39" s="1144"/>
      <c r="N39" s="1144"/>
      <c r="O39" s="1144"/>
      <c r="P39" s="3214" t="str">
        <f>A39</f>
        <v>估价对象XX用房的比较价值（楼面单价，元/平方米）</v>
      </c>
      <c r="Q39" s="3215"/>
      <c r="R39" s="3216" t="e">
        <f>IF(F1="售价",ROUND(AVERAGE(R38:V38),0),ROUND(AVERAGE(R38:V38),1))</f>
        <v>#DIV/0!</v>
      </c>
      <c r="S39" s="3216"/>
      <c r="T39" s="3216"/>
      <c r="U39" s="3216"/>
      <c r="V39" s="3216"/>
      <c r="W39" s="3216"/>
      <c r="X39" s="759"/>
      <c r="Y39" s="759"/>
      <c r="Z39" s="759"/>
      <c r="AA39" s="759"/>
      <c r="AB39" s="759"/>
      <c r="AC39" s="759"/>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2723</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2724</v>
      </c>
      <c r="B48" s="506"/>
      <c r="C48" s="1574" t="str">
        <f>YEAR(C7)&amp;"-"&amp;MONTH(C7)</f>
        <v>2019-8</v>
      </c>
      <c r="D48" s="1575">
        <f>EDATE(C48,-1)</f>
        <v>43647</v>
      </c>
      <c r="E48" s="1575">
        <f t="shared" ref="E48:O48" si="16">EDATE(D48,-1)</f>
        <v>43617</v>
      </c>
      <c r="F48" s="1575">
        <f t="shared" si="16"/>
        <v>43586</v>
      </c>
      <c r="G48" s="1575">
        <f t="shared" si="16"/>
        <v>43556</v>
      </c>
      <c r="H48" s="1575">
        <f t="shared" si="16"/>
        <v>43525</v>
      </c>
      <c r="I48" s="1575">
        <f t="shared" si="16"/>
        <v>43497</v>
      </c>
      <c r="J48" s="1575">
        <f t="shared" si="16"/>
        <v>43466</v>
      </c>
      <c r="K48" s="1575">
        <f t="shared" si="16"/>
        <v>43435</v>
      </c>
      <c r="L48" s="1575">
        <f t="shared" si="16"/>
        <v>43405</v>
      </c>
      <c r="M48" s="1575">
        <f t="shared" si="16"/>
        <v>43374</v>
      </c>
      <c r="N48" s="1575">
        <f t="shared" si="16"/>
        <v>43344</v>
      </c>
      <c r="O48" s="1575">
        <f t="shared" si="16"/>
        <v>43313</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2581</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2546</v>
      </c>
      <c r="B51" s="510"/>
      <c r="C51" s="522" t="s">
        <v>2648</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2584</v>
      </c>
      <c r="B53" s="528" t="s">
        <v>2550</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2553</v>
      </c>
      <c r="C55" s="539" t="s">
        <v>2585</v>
      </c>
      <c r="D55" s="539" t="s">
        <v>2586</v>
      </c>
      <c r="E55" s="539" t="s">
        <v>2587</v>
      </c>
      <c r="F55" s="539" t="s">
        <v>2588</v>
      </c>
      <c r="G55" s="539" t="s">
        <v>2589</v>
      </c>
      <c r="H55" s="539" t="s">
        <v>2590</v>
      </c>
      <c r="I55" s="539" t="s">
        <v>2591</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2599</v>
      </c>
      <c r="C65" s="578" t="s">
        <v>2593</v>
      </c>
      <c r="D65" s="578" t="s">
        <v>2594</v>
      </c>
      <c r="E65" s="578" t="s">
        <v>2595</v>
      </c>
      <c r="F65" s="578" t="s">
        <v>2596</v>
      </c>
      <c r="G65" s="578" t="s">
        <v>2597</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2685</v>
      </c>
      <c r="C67" s="660" t="s">
        <v>2671</v>
      </c>
      <c r="D67" s="660" t="s">
        <v>2672</v>
      </c>
      <c r="E67" s="660" t="s">
        <v>2673</v>
      </c>
      <c r="F67" s="660" t="s">
        <v>2674</v>
      </c>
      <c r="G67" s="660" t="s">
        <v>2675</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2605</v>
      </c>
      <c r="C69" s="578" t="s">
        <v>2593</v>
      </c>
      <c r="D69" s="578" t="s">
        <v>2594</v>
      </c>
      <c r="E69" s="578" t="s">
        <v>2595</v>
      </c>
      <c r="F69" s="578" t="s">
        <v>2596</v>
      </c>
      <c r="G69" s="578" t="s">
        <v>2597</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2725</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2559</v>
      </c>
      <c r="B79" s="528" t="s">
        <v>2726</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2727</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2612</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2729</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2731</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2732</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2703</v>
      </c>
      <c r="B1" s="1619"/>
      <c r="C1" s="1620" t="s">
        <v>2526</v>
      </c>
      <c r="D1" s="1621"/>
      <c r="E1" s="1630"/>
      <c r="F1" s="2583"/>
      <c r="G1" s="1631" t="s">
        <v>2639</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2323</v>
      </c>
      <c r="B2" s="1418" t="e">
        <f ca="1">IF(C2="——",ROUND(C37*D3/10000,0),ROUND(C37*D3/10000,0)-D2)</f>
        <v>#DIV/0!</v>
      </c>
      <c r="C2" s="2585"/>
      <c r="D2" s="1124" t="e">
        <f ca="1">SUMIF(INDIRECT("'"&amp;F2&amp;"'"&amp;"!A:A"),"承租人权益价值",INDIRECT("'"&amp;F2&amp;"'"&amp;"!c:c"))</f>
        <v>#REF!</v>
      </c>
      <c r="E2" s="2586" t="s">
        <v>2324</v>
      </c>
      <c r="F2" s="2587"/>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183" t="s">
        <v>2644</v>
      </c>
      <c r="AC4" s="3182" t="s">
        <v>2645</v>
      </c>
    </row>
    <row r="5" spans="1:29">
      <c r="A5" s="404"/>
      <c r="B5" s="405"/>
      <c r="C5" s="3193" t="s">
        <v>2538</v>
      </c>
      <c r="D5" s="3194"/>
      <c r="E5" s="3191" t="s">
        <v>2539</v>
      </c>
      <c r="F5" s="3192"/>
      <c r="G5" s="3193" t="s">
        <v>2540</v>
      </c>
      <c r="H5" s="3194"/>
      <c r="I5" s="3193" t="s">
        <v>2541</v>
      </c>
      <c r="J5" s="3194"/>
      <c r="K5" s="610"/>
      <c r="L5" s="1130"/>
      <c r="M5" s="1131"/>
      <c r="N5" s="1131"/>
      <c r="O5" s="1131"/>
      <c r="P5" s="3206"/>
      <c r="Q5" s="3207"/>
      <c r="R5" s="3189"/>
      <c r="S5" s="3190"/>
      <c r="T5" s="3189"/>
      <c r="U5" s="3190"/>
      <c r="V5" s="3212"/>
      <c r="W5" s="3212"/>
      <c r="X5" s="1813"/>
      <c r="Y5" s="3189"/>
      <c r="Z5" s="3190"/>
      <c r="AA5" s="3183"/>
      <c r="AB5" s="3183"/>
      <c r="AC5" s="3183"/>
    </row>
    <row r="6" spans="1:29" ht="15" thickBot="1">
      <c r="A6" s="406"/>
      <c r="B6" s="407"/>
      <c r="C6" s="3195" t="s">
        <v>2542</v>
      </c>
      <c r="D6" s="3196"/>
      <c r="E6" s="3197" t="s">
        <v>2542</v>
      </c>
      <c r="F6" s="3198"/>
      <c r="G6" s="3195" t="s">
        <v>2542</v>
      </c>
      <c r="H6" s="3196"/>
      <c r="I6" s="3195" t="s">
        <v>2542</v>
      </c>
      <c r="J6" s="3196"/>
      <c r="K6" s="610" t="s">
        <v>2543</v>
      </c>
      <c r="L6" s="1130"/>
      <c r="M6" s="1131"/>
      <c r="N6" s="1131"/>
      <c r="O6" s="1131"/>
      <c r="P6" s="3208"/>
      <c r="Q6" s="3209"/>
      <c r="R6" s="3189"/>
      <c r="S6" s="3190"/>
      <c r="T6" s="3210"/>
      <c r="U6" s="3211"/>
      <c r="V6" s="3212"/>
      <c r="W6" s="3212"/>
      <c r="X6" s="1813"/>
      <c r="Y6" s="3210"/>
      <c r="Z6" s="3211"/>
      <c r="AA6" s="3184"/>
      <c r="AB6" s="3184"/>
      <c r="AC6" s="3184"/>
    </row>
    <row r="7" spans="1:29" s="117" customFormat="1" ht="15" thickBot="1">
      <c r="A7" s="408" t="s">
        <v>2544</v>
      </c>
      <c r="B7" s="409"/>
      <c r="C7" s="410">
        <f>'数据-取费表'!B2</f>
        <v>43692</v>
      </c>
      <c r="D7" s="411">
        <v>100</v>
      </c>
      <c r="E7" s="412"/>
      <c r="F7" s="413">
        <f>SUMIF(46:46,YEAR(E7)&amp;"-"&amp;MONTH(E7),47:47)</f>
        <v>0</v>
      </c>
      <c r="G7" s="2695"/>
      <c r="H7" s="411">
        <f>SUMIF(46:46,YEAR(G7)&amp;"-"&amp;MONTH(G7),47:47)</f>
        <v>0</v>
      </c>
      <c r="I7" s="412"/>
      <c r="J7" s="411">
        <f>SUMIF(46:46,YEAR(I7)&amp;"-"&amp;MONTH(I7),47:47)</f>
        <v>0</v>
      </c>
      <c r="K7" s="611"/>
      <c r="L7" s="1132"/>
      <c r="M7" s="1133"/>
      <c r="N7" s="1133"/>
      <c r="O7" s="1133"/>
      <c r="P7" s="3185" t="s">
        <v>2545</v>
      </c>
      <c r="Q7" s="3213"/>
      <c r="R7" s="770" t="s">
        <v>17</v>
      </c>
      <c r="S7" s="771">
        <f t="shared" ref="S7:S14" si="0">F7</f>
        <v>0</v>
      </c>
      <c r="T7" s="770" t="s">
        <v>17</v>
      </c>
      <c r="U7" s="771">
        <f t="shared" ref="U7:U14" si="1">H7</f>
        <v>0</v>
      </c>
      <c r="V7" s="770" t="s">
        <v>17</v>
      </c>
      <c r="W7" s="771">
        <f t="shared" ref="W7:W14" si="2">J7</f>
        <v>0</v>
      </c>
      <c r="X7" s="772"/>
      <c r="Y7" s="3185" t="s">
        <v>2545</v>
      </c>
      <c r="Z7" s="3186"/>
      <c r="AA7" s="773" t="e">
        <f>D7/F7</f>
        <v>#DIV/0!</v>
      </c>
      <c r="AB7" s="773" t="e">
        <f>D7/H7</f>
        <v>#DIV/0!</v>
      </c>
      <c r="AC7" s="773" t="e">
        <f>D7/J7</f>
        <v>#DIV/0!</v>
      </c>
    </row>
    <row r="8" spans="1:29" s="117" customFormat="1" ht="1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185" t="s">
        <v>2548</v>
      </c>
      <c r="Q8" s="3186"/>
      <c r="R8" s="770" t="s">
        <v>17</v>
      </c>
      <c r="S8" s="771">
        <f t="shared" si="0"/>
        <v>0</v>
      </c>
      <c r="T8" s="770" t="s">
        <v>17</v>
      </c>
      <c r="U8" s="771">
        <f t="shared" si="1"/>
        <v>0</v>
      </c>
      <c r="V8" s="770" t="s">
        <v>17</v>
      </c>
      <c r="W8" s="771">
        <f t="shared" si="2"/>
        <v>0</v>
      </c>
      <c r="X8" s="772"/>
      <c r="Y8" s="3185" t="s">
        <v>2548</v>
      </c>
      <c r="Z8" s="3186"/>
      <c r="AA8" s="773" t="e">
        <f t="shared" ref="AA8:AA34" si="3">D8/F8</f>
        <v>#DIV/0!</v>
      </c>
      <c r="AB8" s="773" t="e">
        <f t="shared" ref="AB8:AB34" si="4">D8/H8</f>
        <v>#DIV/0!</v>
      </c>
      <c r="AC8" s="773" t="e">
        <f t="shared" ref="AC8:AC34" si="5">D8/J8</f>
        <v>#DIV/0!</v>
      </c>
    </row>
    <row r="9" spans="1:29" s="117" customFormat="1" ht="14.4">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217" t="s">
        <v>2551</v>
      </c>
      <c r="Q9" s="1795" t="str">
        <f t="shared" ref="Q9:Q14" si="6">B9</f>
        <v>用途</v>
      </c>
      <c r="R9" s="770" t="s">
        <v>17</v>
      </c>
      <c r="S9" s="771">
        <f t="shared" si="0"/>
        <v>100</v>
      </c>
      <c r="T9" s="770" t="s">
        <v>17</v>
      </c>
      <c r="U9" s="771">
        <f t="shared" si="1"/>
        <v>100</v>
      </c>
      <c r="V9" s="770" t="s">
        <v>17</v>
      </c>
      <c r="W9" s="771">
        <f t="shared" si="2"/>
        <v>100</v>
      </c>
      <c r="X9" s="772"/>
      <c r="Y9" s="3032" t="s">
        <v>2552</v>
      </c>
      <c r="Z9" s="55" t="str">
        <f t="shared" ref="Z9:Z14" si="7">Q9</f>
        <v>用途</v>
      </c>
      <c r="AA9" s="773">
        <f t="shared" si="3"/>
        <v>1</v>
      </c>
      <c r="AB9" s="773">
        <f t="shared" si="4"/>
        <v>1</v>
      </c>
      <c r="AC9" s="773">
        <f t="shared" si="5"/>
        <v>1</v>
      </c>
    </row>
    <row r="10" spans="1:29" s="427" customFormat="1" ht="28.8">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217"/>
      <c r="Q10" s="1795" t="str">
        <f t="shared" si="6"/>
        <v>土地使用年限（年）</v>
      </c>
      <c r="R10" s="770" t="s">
        <v>17</v>
      </c>
      <c r="S10" s="771">
        <f t="shared" si="0"/>
        <v>100</v>
      </c>
      <c r="T10" s="770" t="s">
        <v>17</v>
      </c>
      <c r="U10" s="771">
        <f t="shared" si="1"/>
        <v>100</v>
      </c>
      <c r="V10" s="770" t="s">
        <v>17</v>
      </c>
      <c r="W10" s="771">
        <f t="shared" si="2"/>
        <v>100</v>
      </c>
      <c r="X10" s="772"/>
      <c r="Y10" s="3032"/>
      <c r="Z10" s="55" t="str">
        <f t="shared" si="7"/>
        <v>土地使用年限（年）</v>
      </c>
      <c r="AA10" s="773">
        <f t="shared" si="3"/>
        <v>1</v>
      </c>
      <c r="AB10" s="773">
        <f t="shared" si="4"/>
        <v>1</v>
      </c>
      <c r="AC10" s="773">
        <f t="shared" si="5"/>
        <v>1</v>
      </c>
    </row>
    <row r="11" spans="1:29" ht="15">
      <c r="A11" s="428"/>
      <c r="B11" s="2599">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217"/>
      <c r="Q11" s="1795">
        <f t="shared" si="6"/>
        <v>111</v>
      </c>
      <c r="R11" s="770" t="s">
        <v>17</v>
      </c>
      <c r="S11" s="771">
        <f t="shared" si="0"/>
        <v>100</v>
      </c>
      <c r="T11" s="770" t="s">
        <v>17</v>
      </c>
      <c r="U11" s="771">
        <f t="shared" si="1"/>
        <v>100</v>
      </c>
      <c r="V11" s="770" t="s">
        <v>17</v>
      </c>
      <c r="W11" s="771">
        <f t="shared" si="2"/>
        <v>100</v>
      </c>
      <c r="X11" s="772"/>
      <c r="Y11" s="3032"/>
      <c r="Z11" s="55">
        <f t="shared" si="7"/>
        <v>111</v>
      </c>
      <c r="AA11" s="773">
        <f t="shared" si="3"/>
        <v>1</v>
      </c>
      <c r="AB11" s="773">
        <f t="shared" si="4"/>
        <v>1</v>
      </c>
      <c r="AC11" s="773">
        <f t="shared" si="5"/>
        <v>1</v>
      </c>
    </row>
    <row r="12" spans="1:29" s="117" customFormat="1" ht="15">
      <c r="A12" s="431"/>
      <c r="B12" s="2599">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217"/>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6" thickBot="1">
      <c r="A13" s="428"/>
      <c r="B13" s="2599">
        <v>111</v>
      </c>
      <c r="C13" s="434"/>
      <c r="D13" s="435">
        <v>100</v>
      </c>
      <c r="E13" s="469"/>
      <c r="F13" s="425">
        <f>SUMIF(59:59,E13,60:60)-SUMIF(59:59,C13,60:60)+100</f>
        <v>100</v>
      </c>
      <c r="G13" s="2696"/>
      <c r="H13" s="438">
        <f>SUMIF(59:59,G13,60:60)-SUMIF(59:59,C13,60:60)+100</f>
        <v>100</v>
      </c>
      <c r="I13" s="469"/>
      <c r="J13" s="435">
        <f>SUMIF(59:59,I13,60:60)-SUMIF(59:59,C13,60:60)+100</f>
        <v>100</v>
      </c>
      <c r="K13" s="613"/>
      <c r="L13" s="1140"/>
      <c r="M13" s="1131"/>
      <c r="N13" s="1131"/>
      <c r="O13" s="1139"/>
      <c r="P13" s="3217"/>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
      <c r="A14" s="440" t="s">
        <v>2555</v>
      </c>
      <c r="B14" s="69" t="s">
        <v>2705</v>
      </c>
      <c r="C14" s="2692" t="str">
        <f>IF(B1="工业",估价对象房地状况!G4,估价对象房地状况!C6)</f>
        <v>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219" t="s">
        <v>2556</v>
      </c>
      <c r="Q14" s="1810" t="str">
        <f t="shared" si="6"/>
        <v>交通便捷度</v>
      </c>
      <c r="R14" s="774" t="s">
        <v>17</v>
      </c>
      <c r="S14" s="775">
        <f t="shared" si="0"/>
        <v>100</v>
      </c>
      <c r="T14" s="774" t="s">
        <v>17</v>
      </c>
      <c r="U14" s="775">
        <f t="shared" si="1"/>
        <v>100</v>
      </c>
      <c r="V14" s="774" t="s">
        <v>17</v>
      </c>
      <c r="W14" s="775">
        <f t="shared" si="2"/>
        <v>100</v>
      </c>
      <c r="X14" s="1813"/>
      <c r="Y14" s="3219" t="s">
        <v>2556</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220"/>
      <c r="Q15" s="1810"/>
      <c r="R15" s="774"/>
      <c r="S15" s="775"/>
      <c r="T15" s="774"/>
      <c r="U15" s="775"/>
      <c r="V15" s="774"/>
      <c r="W15" s="775"/>
      <c r="X15" s="1813"/>
      <c r="Y15" s="3220"/>
      <c r="Z15" s="1814"/>
      <c r="AA15" s="1811">
        <v>1</v>
      </c>
      <c r="AB15" s="1811">
        <v>1</v>
      </c>
      <c r="AC15" s="1811">
        <v>1</v>
      </c>
    </row>
    <row r="16" spans="1:29" ht="15">
      <c r="A16" s="428"/>
      <c r="B16" s="451" t="s">
        <v>2684</v>
      </c>
      <c r="C16" s="2606" t="str">
        <f>IF(B1="工业",估价对象房地状况!G5,估价对象房地状况!C7)</f>
        <v>较好</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220"/>
      <c r="Q16" s="1810" t="str">
        <f>B16</f>
        <v>公共配套设施</v>
      </c>
      <c r="R16" s="774" t="s">
        <v>17</v>
      </c>
      <c r="S16" s="775">
        <f>F16</f>
        <v>100</v>
      </c>
      <c r="T16" s="774" t="s">
        <v>17</v>
      </c>
      <c r="U16" s="775">
        <f>H16</f>
        <v>100</v>
      </c>
      <c r="V16" s="774" t="s">
        <v>17</v>
      </c>
      <c r="W16" s="775">
        <f>J16</f>
        <v>100</v>
      </c>
      <c r="X16" s="1813"/>
      <c r="Y16" s="3220"/>
      <c r="Z16" s="1814" t="str">
        <f>Q16</f>
        <v>公共配套设施</v>
      </c>
      <c r="AA16" s="1811">
        <f t="shared" si="3"/>
        <v>1</v>
      </c>
      <c r="AB16" s="1811">
        <f t="shared" si="4"/>
        <v>1</v>
      </c>
      <c r="AC16" s="1811">
        <f t="shared" si="5"/>
        <v>1</v>
      </c>
    </row>
    <row r="17" spans="1:29" ht="15">
      <c r="A17" s="428"/>
      <c r="B17" s="456"/>
      <c r="C17" s="2607"/>
      <c r="D17" s="448"/>
      <c r="E17" s="447"/>
      <c r="F17" s="449"/>
      <c r="G17" s="447"/>
      <c r="H17" s="448"/>
      <c r="I17" s="447"/>
      <c r="J17" s="448"/>
      <c r="K17" s="615"/>
      <c r="L17" s="1140"/>
      <c r="M17" s="1131"/>
      <c r="N17" s="1131"/>
      <c r="O17" s="1139"/>
      <c r="P17" s="3220"/>
      <c r="Q17" s="1810"/>
      <c r="R17" s="774"/>
      <c r="S17" s="775"/>
      <c r="T17" s="774"/>
      <c r="U17" s="775"/>
      <c r="V17" s="774"/>
      <c r="W17" s="775"/>
      <c r="X17" s="1813"/>
      <c r="Y17" s="3220"/>
      <c r="Z17" s="1814"/>
      <c r="AA17" s="1811">
        <v>1</v>
      </c>
      <c r="AB17" s="1811">
        <v>1</v>
      </c>
      <c r="AC17" s="1811">
        <v>1</v>
      </c>
    </row>
    <row r="18" spans="1:29" ht="15">
      <c r="A18" s="428"/>
      <c r="B18" s="1384" t="s">
        <v>2685</v>
      </c>
      <c r="C18" s="2606" t="str">
        <f>IF(B1="工业",估价对象房地状况!G6,估价对象房地状况!C8)</f>
        <v>六通</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220"/>
      <c r="Q18" s="1810" t="str">
        <f>B18</f>
        <v>基础设施水平</v>
      </c>
      <c r="R18" s="774" t="s">
        <v>17</v>
      </c>
      <c r="S18" s="775">
        <f>F18</f>
        <v>100</v>
      </c>
      <c r="T18" s="774" t="s">
        <v>17</v>
      </c>
      <c r="U18" s="775">
        <f>H18</f>
        <v>100</v>
      </c>
      <c r="V18" s="774" t="s">
        <v>17</v>
      </c>
      <c r="W18" s="775">
        <f>J18</f>
        <v>100</v>
      </c>
      <c r="X18" s="1813"/>
      <c r="Y18" s="3220"/>
      <c r="Z18" s="1814" t="str">
        <f>Q18</f>
        <v>基础设施水平</v>
      </c>
      <c r="AA18" s="1811">
        <f t="shared" ref="AA18" si="8">D18/F18</f>
        <v>1</v>
      </c>
      <c r="AB18" s="1811">
        <f t="shared" ref="AB18" si="9">D18/H18</f>
        <v>1</v>
      </c>
      <c r="AC18" s="1811">
        <f t="shared" ref="AC18" si="10">D18/J18</f>
        <v>1</v>
      </c>
    </row>
    <row r="19" spans="1:29" ht="15">
      <c r="A19" s="428"/>
      <c r="B19" s="1384"/>
      <c r="C19" s="2607"/>
      <c r="D19" s="450"/>
      <c r="E19" s="2607"/>
      <c r="F19" s="453"/>
      <c r="G19" s="2607"/>
      <c r="H19" s="448"/>
      <c r="I19" s="447"/>
      <c r="J19" s="448"/>
      <c r="K19" s="1383"/>
      <c r="L19" s="1140"/>
      <c r="M19" s="1131"/>
      <c r="N19" s="1131"/>
      <c r="O19" s="1139"/>
      <c r="P19" s="3220"/>
      <c r="Q19" s="1810"/>
      <c r="R19" s="774"/>
      <c r="S19" s="775"/>
      <c r="T19" s="774"/>
      <c r="U19" s="775"/>
      <c r="V19" s="774"/>
      <c r="W19" s="775"/>
      <c r="X19" s="1813"/>
      <c r="Y19" s="3220"/>
      <c r="Z19" s="1814"/>
      <c r="AA19" s="1811">
        <v>1</v>
      </c>
      <c r="AB19" s="1811">
        <v>1</v>
      </c>
      <c r="AC19" s="1811">
        <v>1</v>
      </c>
    </row>
    <row r="20" spans="1:29" ht="15">
      <c r="A20" s="428"/>
      <c r="B20" s="451" t="s">
        <v>2706</v>
      </c>
      <c r="C20" s="2606" t="str">
        <f>IF(B1="工业",估价对象房地状况!G7,估价对象房地状况!C9)</f>
        <v>较好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220"/>
      <c r="Q20" s="1810" t="str">
        <f>B20</f>
        <v>自然及人文环境</v>
      </c>
      <c r="R20" s="774" t="s">
        <v>17</v>
      </c>
      <c r="S20" s="775">
        <f>F20</f>
        <v>100</v>
      </c>
      <c r="T20" s="774" t="s">
        <v>17</v>
      </c>
      <c r="U20" s="775">
        <f>H20</f>
        <v>100</v>
      </c>
      <c r="V20" s="774" t="s">
        <v>17</v>
      </c>
      <c r="W20" s="775">
        <f>J20</f>
        <v>100</v>
      </c>
      <c r="X20" s="1813"/>
      <c r="Y20" s="3220"/>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220"/>
      <c r="Q21" s="1810"/>
      <c r="R21" s="774"/>
      <c r="S21" s="775"/>
      <c r="T21" s="774"/>
      <c r="U21" s="775"/>
      <c r="V21" s="774"/>
      <c r="W21" s="775"/>
      <c r="X21" s="1813"/>
      <c r="Y21" s="3220"/>
      <c r="Z21" s="1814"/>
      <c r="AA21" s="1811">
        <v>1</v>
      </c>
      <c r="AB21" s="1811">
        <v>1</v>
      </c>
      <c r="AC21" s="1811">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220"/>
      <c r="Q22" s="1810" t="str">
        <f>B22</f>
        <v>楼层</v>
      </c>
      <c r="R22" s="774" t="s">
        <v>17</v>
      </c>
      <c r="S22" s="775">
        <f>F22</f>
        <v>100</v>
      </c>
      <c r="T22" s="774" t="s">
        <v>17</v>
      </c>
      <c r="U22" s="775">
        <f>H22</f>
        <v>100</v>
      </c>
      <c r="V22" s="774" t="s">
        <v>17</v>
      </c>
      <c r="W22" s="775">
        <f>J22</f>
        <v>100</v>
      </c>
      <c r="X22" s="1813"/>
      <c r="Y22" s="3220"/>
      <c r="Z22" s="1814" t="str">
        <f>Q22</f>
        <v>楼层</v>
      </c>
      <c r="AA22" s="1811">
        <f t="shared" si="3"/>
        <v>1</v>
      </c>
      <c r="AB22" s="1811">
        <f t="shared" si="4"/>
        <v>1</v>
      </c>
      <c r="AC22" s="1811">
        <f t="shared" si="5"/>
        <v>1</v>
      </c>
    </row>
    <row r="23" spans="1:29" ht="15">
      <c r="A23" s="404"/>
      <c r="B23" s="2599">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220"/>
      <c r="Q23" s="1810">
        <f>B23</f>
        <v>111</v>
      </c>
      <c r="R23" s="774" t="s">
        <v>17</v>
      </c>
      <c r="S23" s="775">
        <f>F23</f>
        <v>100</v>
      </c>
      <c r="T23" s="774" t="s">
        <v>17</v>
      </c>
      <c r="U23" s="775">
        <f>H23</f>
        <v>100</v>
      </c>
      <c r="V23" s="774" t="s">
        <v>17</v>
      </c>
      <c r="W23" s="775">
        <f>J23</f>
        <v>100</v>
      </c>
      <c r="X23" s="1813"/>
      <c r="Y23" s="3220"/>
      <c r="Z23" s="1814">
        <f>Q23</f>
        <v>111</v>
      </c>
      <c r="AA23" s="1811">
        <f t="shared" si="3"/>
        <v>1</v>
      </c>
      <c r="AB23" s="1811">
        <f t="shared" si="4"/>
        <v>1</v>
      </c>
      <c r="AC23" s="1811">
        <f t="shared" si="5"/>
        <v>1</v>
      </c>
    </row>
    <row r="24" spans="1:29" ht="15">
      <c r="A24" s="428"/>
      <c r="B24" s="2599">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220"/>
      <c r="Q24" s="1810">
        <f t="shared" ref="Q24:Q34" si="11">B24</f>
        <v>111</v>
      </c>
      <c r="R24" s="774" t="s">
        <v>17</v>
      </c>
      <c r="S24" s="775">
        <f>F24</f>
        <v>100</v>
      </c>
      <c r="T24" s="774" t="s">
        <v>17</v>
      </c>
      <c r="U24" s="775">
        <f>H24</f>
        <v>100</v>
      </c>
      <c r="V24" s="774" t="s">
        <v>17</v>
      </c>
      <c r="W24" s="775">
        <f>J24</f>
        <v>100</v>
      </c>
      <c r="X24" s="1813"/>
      <c r="Y24" s="3220"/>
      <c r="Z24" s="1814">
        <f>Q24</f>
        <v>111</v>
      </c>
      <c r="AA24" s="1811">
        <f t="shared" si="3"/>
        <v>1</v>
      </c>
      <c r="AB24" s="1811">
        <f t="shared" si="4"/>
        <v>1</v>
      </c>
      <c r="AC24" s="1811">
        <f t="shared" si="5"/>
        <v>1</v>
      </c>
    </row>
    <row r="25" spans="1:29" s="117" customFormat="1" ht="15.6" thickBot="1">
      <c r="A25" s="431"/>
      <c r="B25" s="2599">
        <v>111</v>
      </c>
      <c r="C25" s="2697"/>
      <c r="D25" s="665">
        <v>100</v>
      </c>
      <c r="E25" s="2697"/>
      <c r="F25" s="666">
        <f>SUMIF(75:75,E25,76:76)-SUMIF(75:75,C25,76:76)+100</f>
        <v>100</v>
      </c>
      <c r="G25" s="2697"/>
      <c r="H25" s="665">
        <f>SUMIF(75:75,G25,76:76)-SUMIF(75:75,C25,76:76)+100</f>
        <v>100</v>
      </c>
      <c r="I25" s="2697"/>
      <c r="J25" s="665">
        <f>SUMIF(75:75,I25,76:76)-SUMIF(75:75,C25,76:76)+100</f>
        <v>100</v>
      </c>
      <c r="K25" s="613"/>
      <c r="L25" s="1132"/>
      <c r="M25" s="1133"/>
      <c r="N25" s="1133"/>
      <c r="O25" s="1134"/>
      <c r="P25" s="3220"/>
      <c r="Q25" s="1795">
        <f t="shared" si="11"/>
        <v>111</v>
      </c>
      <c r="R25" s="770" t="s">
        <v>17</v>
      </c>
      <c r="S25" s="771">
        <f>F25</f>
        <v>100</v>
      </c>
      <c r="T25" s="770" t="s">
        <v>17</v>
      </c>
      <c r="U25" s="771">
        <f>H25</f>
        <v>100</v>
      </c>
      <c r="V25" s="770" t="s">
        <v>17</v>
      </c>
      <c r="W25" s="771">
        <f>J25</f>
        <v>100</v>
      </c>
      <c r="X25" s="772"/>
      <c r="Y25" s="3220"/>
      <c r="Z25" s="55">
        <f>Q25</f>
        <v>111</v>
      </c>
      <c r="AA25" s="1811">
        <f>D25/F25</f>
        <v>1</v>
      </c>
      <c r="AB25" s="1811">
        <f>D25/H25</f>
        <v>1</v>
      </c>
      <c r="AC25" s="1811">
        <f>D25/J25</f>
        <v>1</v>
      </c>
    </row>
    <row r="26" spans="1:29" ht="30">
      <c r="A26" s="466" t="s">
        <v>2559</v>
      </c>
      <c r="B26" s="71" t="s">
        <v>2710</v>
      </c>
      <c r="C26" s="2678"/>
      <c r="D26" s="467">
        <v>100</v>
      </c>
      <c r="E26" s="2678"/>
      <c r="F26" s="667">
        <f>SUMIF(77:77,E26,78:78)-SUMIF(77:77,C26,78:78)+100</f>
        <v>100</v>
      </c>
      <c r="G26" s="2678"/>
      <c r="H26" s="467">
        <f>SUMIF(77:77,G26,78:78)-SUMIF(77:77,C26,78:78)+100</f>
        <v>100</v>
      </c>
      <c r="I26" s="2678"/>
      <c r="J26" s="467">
        <f>SUMIF(77:77,I26,78:78)-SUMIF(77:77,C26,78:78)+100</f>
        <v>100</v>
      </c>
      <c r="K26" s="612"/>
      <c r="L26" s="1140"/>
      <c r="M26" s="1131"/>
      <c r="N26" s="1131"/>
      <c r="O26" s="1139"/>
      <c r="P26" s="3243" t="s">
        <v>2561</v>
      </c>
      <c r="Q26" s="1810" t="str">
        <f t="shared" si="11"/>
        <v>公共部分装修</v>
      </c>
      <c r="R26" s="774" t="s">
        <v>17</v>
      </c>
      <c r="S26" s="775">
        <f t="shared" ref="S26:S34" si="12">F26</f>
        <v>100</v>
      </c>
      <c r="T26" s="774" t="s">
        <v>17</v>
      </c>
      <c r="U26" s="775">
        <f t="shared" ref="U26:U34" si="13">H26</f>
        <v>100</v>
      </c>
      <c r="V26" s="774" t="s">
        <v>17</v>
      </c>
      <c r="W26" s="775">
        <f t="shared" ref="W26:W34" si="14">J26</f>
        <v>100</v>
      </c>
      <c r="X26" s="1813"/>
      <c r="Y26" s="3224" t="s">
        <v>2561</v>
      </c>
      <c r="Z26" s="1814" t="str">
        <f t="shared" ref="Z26:Z34" si="15">Q26</f>
        <v>公共部分装修</v>
      </c>
      <c r="AA26" s="1811">
        <f t="shared" si="3"/>
        <v>1</v>
      </c>
      <c r="AB26" s="1811">
        <f t="shared" si="4"/>
        <v>1</v>
      </c>
      <c r="AC26" s="1811">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224"/>
      <c r="Q27" s="776" t="str">
        <f t="shared" si="11"/>
        <v>成新率</v>
      </c>
      <c r="R27" s="777" t="s">
        <v>17</v>
      </c>
      <c r="S27" s="778" t="e">
        <f t="shared" si="12"/>
        <v>#N/A</v>
      </c>
      <c r="T27" s="777" t="s">
        <v>17</v>
      </c>
      <c r="U27" s="778" t="e">
        <f t="shared" si="13"/>
        <v>#N/A</v>
      </c>
      <c r="V27" s="777" t="s">
        <v>17</v>
      </c>
      <c r="W27" s="778" t="e">
        <f t="shared" si="14"/>
        <v>#N/A</v>
      </c>
      <c r="X27" s="779"/>
      <c r="Y27" s="3224"/>
      <c r="Z27" s="780" t="str">
        <f t="shared" si="15"/>
        <v>成新率</v>
      </c>
      <c r="AA27" s="1811" t="e">
        <f t="shared" si="3"/>
        <v>#N/A</v>
      </c>
      <c r="AB27" s="1811" t="e">
        <f t="shared" si="4"/>
        <v>#N/A</v>
      </c>
      <c r="AC27" s="1811"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224"/>
      <c r="Q28" s="1810" t="str">
        <f t="shared" si="11"/>
        <v>物业等级</v>
      </c>
      <c r="R28" s="774" t="s">
        <v>17</v>
      </c>
      <c r="S28" s="775">
        <f t="shared" si="12"/>
        <v>100</v>
      </c>
      <c r="T28" s="774" t="s">
        <v>17</v>
      </c>
      <c r="U28" s="775">
        <f t="shared" si="13"/>
        <v>100</v>
      </c>
      <c r="V28" s="774" t="s">
        <v>17</v>
      </c>
      <c r="W28" s="775">
        <f t="shared" si="14"/>
        <v>100</v>
      </c>
      <c r="X28" s="1813"/>
      <c r="Y28" s="3224"/>
      <c r="Z28" s="1814" t="str">
        <f t="shared" si="15"/>
        <v>物业等级</v>
      </c>
      <c r="AA28" s="1811">
        <f t="shared" si="3"/>
        <v>1</v>
      </c>
      <c r="AB28" s="1811">
        <f t="shared" si="4"/>
        <v>1</v>
      </c>
      <c r="AC28" s="1811">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224"/>
      <c r="Q29" s="1810" t="str">
        <f t="shared" si="11"/>
        <v>有无电梯</v>
      </c>
      <c r="R29" s="774" t="s">
        <v>17</v>
      </c>
      <c r="S29" s="775">
        <f t="shared" si="12"/>
        <v>100</v>
      </c>
      <c r="T29" s="774" t="s">
        <v>17</v>
      </c>
      <c r="U29" s="775">
        <f t="shared" si="13"/>
        <v>100</v>
      </c>
      <c r="V29" s="774" t="s">
        <v>17</v>
      </c>
      <c r="W29" s="775">
        <f t="shared" si="14"/>
        <v>100</v>
      </c>
      <c r="X29" s="1813"/>
      <c r="Y29" s="3224"/>
      <c r="Z29" s="1814" t="str">
        <f t="shared" si="15"/>
        <v>有无电梯</v>
      </c>
      <c r="AA29" s="1811">
        <f t="shared" si="3"/>
        <v>1</v>
      </c>
      <c r="AB29" s="1811">
        <f t="shared" si="4"/>
        <v>1</v>
      </c>
      <c r="AC29" s="1811">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224"/>
      <c r="Q30" s="1810" t="str">
        <f t="shared" si="11"/>
        <v>建筑面积</v>
      </c>
      <c r="R30" s="774" t="s">
        <v>17</v>
      </c>
      <c r="S30" s="775" t="e">
        <f t="shared" si="12"/>
        <v>#N/A</v>
      </c>
      <c r="T30" s="774" t="s">
        <v>17</v>
      </c>
      <c r="U30" s="775" t="e">
        <f t="shared" si="13"/>
        <v>#N/A</v>
      </c>
      <c r="V30" s="774" t="s">
        <v>17</v>
      </c>
      <c r="W30" s="775" t="e">
        <f t="shared" si="14"/>
        <v>#N/A</v>
      </c>
      <c r="X30" s="1813"/>
      <c r="Y30" s="3224"/>
      <c r="Z30" s="1814" t="str">
        <f t="shared" si="15"/>
        <v>建筑面积</v>
      </c>
      <c r="AA30" s="1811" t="e">
        <f t="shared" si="3"/>
        <v>#N/A</v>
      </c>
      <c r="AB30" s="1811" t="e">
        <f t="shared" si="4"/>
        <v>#N/A</v>
      </c>
      <c r="AC30" s="1811"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224"/>
      <c r="Q31" s="1795" t="str">
        <f t="shared" si="11"/>
        <v>是否封闭</v>
      </c>
      <c r="R31" s="770" t="s">
        <v>17</v>
      </c>
      <c r="S31" s="771">
        <f t="shared" si="12"/>
        <v>100</v>
      </c>
      <c r="T31" s="770" t="s">
        <v>17</v>
      </c>
      <c r="U31" s="771">
        <f t="shared" si="13"/>
        <v>100</v>
      </c>
      <c r="V31" s="770" t="s">
        <v>17</v>
      </c>
      <c r="W31" s="771">
        <f t="shared" si="14"/>
        <v>100</v>
      </c>
      <c r="X31" s="772"/>
      <c r="Y31" s="3224"/>
      <c r="Z31" s="55" t="str">
        <f t="shared" si="15"/>
        <v>是否封闭</v>
      </c>
      <c r="AA31" s="773">
        <f t="shared" si="3"/>
        <v>1</v>
      </c>
      <c r="AB31" s="773">
        <f t="shared" si="4"/>
        <v>1</v>
      </c>
      <c r="AC31" s="773">
        <f t="shared" si="5"/>
        <v>1</v>
      </c>
    </row>
    <row r="32" spans="1:29" ht="15">
      <c r="A32" s="472"/>
      <c r="B32" s="2599">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224" t="s">
        <v>2561</v>
      </c>
      <c r="Q32" s="1810">
        <f t="shared" si="11"/>
        <v>111</v>
      </c>
      <c r="R32" s="774" t="s">
        <v>17</v>
      </c>
      <c r="S32" s="775">
        <f t="shared" si="12"/>
        <v>100</v>
      </c>
      <c r="T32" s="774" t="s">
        <v>17</v>
      </c>
      <c r="U32" s="775">
        <f t="shared" si="13"/>
        <v>100</v>
      </c>
      <c r="V32" s="774" t="s">
        <v>17</v>
      </c>
      <c r="W32" s="775">
        <f t="shared" si="14"/>
        <v>100</v>
      </c>
      <c r="X32" s="1813"/>
      <c r="Y32" s="3224" t="s">
        <v>2561</v>
      </c>
      <c r="Z32" s="1814">
        <f t="shared" si="15"/>
        <v>111</v>
      </c>
      <c r="AA32" s="1811">
        <f t="shared" si="3"/>
        <v>1</v>
      </c>
      <c r="AB32" s="1811">
        <f t="shared" si="4"/>
        <v>1</v>
      </c>
      <c r="AC32" s="1811">
        <f t="shared" si="5"/>
        <v>1</v>
      </c>
    </row>
    <row r="33" spans="1:29" ht="15">
      <c r="A33" s="472"/>
      <c r="B33" s="2599">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224"/>
      <c r="Q33" s="1810">
        <f t="shared" si="11"/>
        <v>111</v>
      </c>
      <c r="R33" s="774" t="s">
        <v>17</v>
      </c>
      <c r="S33" s="775">
        <f t="shared" si="12"/>
        <v>100</v>
      </c>
      <c r="T33" s="774" t="s">
        <v>17</v>
      </c>
      <c r="U33" s="775">
        <f t="shared" si="13"/>
        <v>100</v>
      </c>
      <c r="V33" s="774" t="s">
        <v>17</v>
      </c>
      <c r="W33" s="775">
        <f t="shared" si="14"/>
        <v>100</v>
      </c>
      <c r="X33" s="1813"/>
      <c r="Y33" s="3224"/>
      <c r="Z33" s="1814">
        <f t="shared" si="15"/>
        <v>111</v>
      </c>
      <c r="AA33" s="1811">
        <f t="shared" si="3"/>
        <v>1</v>
      </c>
      <c r="AB33" s="1811">
        <f t="shared" si="4"/>
        <v>1</v>
      </c>
      <c r="AC33" s="1811">
        <f t="shared" si="5"/>
        <v>1</v>
      </c>
    </row>
    <row r="34" spans="1:29" ht="15.6" thickBot="1">
      <c r="A34" s="478"/>
      <c r="B34" s="2601">
        <v>111</v>
      </c>
      <c r="C34" s="437"/>
      <c r="D34" s="438">
        <v>100</v>
      </c>
      <c r="E34" s="2696"/>
      <c r="F34" s="439">
        <f>SUMIF(95:95,E34,96:96)-SUMIF(95:95,C34,96:96)+100</f>
        <v>100</v>
      </c>
      <c r="G34" s="2696"/>
      <c r="H34" s="438">
        <f>SUMIF(95:95,G34,96:96)-SUMIF(95:95,C34,96:96)+100</f>
        <v>100</v>
      </c>
      <c r="I34" s="2696"/>
      <c r="J34" s="438">
        <f>SUMIF(95:95,I34,96:96)-SUMIF(95:95,C34,96:96)+100</f>
        <v>100</v>
      </c>
      <c r="K34" s="613"/>
      <c r="L34" s="1140"/>
      <c r="M34" s="1131"/>
      <c r="N34" s="1131"/>
      <c r="O34" s="1139"/>
      <c r="P34" s="3224"/>
      <c r="Q34" s="1810">
        <f t="shared" si="11"/>
        <v>111</v>
      </c>
      <c r="R34" s="774" t="s">
        <v>17</v>
      </c>
      <c r="S34" s="775">
        <f t="shared" si="12"/>
        <v>100</v>
      </c>
      <c r="T34" s="774" t="s">
        <v>17</v>
      </c>
      <c r="U34" s="775">
        <f t="shared" si="13"/>
        <v>100</v>
      </c>
      <c r="V34" s="774" t="s">
        <v>17</v>
      </c>
      <c r="W34" s="775">
        <f t="shared" si="14"/>
        <v>100</v>
      </c>
      <c r="X34" s="1813"/>
      <c r="Y34" s="3224"/>
      <c r="Z34" s="1814">
        <f t="shared" si="15"/>
        <v>111</v>
      </c>
      <c r="AA34" s="1811">
        <f t="shared" si="3"/>
        <v>1</v>
      </c>
      <c r="AB34" s="1811">
        <f t="shared" si="4"/>
        <v>1</v>
      </c>
      <c r="AC34" s="1811">
        <f t="shared" si="5"/>
        <v>1</v>
      </c>
    </row>
    <row r="35" spans="1:29" ht="14.4">
      <c r="A35" s="479" t="s">
        <v>2573</v>
      </c>
      <c r="B35" s="480"/>
      <c r="C35" s="1407" t="s">
        <v>1</v>
      </c>
      <c r="D35" s="1408"/>
      <c r="E35" s="1409"/>
      <c r="F35" s="1410"/>
      <c r="G35" s="1411"/>
      <c r="H35" s="1412"/>
      <c r="I35" s="1409"/>
      <c r="J35" s="1412"/>
      <c r="K35" s="783"/>
      <c r="L35" s="1143"/>
      <c r="M35" s="1144"/>
      <c r="N35" s="1131"/>
      <c r="O35" s="1144"/>
      <c r="P35" s="3217" t="str">
        <f>A35</f>
        <v>成交单价（元/平方米）</v>
      </c>
      <c r="Q35" s="3217"/>
      <c r="R35" s="3218">
        <f>E35</f>
        <v>0</v>
      </c>
      <c r="S35" s="3218"/>
      <c r="T35" s="3218">
        <f>G35</f>
        <v>0</v>
      </c>
      <c r="U35" s="3218"/>
      <c r="V35" s="3218">
        <f>I35</f>
        <v>0</v>
      </c>
      <c r="W35" s="3218"/>
      <c r="X35" s="759"/>
      <c r="Y35" s="781"/>
      <c r="Z35" s="759"/>
      <c r="AA35" s="759"/>
      <c r="AB35" s="759"/>
      <c r="AC35" s="759"/>
    </row>
    <row r="36" spans="1:29" ht="15" thickBot="1">
      <c r="A36" s="486" t="s">
        <v>2665</v>
      </c>
      <c r="B36" s="487"/>
      <c r="C36" s="1413" t="e">
        <f>R37</f>
        <v>#DIV/0!</v>
      </c>
      <c r="D36" s="1414"/>
      <c r="E36" s="1415" t="e">
        <f>R36</f>
        <v>#DIV/0!</v>
      </c>
      <c r="F36" s="1415"/>
      <c r="G36" s="1413" t="e">
        <f>T36</f>
        <v>#DIV/0!</v>
      </c>
      <c r="H36" s="1414"/>
      <c r="I36" s="1415" t="e">
        <f>V36</f>
        <v>#DIV/0!</v>
      </c>
      <c r="J36" s="1414"/>
      <c r="K36" s="784"/>
      <c r="L36" s="1143"/>
      <c r="M36" s="1144"/>
      <c r="N36" s="1131"/>
      <c r="O36" s="1144"/>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 thickBot="1">
      <c r="A37" s="492" t="s">
        <v>2666</v>
      </c>
      <c r="B37" s="493"/>
      <c r="C37" s="1417" t="e">
        <f>R37</f>
        <v>#DIV/0!</v>
      </c>
      <c r="D37" s="1417"/>
      <c r="E37" s="1417"/>
      <c r="F37" s="1417"/>
      <c r="G37" s="1417"/>
      <c r="H37" s="1417"/>
      <c r="I37" s="1417"/>
      <c r="J37" s="1417"/>
      <c r="K37" s="785"/>
      <c r="L37" s="1143"/>
      <c r="M37" s="1144"/>
      <c r="N37" s="1144"/>
      <c r="O37" s="1144"/>
      <c r="P37" s="3214" t="str">
        <f>A37</f>
        <v>估价对象XX用房的比较价值（楼面单价，元/平方米）</v>
      </c>
      <c r="Q37" s="3215"/>
      <c r="R37" s="3216" t="e">
        <f>IF(F1="售价",ROUND(AVERAGE(R36:V36),0),ROUND(AVERAGE(R36:V36),1))</f>
        <v>#DIV/0!</v>
      </c>
      <c r="S37" s="3216"/>
      <c r="T37" s="3216"/>
      <c r="U37" s="3216"/>
      <c r="V37" s="3216"/>
      <c r="W37" s="3216"/>
      <c r="X37" s="759"/>
      <c r="Y37" s="759"/>
      <c r="Z37" s="759"/>
      <c r="AA37" s="759"/>
      <c r="AB37" s="759"/>
      <c r="AC37" s="759"/>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3" t="s">
        <v>2670</v>
      </c>
      <c r="B45" s="759"/>
      <c r="C45" s="764"/>
      <c r="D45" s="764"/>
      <c r="E45" s="764"/>
      <c r="F45" s="765"/>
      <c r="G45" s="765"/>
      <c r="H45" s="764"/>
      <c r="I45" s="764"/>
      <c r="J45" s="764"/>
      <c r="K45" s="766"/>
      <c r="L45" s="767"/>
      <c r="M45" s="764"/>
      <c r="N45" s="764"/>
      <c r="O45" s="764"/>
      <c r="P45" s="503"/>
      <c r="Q45" s="504"/>
    </row>
    <row r="46" spans="1:29" s="508" customFormat="1" ht="14.4">
      <c r="A46" s="505" t="s">
        <v>2544</v>
      </c>
      <c r="B46" s="506"/>
      <c r="C46" s="1574" t="str">
        <f>YEAR(C7)&amp;"-"&amp;MONTH(C7)</f>
        <v>2019-8</v>
      </c>
      <c r="D46" s="1575">
        <f>EDATE(C46,-1)</f>
        <v>43647</v>
      </c>
      <c r="E46" s="1575">
        <f t="shared" ref="E46:O46" si="16">EDATE(D46,-1)</f>
        <v>43617</v>
      </c>
      <c r="F46" s="1575">
        <f t="shared" si="16"/>
        <v>43586</v>
      </c>
      <c r="G46" s="1575">
        <f t="shared" si="16"/>
        <v>43556</v>
      </c>
      <c r="H46" s="1575">
        <f t="shared" si="16"/>
        <v>43525</v>
      </c>
      <c r="I46" s="1575">
        <f t="shared" si="16"/>
        <v>43497</v>
      </c>
      <c r="J46" s="1575">
        <f t="shared" si="16"/>
        <v>43466</v>
      </c>
      <c r="K46" s="1575">
        <f t="shared" si="16"/>
        <v>43435</v>
      </c>
      <c r="L46" s="1575">
        <f t="shared" si="16"/>
        <v>43405</v>
      </c>
      <c r="M46" s="1575">
        <f t="shared" si="16"/>
        <v>43374</v>
      </c>
      <c r="N46" s="1575">
        <f t="shared" si="16"/>
        <v>43344</v>
      </c>
      <c r="O46" s="1575">
        <f t="shared" si="16"/>
        <v>43313</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2581</v>
      </c>
      <c r="B48" s="516"/>
      <c r="C48" s="517"/>
      <c r="D48" s="518"/>
      <c r="E48" s="518"/>
      <c r="F48" s="518"/>
      <c r="G48" s="518"/>
      <c r="H48" s="518"/>
      <c r="I48" s="518"/>
      <c r="J48" s="518"/>
      <c r="K48" s="518"/>
      <c r="L48" s="518"/>
      <c r="M48" s="519"/>
      <c r="N48" s="518"/>
      <c r="O48" s="520"/>
      <c r="P48" s="504"/>
      <c r="Q48" s="504"/>
    </row>
    <row r="49" spans="1:17" s="117" customFormat="1" ht="14.4">
      <c r="A49" s="521" t="s">
        <v>2546</v>
      </c>
      <c r="B49" s="510"/>
      <c r="C49" s="522" t="s">
        <v>2648</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2584</v>
      </c>
      <c r="B51" s="528" t="s">
        <v>2550</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2553</v>
      </c>
      <c r="C53" s="539" t="s">
        <v>2585</v>
      </c>
      <c r="D53" s="539" t="s">
        <v>2586</v>
      </c>
      <c r="E53" s="539" t="s">
        <v>2587</v>
      </c>
      <c r="F53" s="539" t="s">
        <v>2588</v>
      </c>
      <c r="G53" s="539" t="s">
        <v>2589</v>
      </c>
      <c r="H53" s="539" t="s">
        <v>2590</v>
      </c>
      <c r="I53" s="539" t="s">
        <v>2591</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2736</v>
      </c>
      <c r="C63" s="578" t="s">
        <v>2593</v>
      </c>
      <c r="D63" s="578" t="s">
        <v>2594</v>
      </c>
      <c r="E63" s="578" t="s">
        <v>2595</v>
      </c>
      <c r="F63" s="578" t="s">
        <v>2596</v>
      </c>
      <c r="G63" s="578" t="s">
        <v>2597</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2685</v>
      </c>
      <c r="C65" s="660" t="s">
        <v>2671</v>
      </c>
      <c r="D65" s="660" t="s">
        <v>2672</v>
      </c>
      <c r="E65" s="660" t="s">
        <v>2673</v>
      </c>
      <c r="F65" s="660" t="s">
        <v>2674</v>
      </c>
      <c r="G65" s="660" t="s">
        <v>2675</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2605</v>
      </c>
      <c r="C67" s="578" t="s">
        <v>2593</v>
      </c>
      <c r="D67" s="578" t="s">
        <v>2594</v>
      </c>
      <c r="E67" s="578" t="s">
        <v>2595</v>
      </c>
      <c r="F67" s="578" t="s">
        <v>2596</v>
      </c>
      <c r="G67" s="578" t="s">
        <v>2597</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2725</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2559</v>
      </c>
      <c r="B77" s="528" t="s">
        <v>2612</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2729</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2737</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2739</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70" zoomScaleNormal="70" workbookViewId="0">
      <selection activeCell="H51" sqref="H51"/>
    </sheetView>
  </sheetViews>
  <sheetFormatPr defaultColWidth="9" defaultRowHeight="13.8"/>
  <cols>
    <col min="1" max="1" width="14.33203125" style="403" customWidth="1"/>
    <col min="2" max="2" width="15.77734375" style="403" customWidth="1"/>
    <col min="3" max="3" width="16.44140625" style="403" customWidth="1"/>
    <col min="4" max="4" width="14.109375" style="403" customWidth="1"/>
    <col min="5" max="5" width="16.109375" style="403" customWidth="1"/>
    <col min="6" max="6" width="12.21875" style="403" customWidth="1"/>
    <col min="7" max="7" width="17.77734375" style="403" customWidth="1"/>
    <col min="8" max="8" width="12.21875" style="403" customWidth="1"/>
    <col min="9" max="9" width="17.66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f>F66</f>
        <v>18176</v>
      </c>
      <c r="C2" s="1124"/>
      <c r="D2" s="1124"/>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c r="AD2" s="397"/>
    </row>
    <row r="3" spans="1:30" s="398" customFormat="1" ht="28.5" customHeight="1" thickBot="1">
      <c r="A3" s="247" t="s">
        <v>2325</v>
      </c>
      <c r="B3" s="609">
        <f>ROUND(IF(D3="",B2*10000/'数据-汇总表'!E3,B2*10000/D3),0)</f>
        <v>2375</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30"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183" t="s">
        <v>2644</v>
      </c>
      <c r="AC4" s="3182" t="s">
        <v>2645</v>
      </c>
    </row>
    <row r="5" spans="1:30">
      <c r="A5" s="404"/>
      <c r="B5" s="405"/>
      <c r="C5" s="3244" t="s">
        <v>3400</v>
      </c>
      <c r="D5" s="3194"/>
      <c r="E5" s="3191" t="str">
        <f>土地案例!$A$5</f>
        <v>黄岛区月牙河路北、蓝海湾路西</v>
      </c>
      <c r="F5" s="3192"/>
      <c r="G5" s="3193" t="str">
        <f>土地案例!$A$7</f>
        <v>黄岛区前湾港路北、创智路东</v>
      </c>
      <c r="H5" s="3194"/>
      <c r="I5" s="3193" t="str">
        <f>土地案例!$A$17</f>
        <v>黄岛区团结路南侧、山东省青岛市第九中学(新校区)西侧</v>
      </c>
      <c r="J5" s="3194"/>
      <c r="K5" s="610"/>
      <c r="L5" s="1130"/>
      <c r="M5" s="1131"/>
      <c r="N5" s="1131"/>
      <c r="O5" s="1131"/>
      <c r="P5" s="3206"/>
      <c r="Q5" s="3207"/>
      <c r="R5" s="3189"/>
      <c r="S5" s="3190"/>
      <c r="T5" s="3189"/>
      <c r="U5" s="3190"/>
      <c r="V5" s="3212"/>
      <c r="W5" s="3212"/>
      <c r="X5" s="1813"/>
      <c r="Y5" s="3189"/>
      <c r="Z5" s="3190"/>
      <c r="AA5" s="3183"/>
      <c r="AB5" s="3183"/>
      <c r="AC5" s="3183"/>
    </row>
    <row r="6" spans="1:30" ht="15" thickBot="1">
      <c r="A6" s="406"/>
      <c r="B6" s="407"/>
      <c r="C6" s="3245" t="s">
        <v>3401</v>
      </c>
      <c r="D6" s="3196"/>
      <c r="E6" s="3245" t="s">
        <v>3401</v>
      </c>
      <c r="F6" s="3196"/>
      <c r="G6" s="3245" t="s">
        <v>3401</v>
      </c>
      <c r="H6" s="3196"/>
      <c r="I6" s="3245" t="s">
        <v>3401</v>
      </c>
      <c r="J6" s="3196"/>
      <c r="K6" s="610" t="s">
        <v>2543</v>
      </c>
      <c r="L6" s="1130"/>
      <c r="M6" s="1131"/>
      <c r="N6" s="1131"/>
      <c r="O6" s="1131"/>
      <c r="P6" s="3208"/>
      <c r="Q6" s="3209"/>
      <c r="R6" s="3189"/>
      <c r="S6" s="3190"/>
      <c r="T6" s="3210"/>
      <c r="U6" s="3211"/>
      <c r="V6" s="3212"/>
      <c r="W6" s="3212"/>
      <c r="X6" s="1813"/>
      <c r="Y6" s="3210"/>
      <c r="Z6" s="3211"/>
      <c r="AA6" s="3184"/>
      <c r="AB6" s="3184"/>
      <c r="AC6" s="3184"/>
    </row>
    <row r="7" spans="1:30" s="117" customFormat="1" ht="15" thickBot="1">
      <c r="A7" s="408" t="s">
        <v>2544</v>
      </c>
      <c r="B7" s="409"/>
      <c r="C7" s="410">
        <f>'数据-取费表'!B2</f>
        <v>43692</v>
      </c>
      <c r="D7" s="411">
        <v>100</v>
      </c>
      <c r="E7" s="412" t="str">
        <f>土地案例!$AA$5</f>
        <v>2019-06-13</v>
      </c>
      <c r="F7" s="413">
        <f>SUMIF(70:70,YEAR(E7)&amp;"-"&amp;INT((MONTH(E7)+2)/3),71:71)</f>
        <v>98</v>
      </c>
      <c r="G7" s="2695" t="str">
        <f>土地案例!$AA$7</f>
        <v>2019-05-07</v>
      </c>
      <c r="H7" s="411">
        <f>SUMIF(70:70,YEAR(G7)&amp;"-"&amp;INT((MONTH(G7)+2)/3),71:71)</f>
        <v>98</v>
      </c>
      <c r="I7" s="2695" t="str">
        <f>土地案例!$AA$17</f>
        <v>2018-11-21</v>
      </c>
      <c r="J7" s="411">
        <f>SUMIF(70:70,YEAR(I7)&amp;"-"&amp;INT((MONTH(I7)+2)/3),71:71)</f>
        <v>96</v>
      </c>
      <c r="K7" s="611"/>
      <c r="L7" s="1132"/>
      <c r="M7" s="1133"/>
      <c r="N7" s="1133"/>
      <c r="O7" s="1133"/>
      <c r="P7" s="3185" t="s">
        <v>2545</v>
      </c>
      <c r="Q7" s="3213"/>
      <c r="R7" s="770" t="s">
        <v>17</v>
      </c>
      <c r="S7" s="771">
        <f t="shared" ref="S7:S15" si="0">F7</f>
        <v>98</v>
      </c>
      <c r="T7" s="770" t="s">
        <v>17</v>
      </c>
      <c r="U7" s="771">
        <f t="shared" ref="U7:U15" si="1">H7</f>
        <v>98</v>
      </c>
      <c r="V7" s="770" t="s">
        <v>17</v>
      </c>
      <c r="W7" s="771">
        <f t="shared" ref="W7:W15" si="2">J7</f>
        <v>96</v>
      </c>
      <c r="X7" s="772"/>
      <c r="Y7" s="3185" t="s">
        <v>2545</v>
      </c>
      <c r="Z7" s="3186"/>
      <c r="AA7" s="773">
        <f>D7/F7</f>
        <v>1.0204081632653061</v>
      </c>
      <c r="AB7" s="773">
        <f>D7/H7</f>
        <v>1.0204081632653061</v>
      </c>
      <c r="AC7" s="773">
        <f>D7/J7</f>
        <v>1.0416666666666667</v>
      </c>
    </row>
    <row r="8" spans="1:30" s="117" customFormat="1" ht="15" thickBot="1">
      <c r="A8" s="408" t="s">
        <v>2546</v>
      </c>
      <c r="B8" s="409"/>
      <c r="C8" s="414" t="s">
        <v>2547</v>
      </c>
      <c r="D8" s="411">
        <v>100</v>
      </c>
      <c r="E8" s="414" t="s">
        <v>2547</v>
      </c>
      <c r="F8" s="413">
        <f>SUMIF(73:73,E8,74:74)-SUMIF(73:73,C8,74:74)+100</f>
        <v>100</v>
      </c>
      <c r="G8" s="414" t="s">
        <v>2547</v>
      </c>
      <c r="H8" s="411">
        <f>SUMIF(73:73,G8,74:74)-SUMIF(73:73,C8,74:74)+100</f>
        <v>100</v>
      </c>
      <c r="I8" s="414" t="s">
        <v>2547</v>
      </c>
      <c r="J8" s="411">
        <f>SUMIF(73:73,I8,74:74)-SUMIF(73:73,C8,74:74)+100</f>
        <v>100</v>
      </c>
      <c r="K8" s="611"/>
      <c r="L8" s="1132"/>
      <c r="M8" s="1133"/>
      <c r="N8" s="1133"/>
      <c r="O8" s="1133"/>
      <c r="P8" s="3185" t="s">
        <v>2548</v>
      </c>
      <c r="Q8" s="3186"/>
      <c r="R8" s="770" t="s">
        <v>17</v>
      </c>
      <c r="S8" s="771">
        <f t="shared" si="0"/>
        <v>100</v>
      </c>
      <c r="T8" s="770" t="s">
        <v>17</v>
      </c>
      <c r="U8" s="771">
        <f t="shared" si="1"/>
        <v>100</v>
      </c>
      <c r="V8" s="770" t="s">
        <v>17</v>
      </c>
      <c r="W8" s="771">
        <f t="shared" si="2"/>
        <v>100</v>
      </c>
      <c r="X8" s="772"/>
      <c r="Y8" s="3185" t="s">
        <v>2548</v>
      </c>
      <c r="Z8" s="3186"/>
      <c r="AA8" s="773">
        <f t="shared" ref="AA8:AA45" si="3">D8/F8</f>
        <v>1</v>
      </c>
      <c r="AB8" s="773">
        <f t="shared" ref="AB8:AB45" si="4">D8/H8</f>
        <v>1</v>
      </c>
      <c r="AC8" s="773">
        <f t="shared" ref="AC8:AC45" si="5">D8/J8</f>
        <v>1</v>
      </c>
    </row>
    <row r="9" spans="1:30" s="117" customFormat="1" ht="14.4">
      <c r="A9" s="415" t="s">
        <v>2549</v>
      </c>
      <c r="B9" s="71" t="s">
        <v>2550</v>
      </c>
      <c r="C9" s="2698" t="s">
        <v>1373</v>
      </c>
      <c r="D9" s="135">
        <v>100</v>
      </c>
      <c r="E9" s="2698" t="s">
        <v>1373</v>
      </c>
      <c r="F9" s="135">
        <f>SUMIF(75:75,E9,76:76)-SUMIF(75:75,C9,76:76)+100</f>
        <v>100</v>
      </c>
      <c r="G9" s="2698" t="s">
        <v>1373</v>
      </c>
      <c r="H9" s="135">
        <f>SUMIF(75:75,G9,76:76)-SUMIF(75:75,C9,76:76)+100</f>
        <v>100</v>
      </c>
      <c r="I9" s="2698" t="s">
        <v>1373</v>
      </c>
      <c r="J9" s="135">
        <f>SUMIF(75:75,I9,76:76)-SUMIF(75:75,C9,76:76)+100</f>
        <v>100</v>
      </c>
      <c r="K9" s="611"/>
      <c r="L9" s="1132"/>
      <c r="M9" s="1133"/>
      <c r="N9" s="1133"/>
      <c r="O9" s="1134"/>
      <c r="P9" s="3217"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30" s="427" customFormat="1" ht="28.8">
      <c r="A10" s="421"/>
      <c r="B10" s="422" t="s">
        <v>2553</v>
      </c>
      <c r="C10" s="432"/>
      <c r="D10" s="136">
        <v>100</v>
      </c>
      <c r="E10" s="465"/>
      <c r="F10" s="136">
        <f>ROUND(100/'数据-取费表'!G16,0)</f>
        <v>106</v>
      </c>
      <c r="G10" s="463"/>
      <c r="H10" s="136">
        <f>ROUND(100/'数据-取费表'!G16,0)</f>
        <v>106</v>
      </c>
      <c r="I10" s="463"/>
      <c r="J10" s="136">
        <f>ROUND(100/'数据-取费表'!G16,0)</f>
        <v>106</v>
      </c>
      <c r="K10" s="672"/>
      <c r="L10" s="1135"/>
      <c r="M10" s="1136"/>
      <c r="N10" s="1136"/>
      <c r="O10" s="1137"/>
      <c r="P10" s="3217"/>
      <c r="Q10" s="1795" t="str">
        <f t="shared" si="6"/>
        <v>土地使用年限（年）</v>
      </c>
      <c r="R10" s="770" t="s">
        <v>17</v>
      </c>
      <c r="S10" s="771">
        <f t="shared" si="0"/>
        <v>106</v>
      </c>
      <c r="T10" s="770" t="s">
        <v>17</v>
      </c>
      <c r="U10" s="771">
        <f t="shared" si="1"/>
        <v>106</v>
      </c>
      <c r="V10" s="770" t="s">
        <v>17</v>
      </c>
      <c r="W10" s="771">
        <f t="shared" si="2"/>
        <v>106</v>
      </c>
      <c r="X10" s="772"/>
      <c r="Y10" s="3032"/>
      <c r="Z10" s="55" t="str">
        <f t="shared" si="7"/>
        <v>土地使用年限（年）</v>
      </c>
      <c r="AA10" s="773">
        <f t="shared" si="3"/>
        <v>0.94339622641509435</v>
      </c>
      <c r="AB10" s="773">
        <f t="shared" si="4"/>
        <v>0.94339622641509435</v>
      </c>
      <c r="AC10" s="773">
        <f t="shared" si="5"/>
        <v>0.94339622641509435</v>
      </c>
    </row>
    <row r="11" spans="1:30" ht="15">
      <c r="A11" s="428"/>
      <c r="B11" s="422" t="s">
        <v>2554</v>
      </c>
      <c r="C11" s="429">
        <v>1</v>
      </c>
      <c r="D11" s="136">
        <v>100</v>
      </c>
      <c r="E11" s="429">
        <v>1</v>
      </c>
      <c r="F11" s="136">
        <f>LOOKUP(E11,80:80,81:81)-LOOKUP(C11,80:80,81:81)+100</f>
        <v>100</v>
      </c>
      <c r="G11" s="430">
        <v>1</v>
      </c>
      <c r="H11" s="136">
        <f>LOOKUP(G11,80:80,81:81)-LOOKUP(C11,80:80,81:81)+100</f>
        <v>100</v>
      </c>
      <c r="I11" s="429">
        <v>1</v>
      </c>
      <c r="J11" s="136">
        <f>LOOKUP(I11,80:80,81:81)-LOOKUP(C11,80:80,81:81)+100</f>
        <v>100</v>
      </c>
      <c r="K11" s="673">
        <v>2</v>
      </c>
      <c r="L11" s="1138"/>
      <c r="M11" s="1131"/>
      <c r="N11" s="1131"/>
      <c r="O11" s="1139"/>
      <c r="P11" s="3217"/>
      <c r="Q11" s="1795" t="str">
        <f t="shared" si="6"/>
        <v>容积率</v>
      </c>
      <c r="R11" s="770" t="s">
        <v>17</v>
      </c>
      <c r="S11" s="771">
        <f t="shared" si="0"/>
        <v>100</v>
      </c>
      <c r="T11" s="770" t="s">
        <v>17</v>
      </c>
      <c r="U11" s="771">
        <f t="shared" si="1"/>
        <v>100</v>
      </c>
      <c r="V11" s="770" t="s">
        <v>17</v>
      </c>
      <c r="W11" s="771">
        <f t="shared" si="2"/>
        <v>100</v>
      </c>
      <c r="X11" s="772"/>
      <c r="Y11" s="3032"/>
      <c r="Z11" s="55" t="str">
        <f t="shared" si="7"/>
        <v>容积率</v>
      </c>
      <c r="AA11" s="773">
        <f t="shared" si="3"/>
        <v>1</v>
      </c>
      <c r="AB11" s="773">
        <f t="shared" si="4"/>
        <v>1</v>
      </c>
      <c r="AC11" s="773">
        <f t="shared" si="5"/>
        <v>1</v>
      </c>
    </row>
    <row r="12" spans="1:30" s="117" customFormat="1" ht="15" hidden="1">
      <c r="A12" s="431"/>
      <c r="B12" s="2599" t="s">
        <v>2743</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217"/>
      <c r="Q12" s="1795" t="str">
        <f t="shared" si="6"/>
        <v>配建</v>
      </c>
      <c r="R12" s="770" t="s">
        <v>17</v>
      </c>
      <c r="S12" s="771">
        <f t="shared" si="0"/>
        <v>100</v>
      </c>
      <c r="T12" s="770" t="s">
        <v>17</v>
      </c>
      <c r="U12" s="771">
        <f t="shared" si="1"/>
        <v>100</v>
      </c>
      <c r="V12" s="770" t="s">
        <v>17</v>
      </c>
      <c r="W12" s="771">
        <f t="shared" si="2"/>
        <v>100</v>
      </c>
      <c r="X12" s="772"/>
      <c r="Y12" s="3032"/>
      <c r="Z12" s="55" t="str">
        <f t="shared" si="7"/>
        <v>配建</v>
      </c>
      <c r="AA12" s="773">
        <f>D12/F12</f>
        <v>1</v>
      </c>
      <c r="AB12" s="773">
        <f>D12/H12</f>
        <v>1</v>
      </c>
      <c r="AC12" s="773">
        <f>D12/J12</f>
        <v>1</v>
      </c>
    </row>
    <row r="13" spans="1:30" ht="15" hidden="1">
      <c r="A13" s="428"/>
      <c r="B13" s="2599">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217"/>
      <c r="Q13" s="1795">
        <f t="shared" si="6"/>
        <v>111</v>
      </c>
      <c r="R13" s="770" t="s">
        <v>17</v>
      </c>
      <c r="S13" s="771">
        <f t="shared" si="0"/>
        <v>100</v>
      </c>
      <c r="T13" s="770" t="s">
        <v>17</v>
      </c>
      <c r="U13" s="771">
        <f t="shared" si="1"/>
        <v>100</v>
      </c>
      <c r="V13" s="770" t="s">
        <v>17</v>
      </c>
      <c r="W13" s="771">
        <f t="shared" si="2"/>
        <v>100</v>
      </c>
      <c r="X13" s="772"/>
      <c r="Y13" s="3032"/>
      <c r="Z13" s="55">
        <f t="shared" si="7"/>
        <v>111</v>
      </c>
      <c r="AA13" s="773">
        <f>D13/F13</f>
        <v>1</v>
      </c>
      <c r="AB13" s="773">
        <f>D13/H13</f>
        <v>1</v>
      </c>
      <c r="AC13" s="773">
        <f>D13/J13</f>
        <v>1</v>
      </c>
    </row>
    <row r="14" spans="1:30" ht="15.6" hidden="1" thickBot="1">
      <c r="A14" s="436"/>
      <c r="B14" s="2601">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217"/>
      <c r="Q14" s="1795">
        <f t="shared" si="6"/>
        <v>111</v>
      </c>
      <c r="R14" s="770" t="s">
        <v>17</v>
      </c>
      <c r="S14" s="771">
        <f t="shared" si="0"/>
        <v>100</v>
      </c>
      <c r="T14" s="770" t="s">
        <v>17</v>
      </c>
      <c r="U14" s="771">
        <f t="shared" si="1"/>
        <v>100</v>
      </c>
      <c r="V14" s="770" t="s">
        <v>17</v>
      </c>
      <c r="W14" s="771">
        <f t="shared" si="2"/>
        <v>100</v>
      </c>
      <c r="X14" s="772"/>
      <c r="Y14" s="3032"/>
      <c r="Z14" s="55">
        <f t="shared" si="7"/>
        <v>111</v>
      </c>
      <c r="AA14" s="773">
        <f>D14/F14</f>
        <v>1</v>
      </c>
      <c r="AB14" s="773">
        <f>D14/H14</f>
        <v>1</v>
      </c>
      <c r="AC14" s="773">
        <f>D14/J14</f>
        <v>1</v>
      </c>
    </row>
    <row r="15" spans="1:30" ht="15" hidden="1">
      <c r="A15" s="440" t="s">
        <v>2555</v>
      </c>
      <c r="B15" s="69" t="s">
        <v>2084</v>
      </c>
      <c r="C15" s="2602" t="str">
        <f>估价对象房地状况!C15</f>
        <v>较好</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219" t="s">
        <v>2556</v>
      </c>
      <c r="Q15" s="1810" t="str">
        <f t="shared" si="6"/>
        <v>居住社区成熟度</v>
      </c>
      <c r="R15" s="774" t="s">
        <v>17</v>
      </c>
      <c r="S15" s="775">
        <f t="shared" si="0"/>
        <v>100</v>
      </c>
      <c r="T15" s="774" t="s">
        <v>17</v>
      </c>
      <c r="U15" s="775">
        <f t="shared" si="1"/>
        <v>100</v>
      </c>
      <c r="V15" s="774" t="s">
        <v>17</v>
      </c>
      <c r="W15" s="775">
        <f t="shared" si="2"/>
        <v>100</v>
      </c>
      <c r="X15" s="1813"/>
      <c r="Y15" s="3219" t="s">
        <v>2556</v>
      </c>
      <c r="Z15" s="1814" t="str">
        <f t="shared" si="7"/>
        <v>居住社区成熟度</v>
      </c>
      <c r="AA15" s="1811">
        <f t="shared" si="3"/>
        <v>1</v>
      </c>
      <c r="AB15" s="1811">
        <f t="shared" si="4"/>
        <v>1</v>
      </c>
      <c r="AC15" s="1811">
        <f t="shared" si="5"/>
        <v>1</v>
      </c>
    </row>
    <row r="16" spans="1:30" ht="15" hidden="1">
      <c r="A16" s="428"/>
      <c r="B16" s="446"/>
      <c r="C16" s="447"/>
      <c r="D16" s="448"/>
      <c r="E16" s="2604"/>
      <c r="F16" s="448"/>
      <c r="G16" s="2604"/>
      <c r="H16" s="450"/>
      <c r="I16" s="2603"/>
      <c r="J16" s="448"/>
      <c r="K16" s="672"/>
      <c r="L16" s="1140"/>
      <c r="M16" s="1131"/>
      <c r="N16" s="1131"/>
      <c r="O16" s="1139"/>
      <c r="P16" s="3220"/>
      <c r="Q16" s="1810"/>
      <c r="R16" s="774"/>
      <c r="S16" s="775"/>
      <c r="T16" s="774"/>
      <c r="U16" s="775"/>
      <c r="V16" s="774"/>
      <c r="W16" s="775"/>
      <c r="X16" s="1813"/>
      <c r="Y16" s="3220"/>
      <c r="Z16" s="1814"/>
      <c r="AA16" s="1811">
        <v>1</v>
      </c>
      <c r="AB16" s="1811">
        <v>1</v>
      </c>
      <c r="AC16" s="1811">
        <v>1</v>
      </c>
    </row>
    <row r="17" spans="1:29" ht="15">
      <c r="A17" s="428"/>
      <c r="B17" s="451" t="s">
        <v>2649</v>
      </c>
      <c r="C17" s="2663" t="str">
        <f>估价对象房地状况!C16</f>
        <v>较好</v>
      </c>
      <c r="D17" s="450">
        <v>100</v>
      </c>
      <c r="E17" s="452"/>
      <c r="F17" s="450">
        <f>SUMIF(90:90,E18,91:91)-SUMIF(90:90,C18,91:91)+100</f>
        <v>100</v>
      </c>
      <c r="G17" s="452"/>
      <c r="H17" s="455">
        <f>SUMIF(90:90,G18,91:91)-SUMIF(90:90,C18,91:91)+100</f>
        <v>100</v>
      </c>
      <c r="I17" s="454"/>
      <c r="J17" s="455">
        <f>SUMIF(90:90,I18,91:91)-SUMIF(90:90,C18,91:91)+100</f>
        <v>100</v>
      </c>
      <c r="K17" s="673">
        <v>5</v>
      </c>
      <c r="L17" s="1140"/>
      <c r="M17" s="1131"/>
      <c r="N17" s="1131"/>
      <c r="O17" s="1139"/>
      <c r="P17" s="3220"/>
      <c r="Q17" s="1810" t="str">
        <f>B17</f>
        <v>商业繁华度</v>
      </c>
      <c r="R17" s="774" t="s">
        <v>17</v>
      </c>
      <c r="S17" s="775">
        <f>F17</f>
        <v>100</v>
      </c>
      <c r="T17" s="774" t="s">
        <v>17</v>
      </c>
      <c r="U17" s="775">
        <f>H17</f>
        <v>100</v>
      </c>
      <c r="V17" s="774" t="s">
        <v>17</v>
      </c>
      <c r="W17" s="775">
        <f>J17</f>
        <v>100</v>
      </c>
      <c r="X17" s="1813"/>
      <c r="Y17" s="3220"/>
      <c r="Z17" s="1814" t="str">
        <f>Q17</f>
        <v>商业繁华度</v>
      </c>
      <c r="AA17" s="1811">
        <f t="shared" si="3"/>
        <v>1</v>
      </c>
      <c r="AB17" s="1811">
        <f t="shared" si="4"/>
        <v>1</v>
      </c>
      <c r="AC17" s="1811">
        <f t="shared" si="5"/>
        <v>1</v>
      </c>
    </row>
    <row r="18" spans="1:29" ht="15">
      <c r="A18" s="428"/>
      <c r="B18" s="456"/>
      <c r="C18" s="2607" t="s">
        <v>3403</v>
      </c>
      <c r="D18" s="450"/>
      <c r="E18" s="2607" t="s">
        <v>3403</v>
      </c>
      <c r="F18" s="450"/>
      <c r="G18" s="2607" t="s">
        <v>3403</v>
      </c>
      <c r="H18" s="448"/>
      <c r="I18" s="2607" t="s">
        <v>3403</v>
      </c>
      <c r="J18" s="448"/>
      <c r="K18" s="672"/>
      <c r="L18" s="1140"/>
      <c r="M18" s="1131"/>
      <c r="N18" s="1131"/>
      <c r="O18" s="1139"/>
      <c r="P18" s="3220"/>
      <c r="Q18" s="1810"/>
      <c r="R18" s="774"/>
      <c r="S18" s="775"/>
      <c r="T18" s="774"/>
      <c r="U18" s="775"/>
      <c r="V18" s="774"/>
      <c r="W18" s="775"/>
      <c r="X18" s="1813"/>
      <c r="Y18" s="3220"/>
      <c r="Z18" s="1814"/>
      <c r="AA18" s="1811">
        <v>1</v>
      </c>
      <c r="AB18" s="1811">
        <v>1</v>
      </c>
      <c r="AC18" s="1811">
        <v>1</v>
      </c>
    </row>
    <row r="19" spans="1:29" ht="15" hidden="1">
      <c r="A19" s="428"/>
      <c r="B19" s="451" t="s">
        <v>2683</v>
      </c>
      <c r="C19" s="2663" t="str">
        <f>估价对象房地状况!C17</f>
        <v>一般</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220"/>
      <c r="Q19" s="1810" t="str">
        <f>B19</f>
        <v>办公集聚程度</v>
      </c>
      <c r="R19" s="774" t="s">
        <v>17</v>
      </c>
      <c r="S19" s="775">
        <f>F19</f>
        <v>100</v>
      </c>
      <c r="T19" s="774" t="s">
        <v>17</v>
      </c>
      <c r="U19" s="775">
        <f>H19</f>
        <v>100</v>
      </c>
      <c r="V19" s="774" t="s">
        <v>17</v>
      </c>
      <c r="W19" s="775">
        <f>J19</f>
        <v>100</v>
      </c>
      <c r="X19" s="1813"/>
      <c r="Y19" s="3220"/>
      <c r="Z19" s="1814" t="str">
        <f>Q19</f>
        <v>办公集聚程度</v>
      </c>
      <c r="AA19" s="1811">
        <f t="shared" si="3"/>
        <v>1</v>
      </c>
      <c r="AB19" s="1811">
        <f t="shared" si="4"/>
        <v>1</v>
      </c>
      <c r="AC19" s="1811">
        <f t="shared" si="5"/>
        <v>1</v>
      </c>
    </row>
    <row r="20" spans="1:29" ht="15" hidden="1">
      <c r="A20" s="428"/>
      <c r="B20" s="456"/>
      <c r="C20" s="447"/>
      <c r="D20" s="448"/>
      <c r="E20" s="2604"/>
      <c r="F20" s="448"/>
      <c r="G20" s="2604"/>
      <c r="H20" s="448"/>
      <c r="I20" s="2603"/>
      <c r="J20" s="448"/>
      <c r="K20" s="672"/>
      <c r="L20" s="1140"/>
      <c r="M20" s="1131"/>
      <c r="N20" s="1131"/>
      <c r="O20" s="1139"/>
      <c r="P20" s="3220"/>
      <c r="Q20" s="1810"/>
      <c r="R20" s="774"/>
      <c r="S20" s="775"/>
      <c r="T20" s="774"/>
      <c r="U20" s="775"/>
      <c r="V20" s="774"/>
      <c r="W20" s="775"/>
      <c r="X20" s="1813"/>
      <c r="Y20" s="3220"/>
      <c r="Z20" s="1814"/>
      <c r="AA20" s="1811">
        <v>1</v>
      </c>
      <c r="AB20" s="1811">
        <v>1</v>
      </c>
      <c r="AC20" s="1811">
        <v>1</v>
      </c>
    </row>
    <row r="21" spans="1:29" ht="15">
      <c r="A21" s="428"/>
      <c r="B21" s="451" t="s">
        <v>2705</v>
      </c>
      <c r="C21" s="2606" t="str">
        <f>估价对象房地状况!C18</f>
        <v>较好</v>
      </c>
      <c r="D21" s="450">
        <v>100</v>
      </c>
      <c r="E21" s="452"/>
      <c r="F21" s="455">
        <f>SUMIF(94:94,E22,95:95)-SUMIF(94:94,C22,95:95)+100</f>
        <v>100</v>
      </c>
      <c r="G21" s="452"/>
      <c r="H21" s="450">
        <f>SUMIF(94:94,G22,95:95)-SUMIF(94:94,C22,95:95)+100</f>
        <v>100</v>
      </c>
      <c r="I21" s="454"/>
      <c r="J21" s="450">
        <f>SUMIF(94:94,I22,95:95)-SUMIF(94:94,C22,95:95)+100</f>
        <v>95</v>
      </c>
      <c r="K21" s="673">
        <v>5</v>
      </c>
      <c r="L21" s="1140"/>
      <c r="M21" s="1131"/>
      <c r="N21" s="1131"/>
      <c r="O21" s="1139"/>
      <c r="P21" s="3220"/>
      <c r="Q21" s="1810" t="str">
        <f>B21</f>
        <v>交通便捷度</v>
      </c>
      <c r="R21" s="774" t="s">
        <v>17</v>
      </c>
      <c r="S21" s="775">
        <f>F21</f>
        <v>100</v>
      </c>
      <c r="T21" s="774" t="s">
        <v>17</v>
      </c>
      <c r="U21" s="775">
        <f>H21</f>
        <v>100</v>
      </c>
      <c r="V21" s="774" t="s">
        <v>17</v>
      </c>
      <c r="W21" s="775">
        <f>J21</f>
        <v>95</v>
      </c>
      <c r="X21" s="1813"/>
      <c r="Y21" s="3220"/>
      <c r="Z21" s="1814" t="str">
        <f>Q21</f>
        <v>交通便捷度</v>
      </c>
      <c r="AA21" s="1811">
        <f t="shared" si="3"/>
        <v>1</v>
      </c>
      <c r="AB21" s="1811">
        <f t="shared" si="4"/>
        <v>1</v>
      </c>
      <c r="AC21" s="1811">
        <f t="shared" si="5"/>
        <v>1.0526315789473684</v>
      </c>
    </row>
    <row r="22" spans="1:29" ht="15">
      <c r="A22" s="428"/>
      <c r="B22" s="1384"/>
      <c r="C22" s="447" t="s">
        <v>3403</v>
      </c>
      <c r="D22" s="450"/>
      <c r="E22" s="447" t="s">
        <v>3403</v>
      </c>
      <c r="F22" s="448"/>
      <c r="G22" s="447" t="s">
        <v>3403</v>
      </c>
      <c r="H22" s="448"/>
      <c r="I22" s="2604" t="s">
        <v>3402</v>
      </c>
      <c r="J22" s="448"/>
      <c r="K22" s="672"/>
      <c r="L22" s="1140"/>
      <c r="M22" s="1131"/>
      <c r="N22" s="1131"/>
      <c r="O22" s="1139"/>
      <c r="P22" s="3220"/>
      <c r="Q22" s="1810"/>
      <c r="R22" s="774"/>
      <c r="S22" s="775"/>
      <c r="T22" s="774"/>
      <c r="U22" s="775"/>
      <c r="V22" s="774"/>
      <c r="W22" s="775"/>
      <c r="X22" s="1813"/>
      <c r="Y22" s="3220"/>
      <c r="Z22" s="1814"/>
      <c r="AA22" s="1811">
        <v>1</v>
      </c>
      <c r="AB22" s="1811">
        <v>1</v>
      </c>
      <c r="AC22" s="1811">
        <v>1</v>
      </c>
    </row>
    <row r="23" spans="1:29" ht="28.8">
      <c r="A23" s="404"/>
      <c r="B23" s="451" t="s">
        <v>2744</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v>2</v>
      </c>
      <c r="L23" s="1140"/>
      <c r="M23" s="1131"/>
      <c r="N23" s="1131"/>
      <c r="O23" s="1139"/>
      <c r="P23" s="3220"/>
      <c r="Q23" s="1810" t="str">
        <f t="shared" ref="Q23:Q37" si="8">B23</f>
        <v>区域土地利用方向</v>
      </c>
      <c r="R23" s="774" t="s">
        <v>17</v>
      </c>
      <c r="S23" s="775">
        <f>F23</f>
        <v>100</v>
      </c>
      <c r="T23" s="774" t="s">
        <v>17</v>
      </c>
      <c r="U23" s="775">
        <f>H23</f>
        <v>100</v>
      </c>
      <c r="V23" s="774" t="s">
        <v>17</v>
      </c>
      <c r="W23" s="775">
        <f>J23</f>
        <v>100</v>
      </c>
      <c r="X23" s="1813"/>
      <c r="Y23" s="3220"/>
      <c r="Z23" s="1814" t="str">
        <f>Q23</f>
        <v>区域土地利用方向</v>
      </c>
      <c r="AA23" s="1811">
        <f t="shared" si="3"/>
        <v>1</v>
      </c>
      <c r="AB23" s="1811">
        <f t="shared" si="4"/>
        <v>1</v>
      </c>
      <c r="AC23" s="1811">
        <f t="shared" si="5"/>
        <v>1</v>
      </c>
    </row>
    <row r="24" spans="1:29" ht="15">
      <c r="A24" s="404"/>
      <c r="B24" s="456"/>
      <c r="C24" s="616" t="s">
        <v>3403</v>
      </c>
      <c r="D24" s="448"/>
      <c r="E24" s="616" t="s">
        <v>3403</v>
      </c>
      <c r="F24" s="448"/>
      <c r="G24" s="616" t="s">
        <v>3403</v>
      </c>
      <c r="H24" s="448"/>
      <c r="I24" s="616" t="s">
        <v>3403</v>
      </c>
      <c r="J24" s="448"/>
      <c r="K24" s="812"/>
      <c r="L24" s="1140"/>
      <c r="M24" s="1131"/>
      <c r="N24" s="1131"/>
      <c r="O24" s="1139"/>
      <c r="P24" s="3220"/>
      <c r="Q24" s="1810"/>
      <c r="R24" s="774"/>
      <c r="S24" s="775"/>
      <c r="T24" s="774"/>
      <c r="U24" s="775"/>
      <c r="V24" s="774"/>
      <c r="W24" s="775"/>
      <c r="X24" s="1813"/>
      <c r="Y24" s="3220"/>
      <c r="Z24" s="1814"/>
      <c r="AA24" s="1811"/>
      <c r="AB24" s="1811"/>
      <c r="AC24" s="1811"/>
    </row>
    <row r="25" spans="1:29" ht="28.8">
      <c r="A25" s="404"/>
      <c r="B25" s="1384" t="s">
        <v>2745</v>
      </c>
      <c r="C25" s="2663" t="str">
        <f>估价对象房地状况!C20</f>
        <v>较好</v>
      </c>
      <c r="D25" s="450">
        <v>100</v>
      </c>
      <c r="E25" s="452"/>
      <c r="F25" s="450">
        <f>SUMIF(98:98,E26,99:99)-SUMIF(98:98,C26,99:99)+100</f>
        <v>100</v>
      </c>
      <c r="G25" s="452"/>
      <c r="H25" s="450">
        <f>SUMIF(98:98,G26,99:99)-SUMIF(98:98,C26,99:99)+100</f>
        <v>100</v>
      </c>
      <c r="I25" s="454"/>
      <c r="J25" s="450">
        <f>SUMIF(98:98,I26,99:99)-SUMIF(98:98,C26,99:99)+100</f>
        <v>95</v>
      </c>
      <c r="K25" s="673">
        <v>5</v>
      </c>
      <c r="L25" s="1140"/>
      <c r="M25" s="1131"/>
      <c r="N25" s="1131"/>
      <c r="O25" s="1139"/>
      <c r="P25" s="3220"/>
      <c r="Q25" s="1810" t="str">
        <f t="shared" si="8"/>
        <v>自然及人文环境状况</v>
      </c>
      <c r="R25" s="774" t="s">
        <v>17</v>
      </c>
      <c r="S25" s="775">
        <f>F25</f>
        <v>100</v>
      </c>
      <c r="T25" s="774" t="s">
        <v>17</v>
      </c>
      <c r="U25" s="775">
        <f>H25</f>
        <v>100</v>
      </c>
      <c r="V25" s="774" t="s">
        <v>17</v>
      </c>
      <c r="W25" s="775">
        <f>J25</f>
        <v>95</v>
      </c>
      <c r="X25" s="1813"/>
      <c r="Y25" s="3220"/>
      <c r="Z25" s="1814" t="str">
        <f>Q25</f>
        <v>自然及人文环境状况</v>
      </c>
      <c r="AA25" s="1811">
        <f t="shared" si="3"/>
        <v>1</v>
      </c>
      <c r="AB25" s="1811">
        <f t="shared" si="4"/>
        <v>1</v>
      </c>
      <c r="AC25" s="1811">
        <f t="shared" si="5"/>
        <v>1.0526315789473684</v>
      </c>
    </row>
    <row r="26" spans="1:29" ht="15">
      <c r="A26" s="404"/>
      <c r="B26" s="456"/>
      <c r="C26" s="447" t="s">
        <v>3403</v>
      </c>
      <c r="D26" s="448"/>
      <c r="E26" s="447" t="s">
        <v>3403</v>
      </c>
      <c r="F26" s="448"/>
      <c r="G26" s="447" t="s">
        <v>3403</v>
      </c>
      <c r="H26" s="448"/>
      <c r="I26" s="2699" t="s">
        <v>3402</v>
      </c>
      <c r="J26" s="448"/>
      <c r="K26" s="672"/>
      <c r="L26" s="1140"/>
      <c r="M26" s="1131"/>
      <c r="N26" s="1131"/>
      <c r="O26" s="1139"/>
      <c r="P26" s="3220"/>
      <c r="Q26" s="1810"/>
      <c r="R26" s="774"/>
      <c r="S26" s="775"/>
      <c r="T26" s="774"/>
      <c r="U26" s="775"/>
      <c r="V26" s="774"/>
      <c r="W26" s="775"/>
      <c r="X26" s="1813"/>
      <c r="Y26" s="3220"/>
      <c r="Z26" s="1814"/>
      <c r="AA26" s="1811">
        <v>1</v>
      </c>
      <c r="AB26" s="1811">
        <v>1</v>
      </c>
      <c r="AC26" s="1811">
        <v>1</v>
      </c>
    </row>
    <row r="27" spans="1:29" s="117" customFormat="1" ht="15">
      <c r="A27" s="649"/>
      <c r="B27" s="1384" t="s">
        <v>2650</v>
      </c>
      <c r="C27" s="2606" t="str">
        <f>估价对象房地状况!C21</f>
        <v>较好</v>
      </c>
      <c r="D27" s="450">
        <v>100</v>
      </c>
      <c r="E27" s="452"/>
      <c r="F27" s="450">
        <f>SUMIF(100:100,E28,101:101)-SUMIF(100:100,C28,101:101)+100</f>
        <v>100</v>
      </c>
      <c r="G27" s="452"/>
      <c r="H27" s="450">
        <f>SUMIF(100:100,G28,101:101)-SUMIF(100:100,C28,101:101)+100</f>
        <v>100</v>
      </c>
      <c r="I27" s="454"/>
      <c r="J27" s="450">
        <f>SUMIF(100:100,I28,101:101)-SUMIF(100:100,C28,101:101)+100</f>
        <v>100</v>
      </c>
      <c r="K27" s="673">
        <v>5</v>
      </c>
      <c r="L27" s="1132"/>
      <c r="M27" s="1133"/>
      <c r="N27" s="1133"/>
      <c r="O27" s="1134"/>
      <c r="P27" s="3220"/>
      <c r="Q27" s="1795" t="str">
        <f t="shared" si="8"/>
        <v>公共配套设施</v>
      </c>
      <c r="R27" s="770" t="s">
        <v>17</v>
      </c>
      <c r="S27" s="771">
        <f>F27</f>
        <v>100</v>
      </c>
      <c r="T27" s="770" t="s">
        <v>17</v>
      </c>
      <c r="U27" s="771">
        <f>H27</f>
        <v>100</v>
      </c>
      <c r="V27" s="770" t="s">
        <v>17</v>
      </c>
      <c r="W27" s="771">
        <f>J27</f>
        <v>100</v>
      </c>
      <c r="X27" s="772"/>
      <c r="Y27" s="3220"/>
      <c r="Z27" s="55" t="str">
        <f>Q27</f>
        <v>公共配套设施</v>
      </c>
      <c r="AA27" s="1811">
        <f>D27/F27</f>
        <v>1</v>
      </c>
      <c r="AB27" s="1811">
        <f>D27/H27</f>
        <v>1</v>
      </c>
      <c r="AC27" s="1811">
        <f>D27/J27</f>
        <v>1</v>
      </c>
    </row>
    <row r="28" spans="1:29" s="117" customFormat="1" ht="15">
      <c r="A28" s="649"/>
      <c r="B28" s="456"/>
      <c r="C28" s="616" t="s">
        <v>3403</v>
      </c>
      <c r="D28" s="448"/>
      <c r="E28" s="616" t="s">
        <v>3403</v>
      </c>
      <c r="F28" s="448"/>
      <c r="G28" s="616" t="s">
        <v>3403</v>
      </c>
      <c r="H28" s="448"/>
      <c r="I28" s="616" t="s">
        <v>3403</v>
      </c>
      <c r="J28" s="448"/>
      <c r="K28" s="672"/>
      <c r="L28" s="1132"/>
      <c r="M28" s="1133"/>
      <c r="N28" s="1133"/>
      <c r="O28" s="1134"/>
      <c r="P28" s="3220"/>
      <c r="Q28" s="1795"/>
      <c r="R28" s="770"/>
      <c r="S28" s="771"/>
      <c r="T28" s="770"/>
      <c r="U28" s="771"/>
      <c r="V28" s="770"/>
      <c r="W28" s="771"/>
      <c r="X28" s="772"/>
      <c r="Y28" s="3220"/>
      <c r="Z28" s="55"/>
      <c r="AA28" s="1811">
        <v>1</v>
      </c>
      <c r="AB28" s="1811">
        <v>1</v>
      </c>
      <c r="AC28" s="1811">
        <v>1</v>
      </c>
    </row>
    <row r="29" spans="1:29" s="117" customFormat="1" ht="15">
      <c r="A29" s="649"/>
      <c r="B29" s="1384" t="s">
        <v>2651</v>
      </c>
      <c r="C29" s="2606" t="str">
        <f>估价对象房地状况!C22</f>
        <v>六通</v>
      </c>
      <c r="D29" s="450">
        <v>100</v>
      </c>
      <c r="E29" s="452"/>
      <c r="F29" s="450">
        <f>SUMIF(102:102,E30,103:103)-SUMIF(102:102,C30,103:103)+100</f>
        <v>100</v>
      </c>
      <c r="G29" s="452"/>
      <c r="H29" s="450">
        <f>SUMIF(102:102,G30,103:103)-SUMIF(102:102,C30,103:103)+100</f>
        <v>100</v>
      </c>
      <c r="I29" s="454"/>
      <c r="J29" s="450">
        <f>SUMIF(102:102,I30,103:103)-SUMIF(102:102,C30,103:103)+100</f>
        <v>100</v>
      </c>
      <c r="K29" s="673">
        <v>2</v>
      </c>
      <c r="L29" s="1132"/>
      <c r="M29" s="1133"/>
      <c r="N29" s="1133"/>
      <c r="O29" s="1134"/>
      <c r="P29" s="3220"/>
      <c r="Q29" s="1795" t="str">
        <f t="shared" ref="Q29" si="9">B29</f>
        <v>基础设施水平</v>
      </c>
      <c r="R29" s="770" t="s">
        <v>17</v>
      </c>
      <c r="S29" s="771">
        <f>F29</f>
        <v>100</v>
      </c>
      <c r="T29" s="770" t="s">
        <v>17</v>
      </c>
      <c r="U29" s="771">
        <f>H29</f>
        <v>100</v>
      </c>
      <c r="V29" s="770" t="s">
        <v>17</v>
      </c>
      <c r="W29" s="771">
        <f>J29</f>
        <v>100</v>
      </c>
      <c r="X29" s="772"/>
      <c r="Y29" s="3220"/>
      <c r="Z29" s="55" t="str">
        <f>Q29</f>
        <v>基础设施水平</v>
      </c>
      <c r="AA29" s="1811">
        <f>D29/F29</f>
        <v>1</v>
      </c>
      <c r="AB29" s="1811">
        <f>D29/H29</f>
        <v>1</v>
      </c>
      <c r="AC29" s="1811">
        <f>D29/J29</f>
        <v>1</v>
      </c>
    </row>
    <row r="30" spans="1:29" s="117" customFormat="1" ht="15.6" thickBot="1">
      <c r="A30" s="649"/>
      <c r="B30" s="456"/>
      <c r="C30" s="2699" t="s">
        <v>3406</v>
      </c>
      <c r="D30" s="448"/>
      <c r="E30" s="2699" t="s">
        <v>3406</v>
      </c>
      <c r="F30" s="448"/>
      <c r="G30" s="2699" t="s">
        <v>3406</v>
      </c>
      <c r="H30" s="448"/>
      <c r="I30" s="2699" t="s">
        <v>3406</v>
      </c>
      <c r="J30" s="448"/>
      <c r="K30" s="672"/>
      <c r="L30" s="1132"/>
      <c r="M30" s="1133"/>
      <c r="N30" s="1133"/>
      <c r="O30" s="1134"/>
      <c r="P30" s="3220"/>
      <c r="Q30" s="1795"/>
      <c r="R30" s="770"/>
      <c r="S30" s="771"/>
      <c r="T30" s="770"/>
      <c r="U30" s="771"/>
      <c r="V30" s="770"/>
      <c r="W30" s="771"/>
      <c r="X30" s="772"/>
      <c r="Y30" s="3220"/>
      <c r="Z30" s="55"/>
      <c r="AA30" s="1811">
        <v>1</v>
      </c>
      <c r="AB30" s="1811">
        <v>1</v>
      </c>
      <c r="AC30" s="1811">
        <v>1</v>
      </c>
    </row>
    <row r="31" spans="1:29" ht="15" hidden="1">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220"/>
      <c r="Q31" s="1810" t="str">
        <f t="shared" si="8"/>
        <v>临街状况</v>
      </c>
      <c r="R31" s="774" t="s">
        <v>17</v>
      </c>
      <c r="S31" s="775">
        <f t="shared" ref="S31:S45" si="10">F31</f>
        <v>100</v>
      </c>
      <c r="T31" s="774" t="s">
        <v>17</v>
      </c>
      <c r="U31" s="775">
        <f t="shared" ref="U31:U45" si="11">H31</f>
        <v>100</v>
      </c>
      <c r="V31" s="774" t="s">
        <v>17</v>
      </c>
      <c r="W31" s="775">
        <f t="shared" ref="W31:W45" si="12">J31</f>
        <v>100</v>
      </c>
      <c r="X31" s="1813"/>
      <c r="Y31" s="3220"/>
      <c r="Z31" s="1814" t="str">
        <f t="shared" ref="Z31:Z45" si="13">Q31</f>
        <v>临街状况</v>
      </c>
      <c r="AA31" s="1811">
        <f t="shared" si="3"/>
        <v>1</v>
      </c>
      <c r="AB31" s="1811">
        <f t="shared" si="4"/>
        <v>1</v>
      </c>
      <c r="AC31" s="1811">
        <f t="shared" si="5"/>
        <v>1</v>
      </c>
    </row>
    <row r="32" spans="1:29" ht="28.8" hidden="1">
      <c r="A32" s="428"/>
      <c r="B32" s="1384"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220"/>
      <c r="Q32" s="1810" t="str">
        <f t="shared" si="8"/>
        <v>毗邻道路的类型与等级</v>
      </c>
      <c r="R32" s="774" t="s">
        <v>17</v>
      </c>
      <c r="S32" s="775">
        <f t="shared" si="10"/>
        <v>100</v>
      </c>
      <c r="T32" s="774" t="s">
        <v>17</v>
      </c>
      <c r="U32" s="775">
        <f t="shared" si="11"/>
        <v>100</v>
      </c>
      <c r="V32" s="774" t="s">
        <v>17</v>
      </c>
      <c r="W32" s="775">
        <f t="shared" si="12"/>
        <v>100</v>
      </c>
      <c r="X32" s="1813"/>
      <c r="Y32" s="3220"/>
      <c r="Z32" s="1814" t="str">
        <f t="shared" si="13"/>
        <v>毗邻道路的类型与等级</v>
      </c>
      <c r="AA32" s="1811">
        <f t="shared" si="3"/>
        <v>1</v>
      </c>
      <c r="AB32" s="1811">
        <f t="shared" si="4"/>
        <v>1</v>
      </c>
      <c r="AC32" s="1811">
        <f t="shared" si="5"/>
        <v>1</v>
      </c>
    </row>
    <row r="33" spans="1:29" ht="15" hidden="1">
      <c r="A33" s="428"/>
      <c r="B33" s="456"/>
      <c r="C33" s="447"/>
      <c r="D33" s="448"/>
      <c r="E33" s="2610"/>
      <c r="F33" s="448"/>
      <c r="G33" s="2610"/>
      <c r="H33" s="448"/>
      <c r="I33" s="447"/>
      <c r="J33" s="448"/>
      <c r="K33" s="613"/>
      <c r="L33" s="1140"/>
      <c r="M33" s="1131"/>
      <c r="N33" s="1131"/>
      <c r="O33" s="1139"/>
      <c r="P33" s="3220"/>
      <c r="Q33" s="1810"/>
      <c r="R33" s="774"/>
      <c r="S33" s="775"/>
      <c r="T33" s="774"/>
      <c r="U33" s="775"/>
      <c r="V33" s="774"/>
      <c r="W33" s="775"/>
      <c r="X33" s="1813"/>
      <c r="Y33" s="3220"/>
      <c r="Z33" s="1814"/>
      <c r="AA33" s="1811">
        <v>1</v>
      </c>
      <c r="AB33" s="1811">
        <v>1</v>
      </c>
      <c r="AC33" s="1811">
        <v>1</v>
      </c>
    </row>
    <row r="34" spans="1:29" ht="15.6" hidden="1" thickBot="1">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220"/>
      <c r="Q34" s="1810" t="str">
        <f t="shared" si="8"/>
        <v>土地级别</v>
      </c>
      <c r="R34" s="774" t="s">
        <v>17</v>
      </c>
      <c r="S34" s="775">
        <f t="shared" si="10"/>
        <v>100</v>
      </c>
      <c r="T34" s="774" t="s">
        <v>17</v>
      </c>
      <c r="U34" s="775">
        <f t="shared" si="11"/>
        <v>100</v>
      </c>
      <c r="V34" s="774" t="s">
        <v>17</v>
      </c>
      <c r="W34" s="775">
        <f t="shared" si="12"/>
        <v>100</v>
      </c>
      <c r="X34" s="1813"/>
      <c r="Y34" s="3220"/>
      <c r="Z34" s="1814" t="str">
        <f t="shared" si="13"/>
        <v>土地级别</v>
      </c>
      <c r="AA34" s="1811">
        <f t="shared" si="3"/>
        <v>1</v>
      </c>
      <c r="AB34" s="1811">
        <f t="shared" si="4"/>
        <v>1</v>
      </c>
      <c r="AC34" s="1811">
        <f t="shared" si="5"/>
        <v>1</v>
      </c>
    </row>
    <row r="35" spans="1:29" ht="15" hidden="1">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220"/>
      <c r="Q35" s="1810">
        <f t="shared" si="8"/>
        <v>111</v>
      </c>
      <c r="R35" s="774" t="s">
        <v>17</v>
      </c>
      <c r="S35" s="775">
        <f t="shared" si="10"/>
        <v>100</v>
      </c>
      <c r="T35" s="774" t="s">
        <v>17</v>
      </c>
      <c r="U35" s="775">
        <f t="shared" si="11"/>
        <v>100</v>
      </c>
      <c r="V35" s="774" t="s">
        <v>17</v>
      </c>
      <c r="W35" s="775">
        <f t="shared" si="12"/>
        <v>100</v>
      </c>
      <c r="X35" s="1813"/>
      <c r="Y35" s="3220"/>
      <c r="Z35" s="1814">
        <f t="shared" si="13"/>
        <v>111</v>
      </c>
      <c r="AA35" s="1811">
        <f t="shared" si="3"/>
        <v>1</v>
      </c>
      <c r="AB35" s="1811">
        <f t="shared" si="4"/>
        <v>1</v>
      </c>
      <c r="AC35" s="1811">
        <f t="shared" si="5"/>
        <v>1</v>
      </c>
    </row>
    <row r="36" spans="1:29" ht="15" hidden="1">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243" t="s">
        <v>2561</v>
      </c>
      <c r="Q36" s="1810">
        <f t="shared" si="8"/>
        <v>111</v>
      </c>
      <c r="R36" s="774" t="s">
        <v>17</v>
      </c>
      <c r="S36" s="775">
        <f t="shared" si="10"/>
        <v>100</v>
      </c>
      <c r="T36" s="774" t="s">
        <v>17</v>
      </c>
      <c r="U36" s="775">
        <f t="shared" si="11"/>
        <v>100</v>
      </c>
      <c r="V36" s="774" t="s">
        <v>17</v>
      </c>
      <c r="W36" s="775">
        <f t="shared" si="12"/>
        <v>100</v>
      </c>
      <c r="X36" s="1813"/>
      <c r="Y36" s="3224" t="s">
        <v>2561</v>
      </c>
      <c r="Z36" s="1814">
        <f t="shared" si="13"/>
        <v>111</v>
      </c>
      <c r="AA36" s="1811">
        <f t="shared" si="3"/>
        <v>1</v>
      </c>
      <c r="AB36" s="1811">
        <f t="shared" si="4"/>
        <v>1</v>
      </c>
      <c r="AC36" s="1811">
        <f t="shared" si="5"/>
        <v>1</v>
      </c>
    </row>
    <row r="37" spans="1:29" s="471" customFormat="1" ht="15.6" hidden="1"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224"/>
      <c r="Q37" s="1810">
        <f t="shared" si="8"/>
        <v>111</v>
      </c>
      <c r="R37" s="777" t="s">
        <v>17</v>
      </c>
      <c r="S37" s="778">
        <f t="shared" si="10"/>
        <v>100</v>
      </c>
      <c r="T37" s="777" t="s">
        <v>17</v>
      </c>
      <c r="U37" s="778">
        <f t="shared" si="11"/>
        <v>100</v>
      </c>
      <c r="V37" s="777" t="s">
        <v>17</v>
      </c>
      <c r="W37" s="778">
        <f t="shared" si="12"/>
        <v>100</v>
      </c>
      <c r="X37" s="779"/>
      <c r="Y37" s="3224"/>
      <c r="Z37" s="780">
        <f t="shared" si="13"/>
        <v>111</v>
      </c>
      <c r="AA37" s="1811">
        <f t="shared" si="3"/>
        <v>1</v>
      </c>
      <c r="AB37" s="1811">
        <f t="shared" si="4"/>
        <v>1</v>
      </c>
      <c r="AC37" s="1811">
        <f t="shared" si="5"/>
        <v>1</v>
      </c>
    </row>
    <row r="38" spans="1:29" ht="15.6">
      <c r="A38" s="472" t="s">
        <v>2559</v>
      </c>
      <c r="B38" s="456" t="s">
        <v>2747</v>
      </c>
      <c r="C38" s="679">
        <v>40236</v>
      </c>
      <c r="D38" s="467">
        <v>100</v>
      </c>
      <c r="E38" s="679">
        <f>土地案例!$J$5</f>
        <v>7706</v>
      </c>
      <c r="F38" s="467">
        <f>LOOKUP(E38,117:117,118:118)-LOOKUP(C38,117:117,118:118)+100</f>
        <v>96</v>
      </c>
      <c r="G38" s="679">
        <f>土地案例!$J$7</f>
        <v>28530</v>
      </c>
      <c r="H38" s="467">
        <f>LOOKUP(G38,117:117,118:118)-LOOKUP(C38,117:117,118:118)+100</f>
        <v>98</v>
      </c>
      <c r="I38" s="530">
        <f>土地案例!$J$17</f>
        <v>65325.05</v>
      </c>
      <c r="J38" s="467">
        <f>LOOKUP(I38,117:117,118:118)-LOOKUP(C38,117:117,118:118)+100</f>
        <v>102</v>
      </c>
      <c r="K38" s="613"/>
      <c r="L38" s="1140"/>
      <c r="M38" s="1131"/>
      <c r="N38" s="1131"/>
      <c r="O38" s="1139"/>
      <c r="P38" s="3224"/>
      <c r="Q38" s="1810" t="str">
        <f>B38</f>
        <v>宗地面积</v>
      </c>
      <c r="R38" s="774" t="s">
        <v>17</v>
      </c>
      <c r="S38" s="775">
        <f t="shared" si="10"/>
        <v>96</v>
      </c>
      <c r="T38" s="774" t="s">
        <v>17</v>
      </c>
      <c r="U38" s="775">
        <f t="shared" si="11"/>
        <v>98</v>
      </c>
      <c r="V38" s="774" t="s">
        <v>17</v>
      </c>
      <c r="W38" s="775">
        <f t="shared" si="12"/>
        <v>102</v>
      </c>
      <c r="X38" s="1813"/>
      <c r="Y38" s="3224"/>
      <c r="Z38" s="1814" t="str">
        <f t="shared" si="13"/>
        <v>宗地面积</v>
      </c>
      <c r="AA38" s="1811">
        <f t="shared" si="3"/>
        <v>1.0416666666666667</v>
      </c>
      <c r="AB38" s="1811">
        <f t="shared" si="4"/>
        <v>1.0204081632653061</v>
      </c>
      <c r="AC38" s="1811">
        <f t="shared" si="5"/>
        <v>0.98039215686274506</v>
      </c>
    </row>
    <row r="39" spans="1:29" ht="15">
      <c r="A39" s="472"/>
      <c r="B39" s="422" t="s">
        <v>2748</v>
      </c>
      <c r="C39" s="2612" t="s">
        <v>3404</v>
      </c>
      <c r="D39" s="435">
        <v>100</v>
      </c>
      <c r="E39" s="2612" t="s">
        <v>3404</v>
      </c>
      <c r="F39" s="435">
        <f>SUMIF(119:119,E39,120:120)-SUMIF(119:119,C39,120:120)+100</f>
        <v>100</v>
      </c>
      <c r="G39" s="2612" t="s">
        <v>3404</v>
      </c>
      <c r="H39" s="435">
        <f>SUMIF(119:119,G39,120:120)-SUMIF(119:119,C39,120:120)+100</f>
        <v>100</v>
      </c>
      <c r="I39" s="2612" t="s">
        <v>3404</v>
      </c>
      <c r="J39" s="435">
        <f>SUMIF(119:119,I39,120:120)-SUMIF(119:119,C39,120:120)+100</f>
        <v>100</v>
      </c>
      <c r="K39" s="612">
        <v>2</v>
      </c>
      <c r="L39" s="1140"/>
      <c r="M39" s="1131"/>
      <c r="N39" s="1131"/>
      <c r="O39" s="1139"/>
      <c r="P39" s="3224"/>
      <c r="Q39" s="1810" t="str">
        <f t="shared" ref="Q39:Q45" si="14">B39</f>
        <v>宗地形状</v>
      </c>
      <c r="R39" s="774" t="s">
        <v>17</v>
      </c>
      <c r="S39" s="775">
        <f t="shared" si="10"/>
        <v>100</v>
      </c>
      <c r="T39" s="774" t="s">
        <v>17</v>
      </c>
      <c r="U39" s="775">
        <f t="shared" si="11"/>
        <v>100</v>
      </c>
      <c r="V39" s="774" t="s">
        <v>17</v>
      </c>
      <c r="W39" s="775">
        <f t="shared" si="12"/>
        <v>100</v>
      </c>
      <c r="X39" s="1813"/>
      <c r="Y39" s="3224"/>
      <c r="Z39" s="1814" t="str">
        <f t="shared" si="13"/>
        <v>宗地形状</v>
      </c>
      <c r="AA39" s="1811">
        <f t="shared" si="3"/>
        <v>1</v>
      </c>
      <c r="AB39" s="1811">
        <f t="shared" si="4"/>
        <v>1</v>
      </c>
      <c r="AC39" s="1811">
        <f t="shared" si="5"/>
        <v>1</v>
      </c>
    </row>
    <row r="40" spans="1:29" ht="15">
      <c r="A40" s="472"/>
      <c r="B40" s="422" t="s">
        <v>2749</v>
      </c>
      <c r="C40" s="2612" t="s">
        <v>3405</v>
      </c>
      <c r="D40" s="435">
        <v>100</v>
      </c>
      <c r="E40" s="2612" t="s">
        <v>3405</v>
      </c>
      <c r="F40" s="435">
        <f>SUMIF(121:121,E40,122:122)-SUMIF(121:121,C40,122:122)+100</f>
        <v>100</v>
      </c>
      <c r="G40" s="2612" t="s">
        <v>3405</v>
      </c>
      <c r="H40" s="435">
        <f>SUMIF(121:121,G40,122:122)-SUMIF(121:121,C40,122:122)+100</f>
        <v>100</v>
      </c>
      <c r="I40" s="2612" t="s">
        <v>3405</v>
      </c>
      <c r="J40" s="435">
        <f>SUMIF(121:121,I40,122:122)-SUMIF(121:121,C40,122:122)+100</f>
        <v>100</v>
      </c>
      <c r="K40" s="612">
        <v>2</v>
      </c>
      <c r="L40" s="1140"/>
      <c r="M40" s="1131"/>
      <c r="N40" s="1131"/>
      <c r="O40" s="1139"/>
      <c r="P40" s="3224"/>
      <c r="Q40" s="1810" t="str">
        <f t="shared" si="14"/>
        <v>临街宽度及深度</v>
      </c>
      <c r="R40" s="774" t="s">
        <v>17</v>
      </c>
      <c r="S40" s="775">
        <f t="shared" si="10"/>
        <v>100</v>
      </c>
      <c r="T40" s="774" t="s">
        <v>17</v>
      </c>
      <c r="U40" s="775">
        <f t="shared" si="11"/>
        <v>100</v>
      </c>
      <c r="V40" s="774" t="s">
        <v>17</v>
      </c>
      <c r="W40" s="775">
        <f t="shared" si="12"/>
        <v>100</v>
      </c>
      <c r="X40" s="1813"/>
      <c r="Y40" s="3224"/>
      <c r="Z40" s="1814" t="str">
        <f t="shared" si="13"/>
        <v>临街宽度及深度</v>
      </c>
      <c r="AA40" s="1811">
        <f t="shared" si="3"/>
        <v>1</v>
      </c>
      <c r="AB40" s="1811">
        <f t="shared" si="4"/>
        <v>1</v>
      </c>
      <c r="AC40" s="1811">
        <f t="shared" si="5"/>
        <v>1</v>
      </c>
    </row>
    <row r="41" spans="1:29" s="117" customFormat="1" ht="15">
      <c r="A41" s="473"/>
      <c r="B41" s="422" t="s">
        <v>2750</v>
      </c>
      <c r="C41" s="2701" t="s">
        <v>3406</v>
      </c>
      <c r="D41" s="136">
        <v>100</v>
      </c>
      <c r="E41" s="2701" t="s">
        <v>3407</v>
      </c>
      <c r="F41" s="435">
        <f>SUMIF(123:123,E41,124:124)-SUMIF(123:123,C41,124:124)+100</f>
        <v>98</v>
      </c>
      <c r="G41" s="2701" t="s">
        <v>3407</v>
      </c>
      <c r="H41" s="435">
        <f>SUMIF(123:123,G41,124:124)-SUMIF(123:123,C41,124:124)+100</f>
        <v>98</v>
      </c>
      <c r="I41" s="2701" t="s">
        <v>3407</v>
      </c>
      <c r="J41" s="435">
        <f>SUMIF(123:123,I41,124:124)-SUMIF(123:123,C41,124:124)+100</f>
        <v>98</v>
      </c>
      <c r="K41" s="612">
        <v>2</v>
      </c>
      <c r="L41" s="1132"/>
      <c r="M41" s="1133"/>
      <c r="N41" s="1133"/>
      <c r="O41" s="1134"/>
      <c r="P41" s="3224"/>
      <c r="Q41" s="1810" t="str">
        <f t="shared" si="14"/>
        <v>宗地开发程度</v>
      </c>
      <c r="R41" s="770" t="s">
        <v>17</v>
      </c>
      <c r="S41" s="771">
        <f t="shared" si="10"/>
        <v>98</v>
      </c>
      <c r="T41" s="770" t="s">
        <v>17</v>
      </c>
      <c r="U41" s="771">
        <f t="shared" si="11"/>
        <v>98</v>
      </c>
      <c r="V41" s="770" t="s">
        <v>17</v>
      </c>
      <c r="W41" s="771">
        <f t="shared" si="12"/>
        <v>98</v>
      </c>
      <c r="X41" s="772"/>
      <c r="Y41" s="3224"/>
      <c r="Z41" s="55" t="str">
        <f t="shared" si="13"/>
        <v>宗地开发程度</v>
      </c>
      <c r="AA41" s="773">
        <f t="shared" si="3"/>
        <v>1.0204081632653061</v>
      </c>
      <c r="AB41" s="773">
        <f t="shared" si="4"/>
        <v>1.0204081632653061</v>
      </c>
      <c r="AC41" s="773">
        <f t="shared" si="5"/>
        <v>1.0204081632653061</v>
      </c>
    </row>
    <row r="42" spans="1:29" ht="15.6" thickBot="1">
      <c r="A42" s="472"/>
      <c r="B42" s="422" t="s">
        <v>2751</v>
      </c>
      <c r="C42" s="2612" t="s">
        <v>3403</v>
      </c>
      <c r="D42" s="435">
        <v>100</v>
      </c>
      <c r="E42" s="2612" t="s">
        <v>3403</v>
      </c>
      <c r="F42" s="435">
        <f>SUMIF(125:125,E42,126:126)-SUMIF(125:125,C42,126:126)+100</f>
        <v>100</v>
      </c>
      <c r="G42" s="2612" t="s">
        <v>3403</v>
      </c>
      <c r="H42" s="435">
        <f>SUMIF(125:125,G42,126:126)-SUMIF(125:125,C42,126:126)+100</f>
        <v>100</v>
      </c>
      <c r="I42" s="2612" t="s">
        <v>3403</v>
      </c>
      <c r="J42" s="435">
        <f>SUMIF(125:125,I42,126:126)-SUMIF(125:125,C42,126:126)+100</f>
        <v>100</v>
      </c>
      <c r="K42" s="612">
        <v>2</v>
      </c>
      <c r="L42" s="1140"/>
      <c r="M42" s="1131"/>
      <c r="N42" s="1131"/>
      <c r="O42" s="1139"/>
      <c r="P42" s="3224" t="s">
        <v>2561</v>
      </c>
      <c r="Q42" s="1810" t="str">
        <f t="shared" si="14"/>
        <v>工程地质条件</v>
      </c>
      <c r="R42" s="774" t="s">
        <v>17</v>
      </c>
      <c r="S42" s="775">
        <f t="shared" si="10"/>
        <v>100</v>
      </c>
      <c r="T42" s="774" t="s">
        <v>17</v>
      </c>
      <c r="U42" s="775">
        <f t="shared" si="11"/>
        <v>100</v>
      </c>
      <c r="V42" s="774" t="s">
        <v>17</v>
      </c>
      <c r="W42" s="775">
        <f t="shared" si="12"/>
        <v>100</v>
      </c>
      <c r="X42" s="1813"/>
      <c r="Y42" s="3224" t="s">
        <v>2561</v>
      </c>
      <c r="Z42" s="1814" t="str">
        <f t="shared" si="13"/>
        <v>工程地质条件</v>
      </c>
      <c r="AA42" s="1811">
        <f t="shared" si="3"/>
        <v>1</v>
      </c>
      <c r="AB42" s="1811">
        <f t="shared" si="4"/>
        <v>1</v>
      </c>
      <c r="AC42" s="1811">
        <f t="shared" si="5"/>
        <v>1</v>
      </c>
    </row>
    <row r="43" spans="1:29" ht="15" hidden="1">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224"/>
      <c r="Q43" s="1810">
        <f t="shared" si="14"/>
        <v>111</v>
      </c>
      <c r="R43" s="774" t="s">
        <v>17</v>
      </c>
      <c r="S43" s="775">
        <f t="shared" si="10"/>
        <v>100</v>
      </c>
      <c r="T43" s="774" t="s">
        <v>17</v>
      </c>
      <c r="U43" s="775">
        <f t="shared" si="11"/>
        <v>100</v>
      </c>
      <c r="V43" s="774" t="s">
        <v>17</v>
      </c>
      <c r="W43" s="775">
        <f t="shared" si="12"/>
        <v>100</v>
      </c>
      <c r="X43" s="1813"/>
      <c r="Y43" s="3224"/>
      <c r="Z43" s="1814">
        <f t="shared" si="13"/>
        <v>111</v>
      </c>
      <c r="AA43" s="1811">
        <f t="shared" si="3"/>
        <v>1</v>
      </c>
      <c r="AB43" s="1811">
        <f t="shared" si="4"/>
        <v>1</v>
      </c>
      <c r="AC43" s="1811">
        <f t="shared" si="5"/>
        <v>1</v>
      </c>
    </row>
    <row r="44" spans="1:29" ht="15" hidden="1">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224"/>
      <c r="Q44" s="1810">
        <f t="shared" si="14"/>
        <v>111</v>
      </c>
      <c r="R44" s="774" t="s">
        <v>17</v>
      </c>
      <c r="S44" s="775">
        <f t="shared" si="10"/>
        <v>100</v>
      </c>
      <c r="T44" s="774" t="s">
        <v>17</v>
      </c>
      <c r="U44" s="775">
        <f t="shared" si="11"/>
        <v>100</v>
      </c>
      <c r="V44" s="774" t="s">
        <v>17</v>
      </c>
      <c r="W44" s="775">
        <f t="shared" si="12"/>
        <v>100</v>
      </c>
      <c r="X44" s="1813"/>
      <c r="Y44" s="3224"/>
      <c r="Z44" s="1814">
        <f t="shared" si="13"/>
        <v>111</v>
      </c>
      <c r="AA44" s="1811">
        <f t="shared" si="3"/>
        <v>1</v>
      </c>
      <c r="AB44" s="1811">
        <f t="shared" si="4"/>
        <v>1</v>
      </c>
      <c r="AC44" s="1811">
        <f t="shared" si="5"/>
        <v>1</v>
      </c>
    </row>
    <row r="45" spans="1:29" s="471" customFormat="1" ht="15.6" hidden="1" thickBot="1">
      <c r="A45" s="468"/>
      <c r="B45" s="1387">
        <v>111</v>
      </c>
      <c r="C45" s="2702"/>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224"/>
      <c r="Q45" s="1810">
        <f t="shared" si="14"/>
        <v>111</v>
      </c>
      <c r="R45" s="777" t="s">
        <v>17</v>
      </c>
      <c r="S45" s="778">
        <f t="shared" si="10"/>
        <v>100</v>
      </c>
      <c r="T45" s="777" t="s">
        <v>17</v>
      </c>
      <c r="U45" s="778">
        <f t="shared" si="11"/>
        <v>100</v>
      </c>
      <c r="V45" s="777" t="s">
        <v>17</v>
      </c>
      <c r="W45" s="778">
        <f t="shared" si="12"/>
        <v>100</v>
      </c>
      <c r="X45" s="779"/>
      <c r="Y45" s="3224"/>
      <c r="Z45" s="780">
        <f t="shared" si="13"/>
        <v>111</v>
      </c>
      <c r="AA45" s="1811">
        <f t="shared" si="3"/>
        <v>1</v>
      </c>
      <c r="AB45" s="1811">
        <f t="shared" si="4"/>
        <v>1</v>
      </c>
      <c r="AC45" s="1811">
        <f t="shared" si="5"/>
        <v>1</v>
      </c>
    </row>
    <row r="46" spans="1:29" ht="14.4">
      <c r="A46" s="479" t="s">
        <v>2716</v>
      </c>
      <c r="B46" s="2703" t="s">
        <v>2752</v>
      </c>
      <c r="C46" s="682" t="s">
        <v>1</v>
      </c>
      <c r="D46" s="481"/>
      <c r="E46" s="482">
        <f>土地案例!$AK$5</f>
        <v>3290</v>
      </c>
      <c r="F46" s="483"/>
      <c r="G46" s="484">
        <f>土地案例!$AK$7</f>
        <v>3067</v>
      </c>
      <c r="H46" s="485"/>
      <c r="I46" s="482">
        <f>土地案例!$AK$17</f>
        <v>2810</v>
      </c>
      <c r="J46" s="485"/>
      <c r="K46" s="783"/>
      <c r="L46" s="1143"/>
      <c r="M46" s="1144"/>
      <c r="N46" s="1131"/>
      <c r="O46" s="1144"/>
      <c r="P46" s="3217" t="str">
        <f>A46</f>
        <v>成交单价</v>
      </c>
      <c r="Q46" s="3217"/>
      <c r="R46" s="3212">
        <f>E46</f>
        <v>3290</v>
      </c>
      <c r="S46" s="3212"/>
      <c r="T46" s="3212">
        <f>G46</f>
        <v>3067</v>
      </c>
      <c r="U46" s="3212"/>
      <c r="V46" s="3212">
        <f>I46</f>
        <v>2810</v>
      </c>
      <c r="W46" s="3212"/>
      <c r="X46" s="759"/>
      <c r="Y46" s="781"/>
      <c r="Z46" s="759"/>
      <c r="AA46" s="759"/>
      <c r="AB46" s="759"/>
      <c r="AC46" s="759"/>
    </row>
    <row r="47" spans="1:29" ht="15" thickBot="1">
      <c r="A47" s="486" t="s">
        <v>2665</v>
      </c>
      <c r="B47" s="683"/>
      <c r="C47" s="490">
        <f>R48</f>
        <v>3167</v>
      </c>
      <c r="D47" s="489"/>
      <c r="E47" s="490">
        <f>R47</f>
        <v>3366</v>
      </c>
      <c r="F47" s="491"/>
      <c r="G47" s="488">
        <f>T47</f>
        <v>3074</v>
      </c>
      <c r="H47" s="489"/>
      <c r="I47" s="490">
        <f>V47</f>
        <v>3061</v>
      </c>
      <c r="J47" s="489"/>
      <c r="K47" s="784"/>
      <c r="L47" s="1143"/>
      <c r="M47" s="1144"/>
      <c r="N47" s="1144"/>
      <c r="O47" s="1144"/>
      <c r="P47" s="3217" t="str">
        <f>A47</f>
        <v>比较价值（元/平方米）</v>
      </c>
      <c r="Q47" s="3217"/>
      <c r="R47" s="3246">
        <f>ROUND(PRODUCT(R46,AA7:AA45),0)</f>
        <v>3366</v>
      </c>
      <c r="S47" s="3246"/>
      <c r="T47" s="3246">
        <f>ROUND(PRODUCT(T46,AB7:AB45),0)</f>
        <v>3074</v>
      </c>
      <c r="U47" s="3246"/>
      <c r="V47" s="3246">
        <f>ROUND(PRODUCT(V46,AC7:AC45),0)</f>
        <v>3061</v>
      </c>
      <c r="W47" s="3246"/>
      <c r="X47" s="759"/>
      <c r="Y47" s="759"/>
      <c r="Z47" s="759"/>
      <c r="AA47" s="759"/>
      <c r="AB47" s="759"/>
      <c r="AC47" s="759"/>
    </row>
    <row r="48" spans="1:29" ht="15" thickBot="1">
      <c r="A48" s="492" t="s">
        <v>2753</v>
      </c>
      <c r="B48" s="493"/>
      <c r="C48" s="494">
        <f>R48</f>
        <v>3167</v>
      </c>
      <c r="D48" s="494"/>
      <c r="E48" s="494"/>
      <c r="F48" s="494"/>
      <c r="G48" s="494"/>
      <c r="H48" s="494"/>
      <c r="I48" s="494"/>
      <c r="J48" s="494"/>
      <c r="K48" s="785"/>
      <c r="L48" s="1143"/>
      <c r="M48" s="1144"/>
      <c r="N48" s="1144"/>
      <c r="O48" s="1144"/>
      <c r="P48" s="3214" t="str">
        <f>A48</f>
        <v>估价对象XX用房的比较价值（楼面单价，元/平方米）</v>
      </c>
      <c r="Q48" s="3215"/>
      <c r="R48" s="3247">
        <f>ROUND(AVERAGE(R47:V47),0)</f>
        <v>3167</v>
      </c>
      <c r="S48" s="3247"/>
      <c r="T48" s="3247"/>
      <c r="U48" s="3247"/>
      <c r="V48" s="3247"/>
      <c r="W48" s="3247"/>
      <c r="X48" s="759"/>
      <c r="Y48" s="759"/>
      <c r="Z48" s="759"/>
      <c r="AA48" s="759"/>
      <c r="AB48" s="759"/>
      <c r="AC48" s="759"/>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2667</v>
      </c>
      <c r="D51" s="498"/>
      <c r="E51" s="499">
        <f>IF(E46&lt;E47,E47/E46-1,E46/E47-1)</f>
        <v>2.3100303951367751E-2</v>
      </c>
      <c r="F51" s="500" t="str">
        <f>IF(OR(E51&gt;=0.3,E51&lt;=-0.3),"超过30%","")</f>
        <v/>
      </c>
      <c r="G51" s="499">
        <f>IF(G46&lt;G47,G47/G46-1,G46/G47-1)</f>
        <v>2.2823606129769303E-3</v>
      </c>
      <c r="H51" s="500" t="str">
        <f>IF(OR(G51&gt;=0.3,G51&lt;=-0.3),"超过30%","")</f>
        <v/>
      </c>
      <c r="I51" s="499">
        <f>IF(I46&lt;I47,I47/I46-1,I46/I47-1)</f>
        <v>8.9323843416370119E-2</v>
      </c>
      <c r="J51" s="500" t="str">
        <f>IF(OR(I51&gt;=0.3,I51&lt;=-0.3),"超过30%","")</f>
        <v/>
      </c>
      <c r="K51" s="1105"/>
      <c r="L51" s="1106"/>
      <c r="M51" s="1144"/>
      <c r="N51" s="1144"/>
      <c r="O51" s="1144"/>
    </row>
    <row r="52" spans="1:15" ht="13.5" customHeight="1">
      <c r="A52" s="1144"/>
      <c r="B52" s="1144"/>
      <c r="C52" s="497" t="s">
        <v>2668</v>
      </c>
      <c r="D52" s="501"/>
      <c r="E52" s="499">
        <f>IF(E47&lt;G47,G47/E47-1,E47/G47-1)</f>
        <v>9.4990240728692221E-2</v>
      </c>
      <c r="F52" s="500" t="str">
        <f>IF(OR(E52&gt;=0.2,E52&lt;=-0.2),"超过20%","")</f>
        <v/>
      </c>
      <c r="G52" s="499">
        <f>IF(G47&lt;I47,I47/G47-1,G47/I47-1)</f>
        <v>4.2469781117282501E-3</v>
      </c>
      <c r="H52" s="500" t="str">
        <f>IF(OR(G52&gt;=0.2,G52&lt;=-0.2),"超过20%","")</f>
        <v/>
      </c>
      <c r="I52" s="499">
        <f>IF(I47&lt;E47,E47/I47-1,I47/E47-1)</f>
        <v>9.9640640313622963E-2</v>
      </c>
      <c r="J52" s="500" t="str">
        <f>IF(OR(I52&gt;=0.2,I52&lt;=-0.2),"超过20%","")</f>
        <v/>
      </c>
      <c r="K52" s="1105"/>
      <c r="L52" s="1106"/>
      <c r="M52" s="1144"/>
      <c r="N52" s="1144"/>
      <c r="O52" s="1144"/>
    </row>
    <row r="53" spans="1:15" s="502" customFormat="1" ht="13.5" customHeight="1">
      <c r="A53" s="1145"/>
      <c r="B53" s="1145"/>
      <c r="C53" s="497" t="s">
        <v>2669</v>
      </c>
      <c r="D53" s="501"/>
      <c r="E53" s="499">
        <f>IF(E46&lt;G46,G46/E46-1,E46/G46-1)</f>
        <v>7.2709488099119701E-2</v>
      </c>
      <c r="F53" s="500" t="str">
        <f>IF(OR(E53&gt;=0.3,E53&lt;=-0.3),"超过30%","")</f>
        <v/>
      </c>
      <c r="G53" s="499">
        <f>IF(G46&lt;I46,I46/G46-1,G46/I46-1)</f>
        <v>9.1459074733096113E-2</v>
      </c>
      <c r="H53" s="500" t="str">
        <f>IF(OR(G53&gt;=0.3,G53&lt;=-0.3),"超过30%","")</f>
        <v/>
      </c>
      <c r="I53" s="499">
        <f>IF(I46&lt;E46,E46/I46-1,I46/E46-1)</f>
        <v>0.17081850533807819</v>
      </c>
      <c r="J53" s="500" t="str">
        <f>IF(OR(I53&gt;=0.3,I53&lt;=-0.3),"超过30%","")</f>
        <v/>
      </c>
      <c r="K53" s="1148"/>
      <c r="L53" s="1149"/>
      <c r="M53" s="1145"/>
      <c r="N53" s="1145"/>
      <c r="O53" s="1145"/>
    </row>
    <row r="54" spans="1:15" s="502" customFormat="1" ht="14.4" thickBot="1">
      <c r="A54" s="1145"/>
      <c r="B54" s="1146"/>
      <c r="C54" s="762"/>
      <c r="D54" s="760"/>
      <c r="E54" s="760"/>
      <c r="F54" s="760"/>
      <c r="G54" s="760"/>
      <c r="H54" s="760"/>
      <c r="I54" s="760"/>
      <c r="J54" s="760"/>
      <c r="K54" s="1148"/>
      <c r="L54" s="1149"/>
      <c r="M54" s="1145"/>
      <c r="N54" s="1145"/>
      <c r="O54" s="1145"/>
    </row>
    <row r="55" spans="1:15" ht="27" customHeight="1">
      <c r="A55" s="684" t="s">
        <v>2754</v>
      </c>
      <c r="B55" s="685" t="s">
        <v>2755</v>
      </c>
      <c r="C55" s="2704" t="s">
        <v>3408</v>
      </c>
      <c r="D55" s="2705" t="s">
        <v>2757</v>
      </c>
      <c r="E55" s="686" t="s">
        <v>2758</v>
      </c>
      <c r="F55" s="1107" t="s">
        <v>2759</v>
      </c>
      <c r="G55" s="3200" t="s">
        <v>2760</v>
      </c>
      <c r="H55" s="3248"/>
      <c r="I55" s="144" t="s">
        <v>2761</v>
      </c>
      <c r="J55" s="2706" t="str">
        <f>项目基本情况!F35</f>
        <v>山东省</v>
      </c>
      <c r="K55" s="2707" t="s">
        <v>2762</v>
      </c>
      <c r="L55" s="1106"/>
      <c r="M55" s="1144"/>
      <c r="N55" s="1144"/>
      <c r="O55" s="1144"/>
    </row>
    <row r="56" spans="1:15" s="692" customFormat="1">
      <c r="A56" s="688" t="s">
        <v>2763</v>
      </c>
      <c r="B56" s="689">
        <f>C48</f>
        <v>3167</v>
      </c>
      <c r="C56" s="690">
        <v>1</v>
      </c>
      <c r="D56" s="1163">
        <v>1</v>
      </c>
      <c r="E56" s="690">
        <f>'数据-汇总表'!E8+'数据-汇总表'!E9</f>
        <v>57392.160000000003</v>
      </c>
      <c r="F56" s="1103">
        <f t="shared" ref="F56:F65" si="15">ROUND(B56*E56/10000,0)</f>
        <v>18176</v>
      </c>
      <c r="G56" s="3199"/>
      <c r="H56" s="3217"/>
      <c r="I56" s="1108">
        <v>1</v>
      </c>
      <c r="J56" s="1111">
        <v>1</v>
      </c>
      <c r="K56" s="1145"/>
      <c r="L56" s="941"/>
      <c r="M56" s="941"/>
      <c r="N56" s="941"/>
      <c r="O56" s="941"/>
    </row>
    <row r="57" spans="1:15" s="692" customFormat="1">
      <c r="A57" s="693" t="s">
        <v>2764</v>
      </c>
      <c r="B57" s="262">
        <f>ROUND($C$48*C57*D57,0)</f>
        <v>1056</v>
      </c>
      <c r="C57" s="200">
        <f t="shared" ref="C57:C65" si="16">IF($C$55="北京市系数",I57,J57)</f>
        <v>0.33329999999999999</v>
      </c>
      <c r="D57" s="1164">
        <v>1</v>
      </c>
      <c r="E57" s="694">
        <f>'数据-汇总表'!G19</f>
        <v>0</v>
      </c>
      <c r="F57" s="1103">
        <f t="shared" si="15"/>
        <v>0</v>
      </c>
      <c r="G57" s="3249" t="s">
        <v>2765</v>
      </c>
      <c r="H57" s="1104">
        <f>项目基本情况!B37</f>
        <v>0</v>
      </c>
      <c r="I57" s="1108">
        <f>SUMIF(修正!A45:A56,H57,修正!B45:B56)</f>
        <v>0</v>
      </c>
      <c r="J57" s="1112">
        <v>0.33329999999999999</v>
      </c>
      <c r="K57" s="1144"/>
      <c r="L57" s="941"/>
      <c r="M57" s="941"/>
      <c r="N57" s="941"/>
      <c r="O57" s="941"/>
    </row>
    <row r="58" spans="1:15" s="692" customFormat="1">
      <c r="A58" s="693" t="s">
        <v>2766</v>
      </c>
      <c r="B58" s="262">
        <f t="shared" ref="B58:B65" si="17">ROUND($C$48*C58*D58,0)</f>
        <v>0</v>
      </c>
      <c r="C58" s="200">
        <f t="shared" si="16"/>
        <v>0</v>
      </c>
      <c r="D58" s="1164">
        <v>0.25</v>
      </c>
      <c r="E58" s="694"/>
      <c r="F58" s="1103">
        <f t="shared" si="15"/>
        <v>0</v>
      </c>
      <c r="G58" s="3249"/>
      <c r="H58" s="1104">
        <f>项目基本情况!B37</f>
        <v>0</v>
      </c>
      <c r="I58" s="1108">
        <f>SUMIF(修正!A45:A56,H58,修正!C45:C56)</f>
        <v>0</v>
      </c>
      <c r="J58" s="1112"/>
      <c r="K58" s="1145"/>
      <c r="L58" s="941"/>
      <c r="M58" s="941"/>
      <c r="N58" s="941"/>
      <c r="O58" s="941"/>
    </row>
    <row r="59" spans="1:15" s="692" customFormat="1">
      <c r="A59" s="693" t="s">
        <v>2767</v>
      </c>
      <c r="B59" s="262">
        <f t="shared" si="17"/>
        <v>0</v>
      </c>
      <c r="C59" s="200">
        <f t="shared" si="16"/>
        <v>0</v>
      </c>
      <c r="D59" s="1164">
        <v>0.25</v>
      </c>
      <c r="E59" s="694"/>
      <c r="F59" s="1103">
        <f t="shared" si="15"/>
        <v>0</v>
      </c>
      <c r="G59" s="3249"/>
      <c r="H59" s="1104">
        <f>项目基本情况!B37</f>
        <v>0</v>
      </c>
      <c r="I59" s="1108">
        <f>SUMIF(修正!A45:A56,H59,修正!D45:D56)</f>
        <v>0</v>
      </c>
      <c r="J59" s="1112"/>
      <c r="K59" s="1144"/>
      <c r="L59" s="941"/>
      <c r="M59" s="941"/>
      <c r="N59" s="941"/>
      <c r="O59" s="941"/>
    </row>
    <row r="60" spans="1:15" s="692" customFormat="1">
      <c r="A60" s="693" t="s">
        <v>2768</v>
      </c>
      <c r="B60" s="262">
        <f t="shared" si="17"/>
        <v>0</v>
      </c>
      <c r="C60" s="200">
        <f t="shared" si="16"/>
        <v>0</v>
      </c>
      <c r="D60" s="1164">
        <v>0.25</v>
      </c>
      <c r="E60" s="694"/>
      <c r="F60" s="1103">
        <f t="shared" si="15"/>
        <v>0</v>
      </c>
      <c r="G60" s="3249"/>
      <c r="H60" s="1104">
        <f>项目基本情况!B37</f>
        <v>0</v>
      </c>
      <c r="I60" s="1108">
        <f>SUMIF(修正!A45:A56,H60,修正!E45:E56)</f>
        <v>0</v>
      </c>
      <c r="J60" s="1112"/>
      <c r="K60" s="1145"/>
      <c r="L60" s="941"/>
      <c r="M60" s="941"/>
      <c r="N60" s="941"/>
      <c r="O60" s="941"/>
    </row>
    <row r="61" spans="1:15" s="692" customFormat="1">
      <c r="A61" s="693" t="s">
        <v>2769</v>
      </c>
      <c r="B61" s="262">
        <f t="shared" si="17"/>
        <v>0</v>
      </c>
      <c r="C61" s="200">
        <f t="shared" si="16"/>
        <v>0</v>
      </c>
      <c r="D61" s="1164">
        <v>0.25</v>
      </c>
      <c r="E61" s="261">
        <f>'数据-汇总表'!E11</f>
        <v>0</v>
      </c>
      <c r="F61" s="1103">
        <f t="shared" si="15"/>
        <v>0</v>
      </c>
      <c r="G61" s="2708" t="s">
        <v>2770</v>
      </c>
      <c r="H61" s="1104">
        <f>项目基本情况!C37</f>
        <v>0</v>
      </c>
      <c r="I61" s="1108">
        <f>SUMIF(修正!A45:A56,H61,修正!F45:F56)</f>
        <v>0</v>
      </c>
      <c r="J61" s="1112"/>
      <c r="K61" s="1144"/>
      <c r="L61" s="941"/>
      <c r="M61" s="941"/>
      <c r="N61" s="941"/>
      <c r="O61" s="941"/>
    </row>
    <row r="62" spans="1:15" s="692" customFormat="1">
      <c r="A62" s="693" t="s">
        <v>2771</v>
      </c>
      <c r="B62" s="262">
        <f t="shared" si="17"/>
        <v>0</v>
      </c>
      <c r="C62" s="200">
        <f t="shared" si="16"/>
        <v>0</v>
      </c>
      <c r="D62" s="1164">
        <v>0.25</v>
      </c>
      <c r="E62" s="261">
        <f>'数据-汇总表'!E12</f>
        <v>0</v>
      </c>
      <c r="F62" s="1103">
        <f t="shared" si="15"/>
        <v>0</v>
      </c>
      <c r="G62" s="1109" t="s">
        <v>2772</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2773</v>
      </c>
      <c r="B63" s="262">
        <f t="shared" si="17"/>
        <v>0</v>
      </c>
      <c r="C63" s="200">
        <f t="shared" si="16"/>
        <v>0</v>
      </c>
      <c r="D63" s="1164">
        <v>0.25</v>
      </c>
      <c r="E63" s="261">
        <f>'数据-汇总表'!E13</f>
        <v>0</v>
      </c>
      <c r="F63" s="1103">
        <f t="shared" si="15"/>
        <v>0</v>
      </c>
      <c r="G63" s="1109" t="s">
        <v>2774</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2775</v>
      </c>
      <c r="B64" s="262">
        <f t="shared" si="17"/>
        <v>0</v>
      </c>
      <c r="C64" s="200">
        <f t="shared" si="16"/>
        <v>0</v>
      </c>
      <c r="D64" s="1164">
        <v>0.25</v>
      </c>
      <c r="E64" s="261">
        <f>'数据-汇总表'!E14</f>
        <v>0</v>
      </c>
      <c r="F64" s="1103">
        <f t="shared" si="15"/>
        <v>0</v>
      </c>
      <c r="G64" s="2708" t="s">
        <v>2765</v>
      </c>
      <c r="H64" s="1104">
        <f>项目基本情况!B37</f>
        <v>0</v>
      </c>
      <c r="I64" s="1108">
        <f>SUMIF(修正!A45:A56,H64,修正!H45:H56)</f>
        <v>0</v>
      </c>
      <c r="J64" s="1112"/>
      <c r="K64" s="1145"/>
      <c r="L64" s="941"/>
      <c r="M64" s="941"/>
      <c r="N64" s="941"/>
      <c r="O64" s="941"/>
    </row>
    <row r="65" spans="1:17" s="692" customFormat="1" ht="14.4" thickBot="1">
      <c r="A65" s="693" t="s">
        <v>2776</v>
      </c>
      <c r="B65" s="262">
        <f t="shared" si="17"/>
        <v>0</v>
      </c>
      <c r="C65" s="200">
        <f t="shared" si="16"/>
        <v>0</v>
      </c>
      <c r="D65" s="1164">
        <v>0.25</v>
      </c>
      <c r="E65" s="261">
        <f>'数据-汇总表'!E15</f>
        <v>0</v>
      </c>
      <c r="F65" s="1103">
        <f t="shared" si="15"/>
        <v>0</v>
      </c>
      <c r="G65" s="2709" t="s">
        <v>2770</v>
      </c>
      <c r="H65" s="1114">
        <f>项目基本情况!C37</f>
        <v>0</v>
      </c>
      <c r="I65" s="1110">
        <f>SUMIF(修正!A45:A56,H65,修正!H45:H56)</f>
        <v>0</v>
      </c>
      <c r="J65" s="1113"/>
      <c r="K65" s="1144"/>
      <c r="L65" s="941"/>
      <c r="M65" s="941"/>
      <c r="N65" s="941"/>
      <c r="O65" s="941"/>
    </row>
    <row r="66" spans="1:17" s="692" customFormat="1" thickBot="1">
      <c r="A66" s="695" t="s">
        <v>2777</v>
      </c>
      <c r="B66" s="696" t="s">
        <v>28</v>
      </c>
      <c r="C66" s="696" t="s">
        <v>29</v>
      </c>
      <c r="D66" s="696" t="s">
        <v>1026</v>
      </c>
      <c r="E66" s="696">
        <f>IF(B46="楼面地价",SUM(E56:E65),'数据-汇总表'!D3)</f>
        <v>57392.160000000003</v>
      </c>
      <c r="F66" s="697">
        <f>IF(B46="楼面地价",SUM(F56:F65),ROUND(C48*E66/10000,0))</f>
        <v>18176</v>
      </c>
      <c r="G66" s="787"/>
      <c r="H66" s="787"/>
      <c r="I66" s="787"/>
      <c r="J66" s="787"/>
      <c r="K66" s="1158"/>
      <c r="L66" s="941"/>
      <c r="M66" s="941"/>
      <c r="N66" s="941"/>
      <c r="O66" s="941"/>
    </row>
    <row r="67" spans="1:17">
      <c r="A67" s="759"/>
      <c r="B67" s="761"/>
      <c r="C67" s="762"/>
      <c r="D67" s="759"/>
      <c r="E67" s="759"/>
      <c r="F67" s="759"/>
      <c r="G67" s="759"/>
      <c r="H67" s="759"/>
      <c r="I67" s="759"/>
      <c r="J67" s="1144"/>
      <c r="K67" s="1105"/>
      <c r="L67" s="1106"/>
      <c r="M67" s="1144"/>
      <c r="N67" s="1144"/>
      <c r="O67" s="1144"/>
    </row>
    <row r="68" spans="1:17">
      <c r="A68" s="759"/>
      <c r="B68" s="761"/>
      <c r="C68" s="761" t="str">
        <f>YEAR(C7)&amp;"-"&amp;MONTH(C7)&amp;"-1"</f>
        <v>2019-8-1</v>
      </c>
      <c r="D68" s="761">
        <f>EDATE(C68,-3)</f>
        <v>43586</v>
      </c>
      <c r="E68" s="761">
        <f>EDATE(D68,-3)</f>
        <v>43497</v>
      </c>
      <c r="F68" s="761">
        <f t="shared" ref="F68:O68" si="18">EDATE(E68,-3)</f>
        <v>43405</v>
      </c>
      <c r="G68" s="761">
        <f t="shared" si="18"/>
        <v>43313</v>
      </c>
      <c r="H68" s="761">
        <f t="shared" si="18"/>
        <v>43221</v>
      </c>
      <c r="I68" s="761">
        <f t="shared" si="18"/>
        <v>43132</v>
      </c>
      <c r="J68" s="761">
        <f t="shared" si="18"/>
        <v>43040</v>
      </c>
      <c r="K68" s="761">
        <f t="shared" si="18"/>
        <v>42948</v>
      </c>
      <c r="L68" s="761">
        <f t="shared" si="18"/>
        <v>42856</v>
      </c>
      <c r="M68" s="761">
        <f t="shared" si="18"/>
        <v>42767</v>
      </c>
      <c r="N68" s="761">
        <f t="shared" si="18"/>
        <v>42675</v>
      </c>
      <c r="O68" s="761">
        <f t="shared" si="18"/>
        <v>42583</v>
      </c>
    </row>
    <row r="69" spans="1:17" ht="22.2" thickBot="1">
      <c r="A69" s="763" t="s">
        <v>2670</v>
      </c>
      <c r="B69" s="759"/>
      <c r="C69" s="764"/>
      <c r="D69" s="764"/>
      <c r="E69" s="764"/>
      <c r="F69" s="765"/>
      <c r="G69" s="765"/>
      <c r="H69" s="764"/>
      <c r="I69" s="764"/>
      <c r="J69" s="1159"/>
      <c r="K69" s="1160"/>
      <c r="L69" s="1161"/>
      <c r="M69" s="1159"/>
      <c r="N69" s="1159"/>
      <c r="O69" s="1159"/>
      <c r="P69" s="503"/>
      <c r="Q69" s="504"/>
    </row>
    <row r="70" spans="1:17" s="508" customFormat="1" ht="14.4">
      <c r="A70" s="2710" t="s">
        <v>2778</v>
      </c>
      <c r="B70" s="1359"/>
      <c r="C70" s="1572" t="str">
        <f>YEAR(C68)&amp;"-"&amp;ROUNDUP(MONTH(C68)/3,0)</f>
        <v>2019-3</v>
      </c>
      <c r="D70" s="1572" t="str">
        <f>YEAR(D68)&amp;"-"&amp;ROUNDUP(MONTH(D68)/3,0)</f>
        <v>2019-2</v>
      </c>
      <c r="E70" s="1572" t="str">
        <f t="shared" ref="E70:O70" si="19">YEAR(E68)&amp;"-"&amp;ROUNDUP(MONTH(E68)/3,0)</f>
        <v>2019-1</v>
      </c>
      <c r="F70" s="1572" t="str">
        <f t="shared" si="19"/>
        <v>2018-4</v>
      </c>
      <c r="G70" s="1572" t="str">
        <f t="shared" si="19"/>
        <v>2018-3</v>
      </c>
      <c r="H70" s="1572" t="str">
        <f t="shared" si="19"/>
        <v>2018-2</v>
      </c>
      <c r="I70" s="1572" t="str">
        <f t="shared" si="19"/>
        <v>2018-1</v>
      </c>
      <c r="J70" s="1572" t="str">
        <f t="shared" si="19"/>
        <v>2017-4</v>
      </c>
      <c r="K70" s="1572" t="str">
        <f t="shared" si="19"/>
        <v>2017-3</v>
      </c>
      <c r="L70" s="1572" t="str">
        <f t="shared" si="19"/>
        <v>2017-2</v>
      </c>
      <c r="M70" s="1572" t="str">
        <f t="shared" si="19"/>
        <v>2017-1</v>
      </c>
      <c r="N70" s="1572" t="str">
        <f t="shared" si="19"/>
        <v>2016-4</v>
      </c>
      <c r="O70" s="1572" t="str">
        <f t="shared" si="19"/>
        <v>2016-3</v>
      </c>
      <c r="P70" s="507"/>
    </row>
    <row r="71" spans="1:17" s="117" customFormat="1" ht="30" customHeight="1">
      <c r="A71" s="2711" t="s">
        <v>2779</v>
      </c>
      <c r="B71" s="332" t="str">
        <f>"北京市平均增长率"&amp;TEXT(SUMIF(基准地价修正!N21:N25,A71,基准地价修正!P21:P25),"0.00%")</f>
        <v>北京市平均增长率2.23%</v>
      </c>
      <c r="C71" s="603">
        <v>100</v>
      </c>
      <c r="D71" s="595">
        <v>98</v>
      </c>
      <c r="E71" s="595">
        <v>96</v>
      </c>
      <c r="F71" s="595">
        <v>96</v>
      </c>
      <c r="G71" s="595">
        <v>94</v>
      </c>
      <c r="H71" s="595">
        <v>92</v>
      </c>
      <c r="I71" s="595"/>
      <c r="J71" s="595"/>
      <c r="K71" s="595"/>
      <c r="L71" s="595"/>
      <c r="M71" s="1567"/>
      <c r="N71" s="595"/>
      <c r="O71" s="1568"/>
      <c r="P71" s="504"/>
    </row>
    <row r="72" spans="1:17" s="117" customFormat="1" ht="15" thickBot="1">
      <c r="A72" s="515" t="s">
        <v>2581</v>
      </c>
      <c r="B72" s="516"/>
      <c r="C72" s="517"/>
      <c r="D72" s="518"/>
      <c r="E72" s="518"/>
      <c r="F72" s="518"/>
      <c r="G72" s="518"/>
      <c r="H72" s="518"/>
      <c r="I72" s="518"/>
      <c r="J72" s="518"/>
      <c r="K72" s="518"/>
      <c r="L72" s="518"/>
      <c r="M72" s="519"/>
      <c r="N72" s="518"/>
      <c r="O72" s="1162"/>
      <c r="P72" s="504"/>
      <c r="Q72" s="504"/>
    </row>
    <row r="73" spans="1:17" s="117" customFormat="1" ht="14.4">
      <c r="A73" s="521" t="s">
        <v>2546</v>
      </c>
      <c r="B73" s="510"/>
      <c r="C73" s="522" t="s">
        <v>2648</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2584</v>
      </c>
      <c r="B75" s="528" t="s">
        <v>2550</v>
      </c>
      <c r="C75" s="2959" t="s">
        <v>3086</v>
      </c>
      <c r="D75" s="530"/>
      <c r="E75" s="530"/>
      <c r="F75" s="530"/>
      <c r="G75" s="530"/>
      <c r="H75" s="530"/>
      <c r="I75" s="530"/>
      <c r="J75" s="530"/>
      <c r="K75" s="531"/>
      <c r="L75" s="532"/>
      <c r="M75" s="533"/>
      <c r="N75" s="1152"/>
      <c r="O75" s="1152"/>
      <c r="P75" s="45"/>
      <c r="Q75" s="504"/>
    </row>
    <row r="76" spans="1:17" ht="14.4" thickBot="1">
      <c r="A76" s="534"/>
      <c r="B76" s="535"/>
      <c r="C76" s="536">
        <v>100</v>
      </c>
      <c r="D76" s="536"/>
      <c r="E76" s="536"/>
      <c r="F76" s="536"/>
      <c r="G76" s="536"/>
      <c r="H76" s="536"/>
      <c r="I76" s="536"/>
      <c r="J76" s="536"/>
      <c r="K76" s="536"/>
      <c r="L76" s="536"/>
      <c r="M76" s="537"/>
      <c r="N76" s="1153"/>
      <c r="O76" s="1153"/>
      <c r="P76" s="45"/>
      <c r="Q76" s="504"/>
    </row>
    <row r="77" spans="1:17" ht="29.4" thickTop="1">
      <c r="A77" s="534"/>
      <c r="B77" s="538" t="s">
        <v>2553</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2554</v>
      </c>
      <c r="C79" s="547" t="str">
        <f>C80&amp;"（含）"&amp;"-"&amp;D80</f>
        <v>0（含）-0.5</v>
      </c>
      <c r="D79" s="547" t="str">
        <f t="shared" ref="D79:L79" si="20">D80&amp;"（含）"&amp;"-"&amp;E80</f>
        <v>0.5（含）-1</v>
      </c>
      <c r="E79" s="547" t="str">
        <f t="shared" si="20"/>
        <v>1（含）-1.5</v>
      </c>
      <c r="F79" s="547" t="str">
        <f t="shared" si="20"/>
        <v>1.5（含）-2</v>
      </c>
      <c r="G79" s="547" t="str">
        <f t="shared" si="20"/>
        <v>2（含）-2.5</v>
      </c>
      <c r="H79" s="547" t="str">
        <f t="shared" si="20"/>
        <v>2.5（含）-3</v>
      </c>
      <c r="I79" s="547" t="str">
        <f t="shared" si="20"/>
        <v>3（含）-</v>
      </c>
      <c r="J79" s="547" t="str">
        <f t="shared" si="20"/>
        <v>（含）-</v>
      </c>
      <c r="K79" s="547" t="str">
        <f t="shared" si="20"/>
        <v>（含）-</v>
      </c>
      <c r="L79" s="547" t="str">
        <f t="shared" si="20"/>
        <v>（含）-</v>
      </c>
      <c r="M79" s="448" t="str">
        <f>M80&amp;"（含）"&amp;"-"&amp;P80</f>
        <v>（含）-</v>
      </c>
      <c r="N79" s="1153"/>
      <c r="O79" s="1153"/>
      <c r="P79" s="45"/>
      <c r="Q79" s="504"/>
    </row>
    <row r="80" spans="1:17">
      <c r="A80" s="534"/>
      <c r="B80" s="548"/>
      <c r="C80" s="549">
        <v>0</v>
      </c>
      <c r="D80" s="549">
        <v>0.5</v>
      </c>
      <c r="E80" s="549">
        <v>1</v>
      </c>
      <c r="F80" s="549">
        <v>1.5</v>
      </c>
      <c r="G80" s="549">
        <v>2</v>
      </c>
      <c r="H80" s="549">
        <v>2.5</v>
      </c>
      <c r="I80" s="549">
        <v>3</v>
      </c>
      <c r="J80" s="549"/>
      <c r="K80" s="550"/>
      <c r="L80" s="551"/>
      <c r="M80" s="552"/>
      <c r="N80" s="1152"/>
      <c r="O80" s="1152"/>
      <c r="P80" s="45"/>
      <c r="Q80" s="504"/>
    </row>
    <row r="81" spans="1:17" ht="14.4"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2555</v>
      </c>
      <c r="B88" s="528" t="s">
        <v>2592</v>
      </c>
      <c r="C88" s="573" t="s">
        <v>2593</v>
      </c>
      <c r="D88" s="573" t="s">
        <v>2594</v>
      </c>
      <c r="E88" s="573" t="s">
        <v>2595</v>
      </c>
      <c r="F88" s="573" t="s">
        <v>2596</v>
      </c>
      <c r="G88" s="573" t="s">
        <v>2597</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2780</v>
      </c>
      <c r="C90" s="578" t="s">
        <v>2593</v>
      </c>
      <c r="D90" s="578" t="s">
        <v>2594</v>
      </c>
      <c r="E90" s="578" t="s">
        <v>2595</v>
      </c>
      <c r="F90" s="578" t="s">
        <v>2596</v>
      </c>
      <c r="G90" s="578" t="s">
        <v>2597</v>
      </c>
      <c r="H90" s="539"/>
      <c r="I90" s="539"/>
      <c r="J90" s="539"/>
      <c r="K90" s="540"/>
      <c r="L90" s="541"/>
      <c r="M90" s="542"/>
      <c r="N90" s="1152"/>
      <c r="O90" s="1152"/>
      <c r="P90" s="45"/>
      <c r="Q90" s="504"/>
    </row>
    <row r="91" spans="1:17" ht="14.4" thickBot="1">
      <c r="A91" s="534"/>
      <c r="B91" s="543"/>
      <c r="C91" s="544">
        <v>100</v>
      </c>
      <c r="D91" s="544">
        <f>C91-$K17</f>
        <v>95</v>
      </c>
      <c r="E91" s="544">
        <f>D91-$K17</f>
        <v>90</v>
      </c>
      <c r="F91" s="544">
        <f>E91-$K17</f>
        <v>85</v>
      </c>
      <c r="G91" s="544">
        <f>F91-$K17</f>
        <v>80</v>
      </c>
      <c r="H91" s="544"/>
      <c r="I91" s="544"/>
      <c r="J91" s="544"/>
      <c r="K91" s="544"/>
      <c r="L91" s="544"/>
      <c r="M91" s="545"/>
      <c r="N91" s="1153"/>
      <c r="O91" s="1153"/>
      <c r="P91" s="45"/>
      <c r="Q91" s="504"/>
    </row>
    <row r="92" spans="1:17" ht="15" thickTop="1">
      <c r="A92" s="534"/>
      <c r="B92" s="538" t="s">
        <v>2693</v>
      </c>
      <c r="C92" s="578" t="s">
        <v>2593</v>
      </c>
      <c r="D92" s="578" t="s">
        <v>2594</v>
      </c>
      <c r="E92" s="578" t="s">
        <v>2595</v>
      </c>
      <c r="F92" s="578" t="s">
        <v>2596</v>
      </c>
      <c r="G92" s="578" t="s">
        <v>2597</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2598</v>
      </c>
      <c r="C94" s="578" t="s">
        <v>2593</v>
      </c>
      <c r="D94" s="578" t="s">
        <v>2594</v>
      </c>
      <c r="E94" s="578" t="s">
        <v>2595</v>
      </c>
      <c r="F94" s="578" t="s">
        <v>2596</v>
      </c>
      <c r="G94" s="578" t="s">
        <v>2597</v>
      </c>
      <c r="H94" s="539"/>
      <c r="I94" s="539"/>
      <c r="J94" s="539"/>
      <c r="K94" s="540"/>
      <c r="L94" s="541"/>
      <c r="M94" s="542"/>
      <c r="N94" s="1152"/>
      <c r="O94" s="1152"/>
      <c r="P94" s="45"/>
      <c r="Q94" s="504"/>
    </row>
    <row r="95" spans="1:17" ht="14.4" thickBot="1">
      <c r="A95" s="534"/>
      <c r="B95" s="543"/>
      <c r="C95" s="544">
        <v>100</v>
      </c>
      <c r="D95" s="544">
        <f>C95-$K21</f>
        <v>95</v>
      </c>
      <c r="E95" s="544">
        <f>D95-$K21</f>
        <v>90</v>
      </c>
      <c r="F95" s="544">
        <f>E95-$K21</f>
        <v>85</v>
      </c>
      <c r="G95" s="544">
        <f>F95-$K21</f>
        <v>80</v>
      </c>
      <c r="H95" s="544"/>
      <c r="I95" s="544"/>
      <c r="J95" s="544"/>
      <c r="K95" s="544"/>
      <c r="L95" s="544"/>
      <c r="M95" s="545"/>
      <c r="N95" s="1153"/>
      <c r="O95" s="1153"/>
      <c r="P95" s="45"/>
      <c r="Q95" s="504"/>
    </row>
    <row r="96" spans="1:17" s="117" customFormat="1" ht="29.4" thickTop="1">
      <c r="A96" s="579"/>
      <c r="B96" s="538" t="s">
        <v>2781</v>
      </c>
      <c r="C96" s="578" t="s">
        <v>2593</v>
      </c>
      <c r="D96" s="578" t="s">
        <v>2594</v>
      </c>
      <c r="E96" s="578" t="s">
        <v>2595</v>
      </c>
      <c r="F96" s="578" t="s">
        <v>2596</v>
      </c>
      <c r="G96" s="578" t="s">
        <v>2597</v>
      </c>
      <c r="H96" s="578"/>
      <c r="I96" s="578"/>
      <c r="J96" s="578"/>
      <c r="K96" s="578"/>
      <c r="L96" s="698"/>
      <c r="M96" s="622"/>
      <c r="N96" s="1151"/>
      <c r="O96" s="1151"/>
      <c r="P96" s="45"/>
      <c r="Q96" s="504"/>
    </row>
    <row r="97" spans="1:17" s="117" customFormat="1" ht="14.4" thickBot="1">
      <c r="A97" s="579"/>
      <c r="B97" s="543"/>
      <c r="C97" s="582">
        <v>100</v>
      </c>
      <c r="D97" s="544">
        <f>C97-$K23</f>
        <v>98</v>
      </c>
      <c r="E97" s="544">
        <f>D97-$K23</f>
        <v>96</v>
      </c>
      <c r="F97" s="544">
        <f>E97-$K23</f>
        <v>94</v>
      </c>
      <c r="G97" s="544">
        <f>F97-$K23</f>
        <v>92</v>
      </c>
      <c r="H97" s="544"/>
      <c r="I97" s="544"/>
      <c r="J97" s="544"/>
      <c r="K97" s="544"/>
      <c r="L97" s="544"/>
      <c r="M97" s="545"/>
      <c r="N97" s="1153"/>
      <c r="O97" s="1153"/>
      <c r="P97" s="45"/>
      <c r="Q97" s="504"/>
    </row>
    <row r="98" spans="1:17" s="117" customFormat="1" ht="29.4" thickTop="1">
      <c r="A98" s="579"/>
      <c r="B98" s="538" t="s">
        <v>2782</v>
      </c>
      <c r="C98" s="573" t="s">
        <v>2593</v>
      </c>
      <c r="D98" s="573" t="s">
        <v>2594</v>
      </c>
      <c r="E98" s="573" t="s">
        <v>2595</v>
      </c>
      <c r="F98" s="573" t="s">
        <v>2596</v>
      </c>
      <c r="G98" s="573" t="s">
        <v>2597</v>
      </c>
      <c r="H98" s="578"/>
      <c r="I98" s="578"/>
      <c r="J98" s="578"/>
      <c r="K98" s="578"/>
      <c r="L98" s="578"/>
      <c r="M98" s="622"/>
      <c r="N98" s="1151"/>
      <c r="O98" s="1151"/>
      <c r="P98" s="45"/>
      <c r="Q98" s="504"/>
    </row>
    <row r="99" spans="1:17" s="117" customFormat="1" ht="14.4" thickBot="1">
      <c r="A99" s="579"/>
      <c r="B99" s="543"/>
      <c r="C99" s="544">
        <v>100</v>
      </c>
      <c r="D99" s="544">
        <f>C99-$K25</f>
        <v>95</v>
      </c>
      <c r="E99" s="544">
        <f>D99-$K25</f>
        <v>90</v>
      </c>
      <c r="F99" s="544">
        <f>E99-$K25</f>
        <v>85</v>
      </c>
      <c r="G99" s="544">
        <f>F99-$K25</f>
        <v>80</v>
      </c>
      <c r="H99" s="544"/>
      <c r="I99" s="544"/>
      <c r="J99" s="544"/>
      <c r="K99" s="544"/>
      <c r="L99" s="544"/>
      <c r="M99" s="545"/>
      <c r="N99" s="1153"/>
      <c r="O99" s="1153"/>
      <c r="P99" s="45"/>
      <c r="Q99" s="504"/>
    </row>
    <row r="100" spans="1:17" s="471" customFormat="1" ht="15" thickTop="1">
      <c r="A100" s="553"/>
      <c r="B100" s="538" t="s">
        <v>2650</v>
      </c>
      <c r="C100" s="573" t="s">
        <v>2593</v>
      </c>
      <c r="D100" s="573" t="s">
        <v>2594</v>
      </c>
      <c r="E100" s="573" t="s">
        <v>2595</v>
      </c>
      <c r="F100" s="573" t="s">
        <v>2596</v>
      </c>
      <c r="G100" s="573" t="s">
        <v>2597</v>
      </c>
      <c r="H100" s="600"/>
      <c r="I100" s="600"/>
      <c r="J100" s="600"/>
      <c r="K100" s="600"/>
      <c r="L100" s="601"/>
      <c r="M100" s="602"/>
      <c r="N100" s="1154"/>
      <c r="O100" s="1154"/>
      <c r="P100" s="558"/>
      <c r="Q100" s="559"/>
    </row>
    <row r="101" spans="1:17" s="471" customFormat="1" ht="14.4" thickBot="1">
      <c r="A101" s="553"/>
      <c r="B101" s="543"/>
      <c r="C101" s="544">
        <v>100</v>
      </c>
      <c r="D101" s="544">
        <f>C101-$K27</f>
        <v>95</v>
      </c>
      <c r="E101" s="544">
        <f>D101-$K27</f>
        <v>90</v>
      </c>
      <c r="F101" s="544">
        <f>E101-$K27</f>
        <v>85</v>
      </c>
      <c r="G101" s="544">
        <f>F101-$K27</f>
        <v>80</v>
      </c>
      <c r="H101" s="607"/>
      <c r="I101" s="607"/>
      <c r="J101" s="607"/>
      <c r="K101" s="607"/>
      <c r="L101" s="607"/>
      <c r="M101" s="608"/>
      <c r="N101" s="1154"/>
      <c r="O101" s="1154"/>
      <c r="P101" s="558"/>
      <c r="Q101" s="559"/>
    </row>
    <row r="102" spans="1:17" s="471" customFormat="1" ht="15" thickTop="1">
      <c r="A102" s="553"/>
      <c r="B102" s="546" t="s">
        <v>2651</v>
      </c>
      <c r="C102" s="660" t="s">
        <v>2671</v>
      </c>
      <c r="D102" s="660" t="s">
        <v>2672</v>
      </c>
      <c r="E102" s="660" t="s">
        <v>2673</v>
      </c>
      <c r="F102" s="660" t="s">
        <v>2674</v>
      </c>
      <c r="G102" s="660" t="s">
        <v>2675</v>
      </c>
      <c r="H102" s="600"/>
      <c r="I102" s="600"/>
      <c r="J102" s="600"/>
      <c r="K102" s="600"/>
      <c r="L102" s="600"/>
      <c r="M102" s="1385"/>
      <c r="N102" s="1154"/>
      <c r="O102" s="1154"/>
      <c r="P102" s="558"/>
      <c r="Q102" s="559"/>
    </row>
    <row r="103" spans="1:17" s="471" customFormat="1" ht="14.4" thickBot="1">
      <c r="A103" s="553"/>
      <c r="B103" s="546"/>
      <c r="C103" s="544">
        <v>100</v>
      </c>
      <c r="D103" s="544">
        <f>C103-$K29</f>
        <v>98</v>
      </c>
      <c r="E103" s="544">
        <f>D103-$K29</f>
        <v>96</v>
      </c>
      <c r="F103" s="544">
        <f>E103-$K29</f>
        <v>94</v>
      </c>
      <c r="G103" s="544">
        <f>F103-$K29</f>
        <v>92</v>
      </c>
      <c r="H103" s="548"/>
      <c r="I103" s="548"/>
      <c r="J103" s="548"/>
      <c r="K103" s="548"/>
      <c r="L103" s="548"/>
      <c r="M103" s="1385"/>
      <c r="N103" s="1154"/>
      <c r="O103" s="1154"/>
      <c r="P103" s="558"/>
      <c r="Q103" s="559"/>
    </row>
    <row r="104" spans="1:17" ht="15" thickTop="1">
      <c r="A104" s="534"/>
      <c r="B104" s="538" t="str">
        <f>B31</f>
        <v>临街状况</v>
      </c>
      <c r="C104" s="539" t="s">
        <v>2783</v>
      </c>
      <c r="D104" s="539" t="s">
        <v>2784</v>
      </c>
      <c r="E104" s="539" t="s">
        <v>2785</v>
      </c>
      <c r="F104" s="539" t="s">
        <v>2786</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2687</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2746</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27.6">
      <c r="A116" s="527" t="s">
        <v>2559</v>
      </c>
      <c r="B116" s="528" t="s">
        <v>2787</v>
      </c>
      <c r="C116" s="529" t="str">
        <f>C117&amp;"(含)"&amp;"-"&amp;D117</f>
        <v>0(含)-10000</v>
      </c>
      <c r="D116" s="529" t="str">
        <f t="shared" ref="D116:M116" si="25">D117&amp;"(含)"&amp;"-"&amp;E117</f>
        <v>10000(含)-20000</v>
      </c>
      <c r="E116" s="529" t="str">
        <f t="shared" si="25"/>
        <v>20000(含)-30000</v>
      </c>
      <c r="F116" s="529" t="str">
        <f t="shared" si="25"/>
        <v>30000(含)-40000</v>
      </c>
      <c r="G116" s="529" t="str">
        <f t="shared" si="25"/>
        <v>40000(含)-50000</v>
      </c>
      <c r="H116" s="529" t="str">
        <f t="shared" si="25"/>
        <v>50000(含)-60000</v>
      </c>
      <c r="I116" s="529" t="str">
        <f t="shared" si="25"/>
        <v>60000(含)-70000</v>
      </c>
      <c r="J116" s="529" t="str">
        <f t="shared" si="25"/>
        <v>70000(含)-</v>
      </c>
      <c r="K116" s="529" t="str">
        <f t="shared" si="25"/>
        <v>(含)-</v>
      </c>
      <c r="L116" s="529" t="str">
        <f t="shared" si="25"/>
        <v>(含)-</v>
      </c>
      <c r="M116" s="529" t="str">
        <f t="shared" si="25"/>
        <v>(含)-</v>
      </c>
      <c r="N116" s="1152"/>
      <c r="O116" s="1152"/>
      <c r="P116" s="45"/>
      <c r="Q116" s="504"/>
    </row>
    <row r="117" spans="1:17">
      <c r="A117" s="534"/>
      <c r="B117" s="546"/>
      <c r="C117" s="595">
        <v>0</v>
      </c>
      <c r="D117" s="595">
        <f>C117+10000</f>
        <v>10000</v>
      </c>
      <c r="E117" s="595">
        <f t="shared" ref="E117:J117" si="26">D117+10000</f>
        <v>20000</v>
      </c>
      <c r="F117" s="595">
        <f t="shared" si="26"/>
        <v>30000</v>
      </c>
      <c r="G117" s="595">
        <f t="shared" si="26"/>
        <v>40000</v>
      </c>
      <c r="H117" s="595">
        <f t="shared" si="26"/>
        <v>50000</v>
      </c>
      <c r="I117" s="595">
        <f t="shared" si="26"/>
        <v>60000</v>
      </c>
      <c r="J117" s="595">
        <f t="shared" si="26"/>
        <v>70000</v>
      </c>
      <c r="K117" s="596"/>
      <c r="L117" s="597"/>
      <c r="M117" s="598"/>
      <c r="N117" s="1152"/>
      <c r="O117" s="1152"/>
      <c r="P117" s="45"/>
      <c r="Q117" s="504"/>
    </row>
    <row r="118" spans="1:17" ht="14.4" thickBot="1">
      <c r="A118" s="534"/>
      <c r="B118" s="543"/>
      <c r="C118" s="570">
        <v>100</v>
      </c>
      <c r="D118" s="591">
        <f>C118+1</f>
        <v>101</v>
      </c>
      <c r="E118" s="591">
        <f t="shared" ref="E118:J118" si="27">D118+1</f>
        <v>102</v>
      </c>
      <c r="F118" s="591">
        <f t="shared" si="27"/>
        <v>103</v>
      </c>
      <c r="G118" s="591">
        <f t="shared" si="27"/>
        <v>104</v>
      </c>
      <c r="H118" s="591">
        <f t="shared" si="27"/>
        <v>105</v>
      </c>
      <c r="I118" s="591">
        <f t="shared" si="27"/>
        <v>106</v>
      </c>
      <c r="J118" s="591">
        <f t="shared" si="27"/>
        <v>107</v>
      </c>
      <c r="K118" s="591"/>
      <c r="L118" s="591"/>
      <c r="M118" s="592"/>
      <c r="N118" s="1153"/>
      <c r="O118" s="1153"/>
      <c r="P118" s="45"/>
      <c r="Q118" s="504"/>
    </row>
    <row r="119" spans="1:17" ht="15" thickTop="1">
      <c r="A119" s="599"/>
      <c r="B119" s="538" t="s">
        <v>2788</v>
      </c>
      <c r="C119" s="2960" t="s">
        <v>3087</v>
      </c>
      <c r="D119" s="2960" t="s">
        <v>3088</v>
      </c>
      <c r="E119" s="2960" t="s">
        <v>3089</v>
      </c>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8">C120-$K39</f>
        <v>98</v>
      </c>
      <c r="E120" s="544">
        <f t="shared" si="28"/>
        <v>96</v>
      </c>
      <c r="F120" s="544">
        <f t="shared" si="28"/>
        <v>94</v>
      </c>
      <c r="G120" s="544">
        <f t="shared" si="28"/>
        <v>92</v>
      </c>
      <c r="H120" s="544">
        <f t="shared" si="28"/>
        <v>90</v>
      </c>
      <c r="I120" s="544">
        <f t="shared" si="28"/>
        <v>88</v>
      </c>
      <c r="J120" s="544">
        <f t="shared" si="28"/>
        <v>86</v>
      </c>
      <c r="K120" s="544">
        <f t="shared" si="28"/>
        <v>84</v>
      </c>
      <c r="L120" s="544">
        <f t="shared" si="28"/>
        <v>82</v>
      </c>
      <c r="M120" s="545">
        <f t="shared" si="28"/>
        <v>80</v>
      </c>
      <c r="N120" s="1153"/>
      <c r="O120" s="1153"/>
      <c r="P120" s="45"/>
      <c r="Q120" s="504"/>
    </row>
    <row r="121" spans="1:17" ht="15" thickTop="1">
      <c r="A121" s="599"/>
      <c r="B121" s="538" t="s">
        <v>2789</v>
      </c>
      <c r="C121" s="2961" t="s">
        <v>3093</v>
      </c>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9">C122-$K40</f>
        <v>98</v>
      </c>
      <c r="E122" s="544">
        <f t="shared" si="29"/>
        <v>96</v>
      </c>
      <c r="F122" s="544">
        <f t="shared" si="29"/>
        <v>94</v>
      </c>
      <c r="G122" s="544">
        <f t="shared" si="29"/>
        <v>92</v>
      </c>
      <c r="H122" s="544">
        <f t="shared" si="29"/>
        <v>90</v>
      </c>
      <c r="I122" s="544">
        <f t="shared" si="29"/>
        <v>88</v>
      </c>
      <c r="J122" s="544">
        <f t="shared" si="29"/>
        <v>86</v>
      </c>
      <c r="K122" s="544">
        <f t="shared" si="29"/>
        <v>84</v>
      </c>
      <c r="L122" s="544">
        <f t="shared" si="29"/>
        <v>82</v>
      </c>
      <c r="M122" s="545">
        <f t="shared" si="29"/>
        <v>80</v>
      </c>
      <c r="N122" s="1153"/>
      <c r="O122" s="1153"/>
      <c r="P122" s="45"/>
      <c r="Q122" s="504"/>
    </row>
    <row r="123" spans="1:17" s="471" customFormat="1" ht="15" thickTop="1">
      <c r="A123" s="593"/>
      <c r="B123" s="538" t="s">
        <v>2790</v>
      </c>
      <c r="C123" s="2961" t="s">
        <v>3090</v>
      </c>
      <c r="D123" s="2961" t="s">
        <v>3091</v>
      </c>
      <c r="E123" s="2961" t="s">
        <v>3092</v>
      </c>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98</v>
      </c>
      <c r="E124" s="544">
        <f t="shared" ref="E124:M124" si="30">D124-$K41</f>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4"/>
      <c r="O124" s="1154"/>
      <c r="P124" s="558"/>
      <c r="Q124" s="559"/>
    </row>
    <row r="125" spans="1:17" ht="15" thickTop="1">
      <c r="A125" s="599"/>
      <c r="B125" s="538" t="s">
        <v>2791</v>
      </c>
      <c r="C125" s="2961" t="s">
        <v>3083</v>
      </c>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31">C126-$K42</f>
        <v>98</v>
      </c>
      <c r="E126" s="544">
        <f t="shared" si="31"/>
        <v>96</v>
      </c>
      <c r="F126" s="544">
        <f t="shared" si="31"/>
        <v>94</v>
      </c>
      <c r="G126" s="544">
        <f t="shared" si="31"/>
        <v>92</v>
      </c>
      <c r="H126" s="544">
        <f t="shared" si="31"/>
        <v>90</v>
      </c>
      <c r="I126" s="544">
        <f t="shared" si="31"/>
        <v>88</v>
      </c>
      <c r="J126" s="544">
        <f t="shared" si="31"/>
        <v>86</v>
      </c>
      <c r="K126" s="544">
        <f t="shared" si="31"/>
        <v>84</v>
      </c>
      <c r="L126" s="544">
        <f t="shared" si="31"/>
        <v>82</v>
      </c>
      <c r="M126" s="545">
        <f t="shared" si="31"/>
        <v>80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1"/>
  <sheetViews>
    <sheetView zoomScale="70" zoomScaleNormal="70" workbookViewId="0">
      <selection activeCell="AK69" sqref="AK69"/>
    </sheetView>
  </sheetViews>
  <sheetFormatPr defaultRowHeight="12"/>
  <cols>
    <col min="1" max="1" width="31.21875" style="2962" customWidth="1"/>
    <col min="2" max="2" width="7.109375" style="2962" customWidth="1"/>
    <col min="3" max="3" width="13.33203125" style="2962" customWidth="1"/>
    <col min="4" max="4" width="7.109375" style="2962" hidden="1" customWidth="1"/>
    <col min="5" max="5" width="5.21875" style="2962" hidden="1" customWidth="1"/>
    <col min="6" max="6" width="48" style="2962" hidden="1" customWidth="1"/>
    <col min="7" max="7" width="9" style="2962" customWidth="1"/>
    <col min="8" max="8" width="12.21875" style="2962" hidden="1" customWidth="1"/>
    <col min="9" max="9" width="18.33203125" style="2962" customWidth="1"/>
    <col min="10" max="10" width="11" style="2962" customWidth="1"/>
    <col min="11" max="11" width="11.88671875" style="2962" customWidth="1"/>
    <col min="12" max="12" width="10.44140625" style="2962" customWidth="1"/>
    <col min="13" max="13" width="9" style="2962" customWidth="1"/>
    <col min="14" max="15" width="9" style="2962" hidden="1" customWidth="1"/>
    <col min="16" max="16" width="11" style="2962" hidden="1" customWidth="1"/>
    <col min="17" max="18" width="17.77734375" style="2962" hidden="1" customWidth="1"/>
    <col min="19" max="19" width="14.77734375" style="2962" hidden="1" customWidth="1"/>
    <col min="20" max="20" width="17.109375" style="2962" customWidth="1"/>
    <col min="21" max="21" width="12.88671875" style="2962" customWidth="1"/>
    <col min="22" max="22" width="20.33203125" style="2962" hidden="1" customWidth="1"/>
    <col min="23" max="23" width="9" style="2962" hidden="1" customWidth="1"/>
    <col min="24" max="26" width="10.21875" style="2962" hidden="1" customWidth="1"/>
    <col min="27" max="27" width="10.21875" style="2962" customWidth="1"/>
    <col min="28" max="28" width="28" style="2962" hidden="1" customWidth="1"/>
    <col min="29" max="29" width="9" style="2962" hidden="1" customWidth="1"/>
    <col min="30" max="30" width="21.44140625" style="2962" customWidth="1"/>
    <col min="31" max="33" width="12.109375" style="2962" hidden="1" customWidth="1"/>
    <col min="34" max="34" width="18.21875" style="2962" hidden="1" customWidth="1"/>
    <col min="35" max="35" width="18.21875" style="2962" customWidth="1"/>
    <col min="36" max="36" width="16.33203125" style="2962" hidden="1" customWidth="1"/>
    <col min="37" max="37" width="16.33203125" style="2962" customWidth="1"/>
    <col min="38" max="39" width="25" style="2962" hidden="1" customWidth="1"/>
    <col min="40" max="40" width="7.109375" style="2962" customWidth="1"/>
    <col min="41" max="41" width="18.44140625" style="2962" customWidth="1"/>
    <col min="42" max="42" width="19.21875" style="2962" hidden="1" customWidth="1"/>
    <col min="43" max="44" width="23" style="2962" hidden="1" customWidth="1"/>
    <col min="45" max="45" width="9" style="2962" hidden="1" customWidth="1"/>
    <col min="46" max="256" width="8.88671875" style="2962"/>
    <col min="257" max="257" width="48" style="2962" customWidth="1"/>
    <col min="258" max="258" width="7.109375" style="2962" customWidth="1"/>
    <col min="259" max="259" width="13.33203125" style="2962" customWidth="1"/>
    <col min="260" max="260" width="7.109375" style="2962" customWidth="1"/>
    <col min="261" max="261" width="5.21875" style="2962" customWidth="1"/>
    <col min="262" max="262" width="48" style="2962" customWidth="1"/>
    <col min="263" max="263" width="9" style="2962" customWidth="1"/>
    <col min="264" max="264" width="12.21875" style="2962" customWidth="1"/>
    <col min="265" max="265" width="38.33203125" style="2962" customWidth="1"/>
    <col min="266" max="267" width="15.88671875" style="2962" customWidth="1"/>
    <col min="268" max="268" width="10.44140625" style="2962" customWidth="1"/>
    <col min="269" max="271" width="9" style="2962" customWidth="1"/>
    <col min="272" max="272" width="11" style="2962" customWidth="1"/>
    <col min="273" max="274" width="17.77734375" style="2962" customWidth="1"/>
    <col min="275" max="275" width="14.77734375" style="2962" customWidth="1"/>
    <col min="276" max="276" width="17.109375" style="2962" customWidth="1"/>
    <col min="277" max="277" width="12.88671875" style="2962" customWidth="1"/>
    <col min="278" max="278" width="20.33203125" style="2962" customWidth="1"/>
    <col min="279" max="279" width="9" style="2962" customWidth="1"/>
    <col min="280" max="283" width="10.21875" style="2962" customWidth="1"/>
    <col min="284" max="284" width="28" style="2962" customWidth="1"/>
    <col min="285" max="285" width="9" style="2962" customWidth="1"/>
    <col min="286" max="286" width="100.33203125" style="2962" customWidth="1"/>
    <col min="287" max="289" width="12.109375" style="2962" customWidth="1"/>
    <col min="290" max="291" width="18.21875" style="2962" customWidth="1"/>
    <col min="292" max="293" width="16.33203125" style="2962" customWidth="1"/>
    <col min="294" max="295" width="25" style="2962" customWidth="1"/>
    <col min="296" max="296" width="7.109375" style="2962" customWidth="1"/>
    <col min="297" max="297" width="18.44140625" style="2962" customWidth="1"/>
    <col min="298" max="298" width="19.21875" style="2962" customWidth="1"/>
    <col min="299" max="300" width="23" style="2962" customWidth="1"/>
    <col min="301" max="301" width="9" style="2962" customWidth="1"/>
    <col min="302" max="512" width="8.88671875" style="2962"/>
    <col min="513" max="513" width="48" style="2962" customWidth="1"/>
    <col min="514" max="514" width="7.109375" style="2962" customWidth="1"/>
    <col min="515" max="515" width="13.33203125" style="2962" customWidth="1"/>
    <col min="516" max="516" width="7.109375" style="2962" customWidth="1"/>
    <col min="517" max="517" width="5.21875" style="2962" customWidth="1"/>
    <col min="518" max="518" width="48" style="2962" customWidth="1"/>
    <col min="519" max="519" width="9" style="2962" customWidth="1"/>
    <col min="520" max="520" width="12.21875" style="2962" customWidth="1"/>
    <col min="521" max="521" width="38.33203125" style="2962" customWidth="1"/>
    <col min="522" max="523" width="15.88671875" style="2962" customWidth="1"/>
    <col min="524" max="524" width="10.44140625" style="2962" customWidth="1"/>
    <col min="525" max="527" width="9" style="2962" customWidth="1"/>
    <col min="528" max="528" width="11" style="2962" customWidth="1"/>
    <col min="529" max="530" width="17.77734375" style="2962" customWidth="1"/>
    <col min="531" max="531" width="14.77734375" style="2962" customWidth="1"/>
    <col min="532" max="532" width="17.109375" style="2962" customWidth="1"/>
    <col min="533" max="533" width="12.88671875" style="2962" customWidth="1"/>
    <col min="534" max="534" width="20.33203125" style="2962" customWidth="1"/>
    <col min="535" max="535" width="9" style="2962" customWidth="1"/>
    <col min="536" max="539" width="10.21875" style="2962" customWidth="1"/>
    <col min="540" max="540" width="28" style="2962" customWidth="1"/>
    <col min="541" max="541" width="9" style="2962" customWidth="1"/>
    <col min="542" max="542" width="100.33203125" style="2962" customWidth="1"/>
    <col min="543" max="545" width="12.109375" style="2962" customWidth="1"/>
    <col min="546" max="547" width="18.21875" style="2962" customWidth="1"/>
    <col min="548" max="549" width="16.33203125" style="2962" customWidth="1"/>
    <col min="550" max="551" width="25" style="2962" customWidth="1"/>
    <col min="552" max="552" width="7.109375" style="2962" customWidth="1"/>
    <col min="553" max="553" width="18.44140625" style="2962" customWidth="1"/>
    <col min="554" max="554" width="19.21875" style="2962" customWidth="1"/>
    <col min="555" max="556" width="23" style="2962" customWidth="1"/>
    <col min="557" max="557" width="9" style="2962" customWidth="1"/>
    <col min="558" max="768" width="8.88671875" style="2962"/>
    <col min="769" max="769" width="48" style="2962" customWidth="1"/>
    <col min="770" max="770" width="7.109375" style="2962" customWidth="1"/>
    <col min="771" max="771" width="13.33203125" style="2962" customWidth="1"/>
    <col min="772" max="772" width="7.109375" style="2962" customWidth="1"/>
    <col min="773" max="773" width="5.21875" style="2962" customWidth="1"/>
    <col min="774" max="774" width="48" style="2962" customWidth="1"/>
    <col min="775" max="775" width="9" style="2962" customWidth="1"/>
    <col min="776" max="776" width="12.21875" style="2962" customWidth="1"/>
    <col min="777" max="777" width="38.33203125" style="2962" customWidth="1"/>
    <col min="778" max="779" width="15.88671875" style="2962" customWidth="1"/>
    <col min="780" max="780" width="10.44140625" style="2962" customWidth="1"/>
    <col min="781" max="783" width="9" style="2962" customWidth="1"/>
    <col min="784" max="784" width="11" style="2962" customWidth="1"/>
    <col min="785" max="786" width="17.77734375" style="2962" customWidth="1"/>
    <col min="787" max="787" width="14.77734375" style="2962" customWidth="1"/>
    <col min="788" max="788" width="17.109375" style="2962" customWidth="1"/>
    <col min="789" max="789" width="12.88671875" style="2962" customWidth="1"/>
    <col min="790" max="790" width="20.33203125" style="2962" customWidth="1"/>
    <col min="791" max="791" width="9" style="2962" customWidth="1"/>
    <col min="792" max="795" width="10.21875" style="2962" customWidth="1"/>
    <col min="796" max="796" width="28" style="2962" customWidth="1"/>
    <col min="797" max="797" width="9" style="2962" customWidth="1"/>
    <col min="798" max="798" width="100.33203125" style="2962" customWidth="1"/>
    <col min="799" max="801" width="12.109375" style="2962" customWidth="1"/>
    <col min="802" max="803" width="18.21875" style="2962" customWidth="1"/>
    <col min="804" max="805" width="16.33203125" style="2962" customWidth="1"/>
    <col min="806" max="807" width="25" style="2962" customWidth="1"/>
    <col min="808" max="808" width="7.109375" style="2962" customWidth="1"/>
    <col min="809" max="809" width="18.44140625" style="2962" customWidth="1"/>
    <col min="810" max="810" width="19.21875" style="2962" customWidth="1"/>
    <col min="811" max="812" width="23" style="2962" customWidth="1"/>
    <col min="813" max="813" width="9" style="2962" customWidth="1"/>
    <col min="814" max="1024" width="8.88671875" style="2962"/>
    <col min="1025" max="1025" width="48" style="2962" customWidth="1"/>
    <col min="1026" max="1026" width="7.109375" style="2962" customWidth="1"/>
    <col min="1027" max="1027" width="13.33203125" style="2962" customWidth="1"/>
    <col min="1028" max="1028" width="7.109375" style="2962" customWidth="1"/>
    <col min="1029" max="1029" width="5.21875" style="2962" customWidth="1"/>
    <col min="1030" max="1030" width="48" style="2962" customWidth="1"/>
    <col min="1031" max="1031" width="9" style="2962" customWidth="1"/>
    <col min="1032" max="1032" width="12.21875" style="2962" customWidth="1"/>
    <col min="1033" max="1033" width="38.33203125" style="2962" customWidth="1"/>
    <col min="1034" max="1035" width="15.88671875" style="2962" customWidth="1"/>
    <col min="1036" max="1036" width="10.44140625" style="2962" customWidth="1"/>
    <col min="1037" max="1039" width="9" style="2962" customWidth="1"/>
    <col min="1040" max="1040" width="11" style="2962" customWidth="1"/>
    <col min="1041" max="1042" width="17.77734375" style="2962" customWidth="1"/>
    <col min="1043" max="1043" width="14.77734375" style="2962" customWidth="1"/>
    <col min="1044" max="1044" width="17.109375" style="2962" customWidth="1"/>
    <col min="1045" max="1045" width="12.88671875" style="2962" customWidth="1"/>
    <col min="1046" max="1046" width="20.33203125" style="2962" customWidth="1"/>
    <col min="1047" max="1047" width="9" style="2962" customWidth="1"/>
    <col min="1048" max="1051" width="10.21875" style="2962" customWidth="1"/>
    <col min="1052" max="1052" width="28" style="2962" customWidth="1"/>
    <col min="1053" max="1053" width="9" style="2962" customWidth="1"/>
    <col min="1054" max="1054" width="100.33203125" style="2962" customWidth="1"/>
    <col min="1055" max="1057" width="12.109375" style="2962" customWidth="1"/>
    <col min="1058" max="1059" width="18.21875" style="2962" customWidth="1"/>
    <col min="1060" max="1061" width="16.33203125" style="2962" customWidth="1"/>
    <col min="1062" max="1063" width="25" style="2962" customWidth="1"/>
    <col min="1064" max="1064" width="7.109375" style="2962" customWidth="1"/>
    <col min="1065" max="1065" width="18.44140625" style="2962" customWidth="1"/>
    <col min="1066" max="1066" width="19.21875" style="2962" customWidth="1"/>
    <col min="1067" max="1068" width="23" style="2962" customWidth="1"/>
    <col min="1069" max="1069" width="9" style="2962" customWidth="1"/>
    <col min="1070" max="1280" width="8.88671875" style="2962"/>
    <col min="1281" max="1281" width="48" style="2962" customWidth="1"/>
    <col min="1282" max="1282" width="7.109375" style="2962" customWidth="1"/>
    <col min="1283" max="1283" width="13.33203125" style="2962" customWidth="1"/>
    <col min="1284" max="1284" width="7.109375" style="2962" customWidth="1"/>
    <col min="1285" max="1285" width="5.21875" style="2962" customWidth="1"/>
    <col min="1286" max="1286" width="48" style="2962" customWidth="1"/>
    <col min="1287" max="1287" width="9" style="2962" customWidth="1"/>
    <col min="1288" max="1288" width="12.21875" style="2962" customWidth="1"/>
    <col min="1289" max="1289" width="38.33203125" style="2962" customWidth="1"/>
    <col min="1290" max="1291" width="15.88671875" style="2962" customWidth="1"/>
    <col min="1292" max="1292" width="10.44140625" style="2962" customWidth="1"/>
    <col min="1293" max="1295" width="9" style="2962" customWidth="1"/>
    <col min="1296" max="1296" width="11" style="2962" customWidth="1"/>
    <col min="1297" max="1298" width="17.77734375" style="2962" customWidth="1"/>
    <col min="1299" max="1299" width="14.77734375" style="2962" customWidth="1"/>
    <col min="1300" max="1300" width="17.109375" style="2962" customWidth="1"/>
    <col min="1301" max="1301" width="12.88671875" style="2962" customWidth="1"/>
    <col min="1302" max="1302" width="20.33203125" style="2962" customWidth="1"/>
    <col min="1303" max="1303" width="9" style="2962" customWidth="1"/>
    <col min="1304" max="1307" width="10.21875" style="2962" customWidth="1"/>
    <col min="1308" max="1308" width="28" style="2962" customWidth="1"/>
    <col min="1309" max="1309" width="9" style="2962" customWidth="1"/>
    <col min="1310" max="1310" width="100.33203125" style="2962" customWidth="1"/>
    <col min="1311" max="1313" width="12.109375" style="2962" customWidth="1"/>
    <col min="1314" max="1315" width="18.21875" style="2962" customWidth="1"/>
    <col min="1316" max="1317" width="16.33203125" style="2962" customWidth="1"/>
    <col min="1318" max="1319" width="25" style="2962" customWidth="1"/>
    <col min="1320" max="1320" width="7.109375" style="2962" customWidth="1"/>
    <col min="1321" max="1321" width="18.44140625" style="2962" customWidth="1"/>
    <col min="1322" max="1322" width="19.21875" style="2962" customWidth="1"/>
    <col min="1323" max="1324" width="23" style="2962" customWidth="1"/>
    <col min="1325" max="1325" width="9" style="2962" customWidth="1"/>
    <col min="1326" max="1536" width="8.88671875" style="2962"/>
    <col min="1537" max="1537" width="48" style="2962" customWidth="1"/>
    <col min="1538" max="1538" width="7.109375" style="2962" customWidth="1"/>
    <col min="1539" max="1539" width="13.33203125" style="2962" customWidth="1"/>
    <col min="1540" max="1540" width="7.109375" style="2962" customWidth="1"/>
    <col min="1541" max="1541" width="5.21875" style="2962" customWidth="1"/>
    <col min="1542" max="1542" width="48" style="2962" customWidth="1"/>
    <col min="1543" max="1543" width="9" style="2962" customWidth="1"/>
    <col min="1544" max="1544" width="12.21875" style="2962" customWidth="1"/>
    <col min="1545" max="1545" width="38.33203125" style="2962" customWidth="1"/>
    <col min="1546" max="1547" width="15.88671875" style="2962" customWidth="1"/>
    <col min="1548" max="1548" width="10.44140625" style="2962" customWidth="1"/>
    <col min="1549" max="1551" width="9" style="2962" customWidth="1"/>
    <col min="1552" max="1552" width="11" style="2962" customWidth="1"/>
    <col min="1553" max="1554" width="17.77734375" style="2962" customWidth="1"/>
    <col min="1555" max="1555" width="14.77734375" style="2962" customWidth="1"/>
    <col min="1556" max="1556" width="17.109375" style="2962" customWidth="1"/>
    <col min="1557" max="1557" width="12.88671875" style="2962" customWidth="1"/>
    <col min="1558" max="1558" width="20.33203125" style="2962" customWidth="1"/>
    <col min="1559" max="1559" width="9" style="2962" customWidth="1"/>
    <col min="1560" max="1563" width="10.21875" style="2962" customWidth="1"/>
    <col min="1564" max="1564" width="28" style="2962" customWidth="1"/>
    <col min="1565" max="1565" width="9" style="2962" customWidth="1"/>
    <col min="1566" max="1566" width="100.33203125" style="2962" customWidth="1"/>
    <col min="1567" max="1569" width="12.109375" style="2962" customWidth="1"/>
    <col min="1570" max="1571" width="18.21875" style="2962" customWidth="1"/>
    <col min="1572" max="1573" width="16.33203125" style="2962" customWidth="1"/>
    <col min="1574" max="1575" width="25" style="2962" customWidth="1"/>
    <col min="1576" max="1576" width="7.109375" style="2962" customWidth="1"/>
    <col min="1577" max="1577" width="18.44140625" style="2962" customWidth="1"/>
    <col min="1578" max="1578" width="19.21875" style="2962" customWidth="1"/>
    <col min="1579" max="1580" width="23" style="2962" customWidth="1"/>
    <col min="1581" max="1581" width="9" style="2962" customWidth="1"/>
    <col min="1582" max="1792" width="8.88671875" style="2962"/>
    <col min="1793" max="1793" width="48" style="2962" customWidth="1"/>
    <col min="1794" max="1794" width="7.109375" style="2962" customWidth="1"/>
    <col min="1795" max="1795" width="13.33203125" style="2962" customWidth="1"/>
    <col min="1796" max="1796" width="7.109375" style="2962" customWidth="1"/>
    <col min="1797" max="1797" width="5.21875" style="2962" customWidth="1"/>
    <col min="1798" max="1798" width="48" style="2962" customWidth="1"/>
    <col min="1799" max="1799" width="9" style="2962" customWidth="1"/>
    <col min="1800" max="1800" width="12.21875" style="2962" customWidth="1"/>
    <col min="1801" max="1801" width="38.33203125" style="2962" customWidth="1"/>
    <col min="1802" max="1803" width="15.88671875" style="2962" customWidth="1"/>
    <col min="1804" max="1804" width="10.44140625" style="2962" customWidth="1"/>
    <col min="1805" max="1807" width="9" style="2962" customWidth="1"/>
    <col min="1808" max="1808" width="11" style="2962" customWidth="1"/>
    <col min="1809" max="1810" width="17.77734375" style="2962" customWidth="1"/>
    <col min="1811" max="1811" width="14.77734375" style="2962" customWidth="1"/>
    <col min="1812" max="1812" width="17.109375" style="2962" customWidth="1"/>
    <col min="1813" max="1813" width="12.88671875" style="2962" customWidth="1"/>
    <col min="1814" max="1814" width="20.33203125" style="2962" customWidth="1"/>
    <col min="1815" max="1815" width="9" style="2962" customWidth="1"/>
    <col min="1816" max="1819" width="10.21875" style="2962" customWidth="1"/>
    <col min="1820" max="1820" width="28" style="2962" customWidth="1"/>
    <col min="1821" max="1821" width="9" style="2962" customWidth="1"/>
    <col min="1822" max="1822" width="100.33203125" style="2962" customWidth="1"/>
    <col min="1823" max="1825" width="12.109375" style="2962" customWidth="1"/>
    <col min="1826" max="1827" width="18.21875" style="2962" customWidth="1"/>
    <col min="1828" max="1829" width="16.33203125" style="2962" customWidth="1"/>
    <col min="1830" max="1831" width="25" style="2962" customWidth="1"/>
    <col min="1832" max="1832" width="7.109375" style="2962" customWidth="1"/>
    <col min="1833" max="1833" width="18.44140625" style="2962" customWidth="1"/>
    <col min="1834" max="1834" width="19.21875" style="2962" customWidth="1"/>
    <col min="1835" max="1836" width="23" style="2962" customWidth="1"/>
    <col min="1837" max="1837" width="9" style="2962" customWidth="1"/>
    <col min="1838" max="2048" width="8.88671875" style="2962"/>
    <col min="2049" max="2049" width="48" style="2962" customWidth="1"/>
    <col min="2050" max="2050" width="7.109375" style="2962" customWidth="1"/>
    <col min="2051" max="2051" width="13.33203125" style="2962" customWidth="1"/>
    <col min="2052" max="2052" width="7.109375" style="2962" customWidth="1"/>
    <col min="2053" max="2053" width="5.21875" style="2962" customWidth="1"/>
    <col min="2054" max="2054" width="48" style="2962" customWidth="1"/>
    <col min="2055" max="2055" width="9" style="2962" customWidth="1"/>
    <col min="2056" max="2056" width="12.21875" style="2962" customWidth="1"/>
    <col min="2057" max="2057" width="38.33203125" style="2962" customWidth="1"/>
    <col min="2058" max="2059" width="15.88671875" style="2962" customWidth="1"/>
    <col min="2060" max="2060" width="10.44140625" style="2962" customWidth="1"/>
    <col min="2061" max="2063" width="9" style="2962" customWidth="1"/>
    <col min="2064" max="2064" width="11" style="2962" customWidth="1"/>
    <col min="2065" max="2066" width="17.77734375" style="2962" customWidth="1"/>
    <col min="2067" max="2067" width="14.77734375" style="2962" customWidth="1"/>
    <col min="2068" max="2068" width="17.109375" style="2962" customWidth="1"/>
    <col min="2069" max="2069" width="12.88671875" style="2962" customWidth="1"/>
    <col min="2070" max="2070" width="20.33203125" style="2962" customWidth="1"/>
    <col min="2071" max="2071" width="9" style="2962" customWidth="1"/>
    <col min="2072" max="2075" width="10.21875" style="2962" customWidth="1"/>
    <col min="2076" max="2076" width="28" style="2962" customWidth="1"/>
    <col min="2077" max="2077" width="9" style="2962" customWidth="1"/>
    <col min="2078" max="2078" width="100.33203125" style="2962" customWidth="1"/>
    <col min="2079" max="2081" width="12.109375" style="2962" customWidth="1"/>
    <col min="2082" max="2083" width="18.21875" style="2962" customWidth="1"/>
    <col min="2084" max="2085" width="16.33203125" style="2962" customWidth="1"/>
    <col min="2086" max="2087" width="25" style="2962" customWidth="1"/>
    <col min="2088" max="2088" width="7.109375" style="2962" customWidth="1"/>
    <col min="2089" max="2089" width="18.44140625" style="2962" customWidth="1"/>
    <col min="2090" max="2090" width="19.21875" style="2962" customWidth="1"/>
    <col min="2091" max="2092" width="23" style="2962" customWidth="1"/>
    <col min="2093" max="2093" width="9" style="2962" customWidth="1"/>
    <col min="2094" max="2304" width="8.88671875" style="2962"/>
    <col min="2305" max="2305" width="48" style="2962" customWidth="1"/>
    <col min="2306" max="2306" width="7.109375" style="2962" customWidth="1"/>
    <col min="2307" max="2307" width="13.33203125" style="2962" customWidth="1"/>
    <col min="2308" max="2308" width="7.109375" style="2962" customWidth="1"/>
    <col min="2309" max="2309" width="5.21875" style="2962" customWidth="1"/>
    <col min="2310" max="2310" width="48" style="2962" customWidth="1"/>
    <col min="2311" max="2311" width="9" style="2962" customWidth="1"/>
    <col min="2312" max="2312" width="12.21875" style="2962" customWidth="1"/>
    <col min="2313" max="2313" width="38.33203125" style="2962" customWidth="1"/>
    <col min="2314" max="2315" width="15.88671875" style="2962" customWidth="1"/>
    <col min="2316" max="2316" width="10.44140625" style="2962" customWidth="1"/>
    <col min="2317" max="2319" width="9" style="2962" customWidth="1"/>
    <col min="2320" max="2320" width="11" style="2962" customWidth="1"/>
    <col min="2321" max="2322" width="17.77734375" style="2962" customWidth="1"/>
    <col min="2323" max="2323" width="14.77734375" style="2962" customWidth="1"/>
    <col min="2324" max="2324" width="17.109375" style="2962" customWidth="1"/>
    <col min="2325" max="2325" width="12.88671875" style="2962" customWidth="1"/>
    <col min="2326" max="2326" width="20.33203125" style="2962" customWidth="1"/>
    <col min="2327" max="2327" width="9" style="2962" customWidth="1"/>
    <col min="2328" max="2331" width="10.21875" style="2962" customWidth="1"/>
    <col min="2332" max="2332" width="28" style="2962" customWidth="1"/>
    <col min="2333" max="2333" width="9" style="2962" customWidth="1"/>
    <col min="2334" max="2334" width="100.33203125" style="2962" customWidth="1"/>
    <col min="2335" max="2337" width="12.109375" style="2962" customWidth="1"/>
    <col min="2338" max="2339" width="18.21875" style="2962" customWidth="1"/>
    <col min="2340" max="2341" width="16.33203125" style="2962" customWidth="1"/>
    <col min="2342" max="2343" width="25" style="2962" customWidth="1"/>
    <col min="2344" max="2344" width="7.109375" style="2962" customWidth="1"/>
    <col min="2345" max="2345" width="18.44140625" style="2962" customWidth="1"/>
    <col min="2346" max="2346" width="19.21875" style="2962" customWidth="1"/>
    <col min="2347" max="2348" width="23" style="2962" customWidth="1"/>
    <col min="2349" max="2349" width="9" style="2962" customWidth="1"/>
    <col min="2350" max="2560" width="8.88671875" style="2962"/>
    <col min="2561" max="2561" width="48" style="2962" customWidth="1"/>
    <col min="2562" max="2562" width="7.109375" style="2962" customWidth="1"/>
    <col min="2563" max="2563" width="13.33203125" style="2962" customWidth="1"/>
    <col min="2564" max="2564" width="7.109375" style="2962" customWidth="1"/>
    <col min="2565" max="2565" width="5.21875" style="2962" customWidth="1"/>
    <col min="2566" max="2566" width="48" style="2962" customWidth="1"/>
    <col min="2567" max="2567" width="9" style="2962" customWidth="1"/>
    <col min="2568" max="2568" width="12.21875" style="2962" customWidth="1"/>
    <col min="2569" max="2569" width="38.33203125" style="2962" customWidth="1"/>
    <col min="2570" max="2571" width="15.88671875" style="2962" customWidth="1"/>
    <col min="2572" max="2572" width="10.44140625" style="2962" customWidth="1"/>
    <col min="2573" max="2575" width="9" style="2962" customWidth="1"/>
    <col min="2576" max="2576" width="11" style="2962" customWidth="1"/>
    <col min="2577" max="2578" width="17.77734375" style="2962" customWidth="1"/>
    <col min="2579" max="2579" width="14.77734375" style="2962" customWidth="1"/>
    <col min="2580" max="2580" width="17.109375" style="2962" customWidth="1"/>
    <col min="2581" max="2581" width="12.88671875" style="2962" customWidth="1"/>
    <col min="2582" max="2582" width="20.33203125" style="2962" customWidth="1"/>
    <col min="2583" max="2583" width="9" style="2962" customWidth="1"/>
    <col min="2584" max="2587" width="10.21875" style="2962" customWidth="1"/>
    <col min="2588" max="2588" width="28" style="2962" customWidth="1"/>
    <col min="2589" max="2589" width="9" style="2962" customWidth="1"/>
    <col min="2590" max="2590" width="100.33203125" style="2962" customWidth="1"/>
    <col min="2591" max="2593" width="12.109375" style="2962" customWidth="1"/>
    <col min="2594" max="2595" width="18.21875" style="2962" customWidth="1"/>
    <col min="2596" max="2597" width="16.33203125" style="2962" customWidth="1"/>
    <col min="2598" max="2599" width="25" style="2962" customWidth="1"/>
    <col min="2600" max="2600" width="7.109375" style="2962" customWidth="1"/>
    <col min="2601" max="2601" width="18.44140625" style="2962" customWidth="1"/>
    <col min="2602" max="2602" width="19.21875" style="2962" customWidth="1"/>
    <col min="2603" max="2604" width="23" style="2962" customWidth="1"/>
    <col min="2605" max="2605" width="9" style="2962" customWidth="1"/>
    <col min="2606" max="2816" width="8.88671875" style="2962"/>
    <col min="2817" max="2817" width="48" style="2962" customWidth="1"/>
    <col min="2818" max="2818" width="7.109375" style="2962" customWidth="1"/>
    <col min="2819" max="2819" width="13.33203125" style="2962" customWidth="1"/>
    <col min="2820" max="2820" width="7.109375" style="2962" customWidth="1"/>
    <col min="2821" max="2821" width="5.21875" style="2962" customWidth="1"/>
    <col min="2822" max="2822" width="48" style="2962" customWidth="1"/>
    <col min="2823" max="2823" width="9" style="2962" customWidth="1"/>
    <col min="2824" max="2824" width="12.21875" style="2962" customWidth="1"/>
    <col min="2825" max="2825" width="38.33203125" style="2962" customWidth="1"/>
    <col min="2826" max="2827" width="15.88671875" style="2962" customWidth="1"/>
    <col min="2828" max="2828" width="10.44140625" style="2962" customWidth="1"/>
    <col min="2829" max="2831" width="9" style="2962" customWidth="1"/>
    <col min="2832" max="2832" width="11" style="2962" customWidth="1"/>
    <col min="2833" max="2834" width="17.77734375" style="2962" customWidth="1"/>
    <col min="2835" max="2835" width="14.77734375" style="2962" customWidth="1"/>
    <col min="2836" max="2836" width="17.109375" style="2962" customWidth="1"/>
    <col min="2837" max="2837" width="12.88671875" style="2962" customWidth="1"/>
    <col min="2838" max="2838" width="20.33203125" style="2962" customWidth="1"/>
    <col min="2839" max="2839" width="9" style="2962" customWidth="1"/>
    <col min="2840" max="2843" width="10.21875" style="2962" customWidth="1"/>
    <col min="2844" max="2844" width="28" style="2962" customWidth="1"/>
    <col min="2845" max="2845" width="9" style="2962" customWidth="1"/>
    <col min="2846" max="2846" width="100.33203125" style="2962" customWidth="1"/>
    <col min="2847" max="2849" width="12.109375" style="2962" customWidth="1"/>
    <col min="2850" max="2851" width="18.21875" style="2962" customWidth="1"/>
    <col min="2852" max="2853" width="16.33203125" style="2962" customWidth="1"/>
    <col min="2854" max="2855" width="25" style="2962" customWidth="1"/>
    <col min="2856" max="2856" width="7.109375" style="2962" customWidth="1"/>
    <col min="2857" max="2857" width="18.44140625" style="2962" customWidth="1"/>
    <col min="2858" max="2858" width="19.21875" style="2962" customWidth="1"/>
    <col min="2859" max="2860" width="23" style="2962" customWidth="1"/>
    <col min="2861" max="2861" width="9" style="2962" customWidth="1"/>
    <col min="2862" max="3072" width="8.88671875" style="2962"/>
    <col min="3073" max="3073" width="48" style="2962" customWidth="1"/>
    <col min="3074" max="3074" width="7.109375" style="2962" customWidth="1"/>
    <col min="3075" max="3075" width="13.33203125" style="2962" customWidth="1"/>
    <col min="3076" max="3076" width="7.109375" style="2962" customWidth="1"/>
    <col min="3077" max="3077" width="5.21875" style="2962" customWidth="1"/>
    <col min="3078" max="3078" width="48" style="2962" customWidth="1"/>
    <col min="3079" max="3079" width="9" style="2962" customWidth="1"/>
    <col min="3080" max="3080" width="12.21875" style="2962" customWidth="1"/>
    <col min="3081" max="3081" width="38.33203125" style="2962" customWidth="1"/>
    <col min="3082" max="3083" width="15.88671875" style="2962" customWidth="1"/>
    <col min="3084" max="3084" width="10.44140625" style="2962" customWidth="1"/>
    <col min="3085" max="3087" width="9" style="2962" customWidth="1"/>
    <col min="3088" max="3088" width="11" style="2962" customWidth="1"/>
    <col min="3089" max="3090" width="17.77734375" style="2962" customWidth="1"/>
    <col min="3091" max="3091" width="14.77734375" style="2962" customWidth="1"/>
    <col min="3092" max="3092" width="17.109375" style="2962" customWidth="1"/>
    <col min="3093" max="3093" width="12.88671875" style="2962" customWidth="1"/>
    <col min="3094" max="3094" width="20.33203125" style="2962" customWidth="1"/>
    <col min="3095" max="3095" width="9" style="2962" customWidth="1"/>
    <col min="3096" max="3099" width="10.21875" style="2962" customWidth="1"/>
    <col min="3100" max="3100" width="28" style="2962" customWidth="1"/>
    <col min="3101" max="3101" width="9" style="2962" customWidth="1"/>
    <col min="3102" max="3102" width="100.33203125" style="2962" customWidth="1"/>
    <col min="3103" max="3105" width="12.109375" style="2962" customWidth="1"/>
    <col min="3106" max="3107" width="18.21875" style="2962" customWidth="1"/>
    <col min="3108" max="3109" width="16.33203125" style="2962" customWidth="1"/>
    <col min="3110" max="3111" width="25" style="2962" customWidth="1"/>
    <col min="3112" max="3112" width="7.109375" style="2962" customWidth="1"/>
    <col min="3113" max="3113" width="18.44140625" style="2962" customWidth="1"/>
    <col min="3114" max="3114" width="19.21875" style="2962" customWidth="1"/>
    <col min="3115" max="3116" width="23" style="2962" customWidth="1"/>
    <col min="3117" max="3117" width="9" style="2962" customWidth="1"/>
    <col min="3118" max="3328" width="8.88671875" style="2962"/>
    <col min="3329" max="3329" width="48" style="2962" customWidth="1"/>
    <col min="3330" max="3330" width="7.109375" style="2962" customWidth="1"/>
    <col min="3331" max="3331" width="13.33203125" style="2962" customWidth="1"/>
    <col min="3332" max="3332" width="7.109375" style="2962" customWidth="1"/>
    <col min="3333" max="3333" width="5.21875" style="2962" customWidth="1"/>
    <col min="3334" max="3334" width="48" style="2962" customWidth="1"/>
    <col min="3335" max="3335" width="9" style="2962" customWidth="1"/>
    <col min="3336" max="3336" width="12.21875" style="2962" customWidth="1"/>
    <col min="3337" max="3337" width="38.33203125" style="2962" customWidth="1"/>
    <col min="3338" max="3339" width="15.88671875" style="2962" customWidth="1"/>
    <col min="3340" max="3340" width="10.44140625" style="2962" customWidth="1"/>
    <col min="3341" max="3343" width="9" style="2962" customWidth="1"/>
    <col min="3344" max="3344" width="11" style="2962" customWidth="1"/>
    <col min="3345" max="3346" width="17.77734375" style="2962" customWidth="1"/>
    <col min="3347" max="3347" width="14.77734375" style="2962" customWidth="1"/>
    <col min="3348" max="3348" width="17.109375" style="2962" customWidth="1"/>
    <col min="3349" max="3349" width="12.88671875" style="2962" customWidth="1"/>
    <col min="3350" max="3350" width="20.33203125" style="2962" customWidth="1"/>
    <col min="3351" max="3351" width="9" style="2962" customWidth="1"/>
    <col min="3352" max="3355" width="10.21875" style="2962" customWidth="1"/>
    <col min="3356" max="3356" width="28" style="2962" customWidth="1"/>
    <col min="3357" max="3357" width="9" style="2962" customWidth="1"/>
    <col min="3358" max="3358" width="100.33203125" style="2962" customWidth="1"/>
    <col min="3359" max="3361" width="12.109375" style="2962" customWidth="1"/>
    <col min="3362" max="3363" width="18.21875" style="2962" customWidth="1"/>
    <col min="3364" max="3365" width="16.33203125" style="2962" customWidth="1"/>
    <col min="3366" max="3367" width="25" style="2962" customWidth="1"/>
    <col min="3368" max="3368" width="7.109375" style="2962" customWidth="1"/>
    <col min="3369" max="3369" width="18.44140625" style="2962" customWidth="1"/>
    <col min="3370" max="3370" width="19.21875" style="2962" customWidth="1"/>
    <col min="3371" max="3372" width="23" style="2962" customWidth="1"/>
    <col min="3373" max="3373" width="9" style="2962" customWidth="1"/>
    <col min="3374" max="3584" width="8.88671875" style="2962"/>
    <col min="3585" max="3585" width="48" style="2962" customWidth="1"/>
    <col min="3586" max="3586" width="7.109375" style="2962" customWidth="1"/>
    <col min="3587" max="3587" width="13.33203125" style="2962" customWidth="1"/>
    <col min="3588" max="3588" width="7.109375" style="2962" customWidth="1"/>
    <col min="3589" max="3589" width="5.21875" style="2962" customWidth="1"/>
    <col min="3590" max="3590" width="48" style="2962" customWidth="1"/>
    <col min="3591" max="3591" width="9" style="2962" customWidth="1"/>
    <col min="3592" max="3592" width="12.21875" style="2962" customWidth="1"/>
    <col min="3593" max="3593" width="38.33203125" style="2962" customWidth="1"/>
    <col min="3594" max="3595" width="15.88671875" style="2962" customWidth="1"/>
    <col min="3596" max="3596" width="10.44140625" style="2962" customWidth="1"/>
    <col min="3597" max="3599" width="9" style="2962" customWidth="1"/>
    <col min="3600" max="3600" width="11" style="2962" customWidth="1"/>
    <col min="3601" max="3602" width="17.77734375" style="2962" customWidth="1"/>
    <col min="3603" max="3603" width="14.77734375" style="2962" customWidth="1"/>
    <col min="3604" max="3604" width="17.109375" style="2962" customWidth="1"/>
    <col min="3605" max="3605" width="12.88671875" style="2962" customWidth="1"/>
    <col min="3606" max="3606" width="20.33203125" style="2962" customWidth="1"/>
    <col min="3607" max="3607" width="9" style="2962" customWidth="1"/>
    <col min="3608" max="3611" width="10.21875" style="2962" customWidth="1"/>
    <col min="3612" max="3612" width="28" style="2962" customWidth="1"/>
    <col min="3613" max="3613" width="9" style="2962" customWidth="1"/>
    <col min="3614" max="3614" width="100.33203125" style="2962" customWidth="1"/>
    <col min="3615" max="3617" width="12.109375" style="2962" customWidth="1"/>
    <col min="3618" max="3619" width="18.21875" style="2962" customWidth="1"/>
    <col min="3620" max="3621" width="16.33203125" style="2962" customWidth="1"/>
    <col min="3622" max="3623" width="25" style="2962" customWidth="1"/>
    <col min="3624" max="3624" width="7.109375" style="2962" customWidth="1"/>
    <col min="3625" max="3625" width="18.44140625" style="2962" customWidth="1"/>
    <col min="3626" max="3626" width="19.21875" style="2962" customWidth="1"/>
    <col min="3627" max="3628" width="23" style="2962" customWidth="1"/>
    <col min="3629" max="3629" width="9" style="2962" customWidth="1"/>
    <col min="3630" max="3840" width="8.88671875" style="2962"/>
    <col min="3841" max="3841" width="48" style="2962" customWidth="1"/>
    <col min="3842" max="3842" width="7.109375" style="2962" customWidth="1"/>
    <col min="3843" max="3843" width="13.33203125" style="2962" customWidth="1"/>
    <col min="3844" max="3844" width="7.109375" style="2962" customWidth="1"/>
    <col min="3845" max="3845" width="5.21875" style="2962" customWidth="1"/>
    <col min="3846" max="3846" width="48" style="2962" customWidth="1"/>
    <col min="3847" max="3847" width="9" style="2962" customWidth="1"/>
    <col min="3848" max="3848" width="12.21875" style="2962" customWidth="1"/>
    <col min="3849" max="3849" width="38.33203125" style="2962" customWidth="1"/>
    <col min="3850" max="3851" width="15.88671875" style="2962" customWidth="1"/>
    <col min="3852" max="3852" width="10.44140625" style="2962" customWidth="1"/>
    <col min="3853" max="3855" width="9" style="2962" customWidth="1"/>
    <col min="3856" max="3856" width="11" style="2962" customWidth="1"/>
    <col min="3857" max="3858" width="17.77734375" style="2962" customWidth="1"/>
    <col min="3859" max="3859" width="14.77734375" style="2962" customWidth="1"/>
    <col min="3860" max="3860" width="17.109375" style="2962" customWidth="1"/>
    <col min="3861" max="3861" width="12.88671875" style="2962" customWidth="1"/>
    <col min="3862" max="3862" width="20.33203125" style="2962" customWidth="1"/>
    <col min="3863" max="3863" width="9" style="2962" customWidth="1"/>
    <col min="3864" max="3867" width="10.21875" style="2962" customWidth="1"/>
    <col min="3868" max="3868" width="28" style="2962" customWidth="1"/>
    <col min="3869" max="3869" width="9" style="2962" customWidth="1"/>
    <col min="3870" max="3870" width="100.33203125" style="2962" customWidth="1"/>
    <col min="3871" max="3873" width="12.109375" style="2962" customWidth="1"/>
    <col min="3874" max="3875" width="18.21875" style="2962" customWidth="1"/>
    <col min="3876" max="3877" width="16.33203125" style="2962" customWidth="1"/>
    <col min="3878" max="3879" width="25" style="2962" customWidth="1"/>
    <col min="3880" max="3880" width="7.109375" style="2962" customWidth="1"/>
    <col min="3881" max="3881" width="18.44140625" style="2962" customWidth="1"/>
    <col min="3882" max="3882" width="19.21875" style="2962" customWidth="1"/>
    <col min="3883" max="3884" width="23" style="2962" customWidth="1"/>
    <col min="3885" max="3885" width="9" style="2962" customWidth="1"/>
    <col min="3886" max="4096" width="8.88671875" style="2962"/>
    <col min="4097" max="4097" width="48" style="2962" customWidth="1"/>
    <col min="4098" max="4098" width="7.109375" style="2962" customWidth="1"/>
    <col min="4099" max="4099" width="13.33203125" style="2962" customWidth="1"/>
    <col min="4100" max="4100" width="7.109375" style="2962" customWidth="1"/>
    <col min="4101" max="4101" width="5.21875" style="2962" customWidth="1"/>
    <col min="4102" max="4102" width="48" style="2962" customWidth="1"/>
    <col min="4103" max="4103" width="9" style="2962" customWidth="1"/>
    <col min="4104" max="4104" width="12.21875" style="2962" customWidth="1"/>
    <col min="4105" max="4105" width="38.33203125" style="2962" customWidth="1"/>
    <col min="4106" max="4107" width="15.88671875" style="2962" customWidth="1"/>
    <col min="4108" max="4108" width="10.44140625" style="2962" customWidth="1"/>
    <col min="4109" max="4111" width="9" style="2962" customWidth="1"/>
    <col min="4112" max="4112" width="11" style="2962" customWidth="1"/>
    <col min="4113" max="4114" width="17.77734375" style="2962" customWidth="1"/>
    <col min="4115" max="4115" width="14.77734375" style="2962" customWidth="1"/>
    <col min="4116" max="4116" width="17.109375" style="2962" customWidth="1"/>
    <col min="4117" max="4117" width="12.88671875" style="2962" customWidth="1"/>
    <col min="4118" max="4118" width="20.33203125" style="2962" customWidth="1"/>
    <col min="4119" max="4119" width="9" style="2962" customWidth="1"/>
    <col min="4120" max="4123" width="10.21875" style="2962" customWidth="1"/>
    <col min="4124" max="4124" width="28" style="2962" customWidth="1"/>
    <col min="4125" max="4125" width="9" style="2962" customWidth="1"/>
    <col min="4126" max="4126" width="100.33203125" style="2962" customWidth="1"/>
    <col min="4127" max="4129" width="12.109375" style="2962" customWidth="1"/>
    <col min="4130" max="4131" width="18.21875" style="2962" customWidth="1"/>
    <col min="4132" max="4133" width="16.33203125" style="2962" customWidth="1"/>
    <col min="4134" max="4135" width="25" style="2962" customWidth="1"/>
    <col min="4136" max="4136" width="7.109375" style="2962" customWidth="1"/>
    <col min="4137" max="4137" width="18.44140625" style="2962" customWidth="1"/>
    <col min="4138" max="4138" width="19.21875" style="2962" customWidth="1"/>
    <col min="4139" max="4140" width="23" style="2962" customWidth="1"/>
    <col min="4141" max="4141" width="9" style="2962" customWidth="1"/>
    <col min="4142" max="4352" width="8.88671875" style="2962"/>
    <col min="4353" max="4353" width="48" style="2962" customWidth="1"/>
    <col min="4354" max="4354" width="7.109375" style="2962" customWidth="1"/>
    <col min="4355" max="4355" width="13.33203125" style="2962" customWidth="1"/>
    <col min="4356" max="4356" width="7.109375" style="2962" customWidth="1"/>
    <col min="4357" max="4357" width="5.21875" style="2962" customWidth="1"/>
    <col min="4358" max="4358" width="48" style="2962" customWidth="1"/>
    <col min="4359" max="4359" width="9" style="2962" customWidth="1"/>
    <col min="4360" max="4360" width="12.21875" style="2962" customWidth="1"/>
    <col min="4361" max="4361" width="38.33203125" style="2962" customWidth="1"/>
    <col min="4362" max="4363" width="15.88671875" style="2962" customWidth="1"/>
    <col min="4364" max="4364" width="10.44140625" style="2962" customWidth="1"/>
    <col min="4365" max="4367" width="9" style="2962" customWidth="1"/>
    <col min="4368" max="4368" width="11" style="2962" customWidth="1"/>
    <col min="4369" max="4370" width="17.77734375" style="2962" customWidth="1"/>
    <col min="4371" max="4371" width="14.77734375" style="2962" customWidth="1"/>
    <col min="4372" max="4372" width="17.109375" style="2962" customWidth="1"/>
    <col min="4373" max="4373" width="12.88671875" style="2962" customWidth="1"/>
    <col min="4374" max="4374" width="20.33203125" style="2962" customWidth="1"/>
    <col min="4375" max="4375" width="9" style="2962" customWidth="1"/>
    <col min="4376" max="4379" width="10.21875" style="2962" customWidth="1"/>
    <col min="4380" max="4380" width="28" style="2962" customWidth="1"/>
    <col min="4381" max="4381" width="9" style="2962" customWidth="1"/>
    <col min="4382" max="4382" width="100.33203125" style="2962" customWidth="1"/>
    <col min="4383" max="4385" width="12.109375" style="2962" customWidth="1"/>
    <col min="4386" max="4387" width="18.21875" style="2962" customWidth="1"/>
    <col min="4388" max="4389" width="16.33203125" style="2962" customWidth="1"/>
    <col min="4390" max="4391" width="25" style="2962" customWidth="1"/>
    <col min="4392" max="4392" width="7.109375" style="2962" customWidth="1"/>
    <col min="4393" max="4393" width="18.44140625" style="2962" customWidth="1"/>
    <col min="4394" max="4394" width="19.21875" style="2962" customWidth="1"/>
    <col min="4395" max="4396" width="23" style="2962" customWidth="1"/>
    <col min="4397" max="4397" width="9" style="2962" customWidth="1"/>
    <col min="4398" max="4608" width="8.88671875" style="2962"/>
    <col min="4609" max="4609" width="48" style="2962" customWidth="1"/>
    <col min="4610" max="4610" width="7.109375" style="2962" customWidth="1"/>
    <col min="4611" max="4611" width="13.33203125" style="2962" customWidth="1"/>
    <col min="4612" max="4612" width="7.109375" style="2962" customWidth="1"/>
    <col min="4613" max="4613" width="5.21875" style="2962" customWidth="1"/>
    <col min="4614" max="4614" width="48" style="2962" customWidth="1"/>
    <col min="4615" max="4615" width="9" style="2962" customWidth="1"/>
    <col min="4616" max="4616" width="12.21875" style="2962" customWidth="1"/>
    <col min="4617" max="4617" width="38.33203125" style="2962" customWidth="1"/>
    <col min="4618" max="4619" width="15.88671875" style="2962" customWidth="1"/>
    <col min="4620" max="4620" width="10.44140625" style="2962" customWidth="1"/>
    <col min="4621" max="4623" width="9" style="2962" customWidth="1"/>
    <col min="4624" max="4624" width="11" style="2962" customWidth="1"/>
    <col min="4625" max="4626" width="17.77734375" style="2962" customWidth="1"/>
    <col min="4627" max="4627" width="14.77734375" style="2962" customWidth="1"/>
    <col min="4628" max="4628" width="17.109375" style="2962" customWidth="1"/>
    <col min="4629" max="4629" width="12.88671875" style="2962" customWidth="1"/>
    <col min="4630" max="4630" width="20.33203125" style="2962" customWidth="1"/>
    <col min="4631" max="4631" width="9" style="2962" customWidth="1"/>
    <col min="4632" max="4635" width="10.21875" style="2962" customWidth="1"/>
    <col min="4636" max="4636" width="28" style="2962" customWidth="1"/>
    <col min="4637" max="4637" width="9" style="2962" customWidth="1"/>
    <col min="4638" max="4638" width="100.33203125" style="2962" customWidth="1"/>
    <col min="4639" max="4641" width="12.109375" style="2962" customWidth="1"/>
    <col min="4642" max="4643" width="18.21875" style="2962" customWidth="1"/>
    <col min="4644" max="4645" width="16.33203125" style="2962" customWidth="1"/>
    <col min="4646" max="4647" width="25" style="2962" customWidth="1"/>
    <col min="4648" max="4648" width="7.109375" style="2962" customWidth="1"/>
    <col min="4649" max="4649" width="18.44140625" style="2962" customWidth="1"/>
    <col min="4650" max="4650" width="19.21875" style="2962" customWidth="1"/>
    <col min="4651" max="4652" width="23" style="2962" customWidth="1"/>
    <col min="4653" max="4653" width="9" style="2962" customWidth="1"/>
    <col min="4654" max="4864" width="8.88671875" style="2962"/>
    <col min="4865" max="4865" width="48" style="2962" customWidth="1"/>
    <col min="4866" max="4866" width="7.109375" style="2962" customWidth="1"/>
    <col min="4867" max="4867" width="13.33203125" style="2962" customWidth="1"/>
    <col min="4868" max="4868" width="7.109375" style="2962" customWidth="1"/>
    <col min="4869" max="4869" width="5.21875" style="2962" customWidth="1"/>
    <col min="4870" max="4870" width="48" style="2962" customWidth="1"/>
    <col min="4871" max="4871" width="9" style="2962" customWidth="1"/>
    <col min="4872" max="4872" width="12.21875" style="2962" customWidth="1"/>
    <col min="4873" max="4873" width="38.33203125" style="2962" customWidth="1"/>
    <col min="4874" max="4875" width="15.88671875" style="2962" customWidth="1"/>
    <col min="4876" max="4876" width="10.44140625" style="2962" customWidth="1"/>
    <col min="4877" max="4879" width="9" style="2962" customWidth="1"/>
    <col min="4880" max="4880" width="11" style="2962" customWidth="1"/>
    <col min="4881" max="4882" width="17.77734375" style="2962" customWidth="1"/>
    <col min="4883" max="4883" width="14.77734375" style="2962" customWidth="1"/>
    <col min="4884" max="4884" width="17.109375" style="2962" customWidth="1"/>
    <col min="4885" max="4885" width="12.88671875" style="2962" customWidth="1"/>
    <col min="4886" max="4886" width="20.33203125" style="2962" customWidth="1"/>
    <col min="4887" max="4887" width="9" style="2962" customWidth="1"/>
    <col min="4888" max="4891" width="10.21875" style="2962" customWidth="1"/>
    <col min="4892" max="4892" width="28" style="2962" customWidth="1"/>
    <col min="4893" max="4893" width="9" style="2962" customWidth="1"/>
    <col min="4894" max="4894" width="100.33203125" style="2962" customWidth="1"/>
    <col min="4895" max="4897" width="12.109375" style="2962" customWidth="1"/>
    <col min="4898" max="4899" width="18.21875" style="2962" customWidth="1"/>
    <col min="4900" max="4901" width="16.33203125" style="2962" customWidth="1"/>
    <col min="4902" max="4903" width="25" style="2962" customWidth="1"/>
    <col min="4904" max="4904" width="7.109375" style="2962" customWidth="1"/>
    <col min="4905" max="4905" width="18.44140625" style="2962" customWidth="1"/>
    <col min="4906" max="4906" width="19.21875" style="2962" customWidth="1"/>
    <col min="4907" max="4908" width="23" style="2962" customWidth="1"/>
    <col min="4909" max="4909" width="9" style="2962" customWidth="1"/>
    <col min="4910" max="5120" width="8.88671875" style="2962"/>
    <col min="5121" max="5121" width="48" style="2962" customWidth="1"/>
    <col min="5122" max="5122" width="7.109375" style="2962" customWidth="1"/>
    <col min="5123" max="5123" width="13.33203125" style="2962" customWidth="1"/>
    <col min="5124" max="5124" width="7.109375" style="2962" customWidth="1"/>
    <col min="5125" max="5125" width="5.21875" style="2962" customWidth="1"/>
    <col min="5126" max="5126" width="48" style="2962" customWidth="1"/>
    <col min="5127" max="5127" width="9" style="2962" customWidth="1"/>
    <col min="5128" max="5128" width="12.21875" style="2962" customWidth="1"/>
    <col min="5129" max="5129" width="38.33203125" style="2962" customWidth="1"/>
    <col min="5130" max="5131" width="15.88671875" style="2962" customWidth="1"/>
    <col min="5132" max="5132" width="10.44140625" style="2962" customWidth="1"/>
    <col min="5133" max="5135" width="9" style="2962" customWidth="1"/>
    <col min="5136" max="5136" width="11" style="2962" customWidth="1"/>
    <col min="5137" max="5138" width="17.77734375" style="2962" customWidth="1"/>
    <col min="5139" max="5139" width="14.77734375" style="2962" customWidth="1"/>
    <col min="5140" max="5140" width="17.109375" style="2962" customWidth="1"/>
    <col min="5141" max="5141" width="12.88671875" style="2962" customWidth="1"/>
    <col min="5142" max="5142" width="20.33203125" style="2962" customWidth="1"/>
    <col min="5143" max="5143" width="9" style="2962" customWidth="1"/>
    <col min="5144" max="5147" width="10.21875" style="2962" customWidth="1"/>
    <col min="5148" max="5148" width="28" style="2962" customWidth="1"/>
    <col min="5149" max="5149" width="9" style="2962" customWidth="1"/>
    <col min="5150" max="5150" width="100.33203125" style="2962" customWidth="1"/>
    <col min="5151" max="5153" width="12.109375" style="2962" customWidth="1"/>
    <col min="5154" max="5155" width="18.21875" style="2962" customWidth="1"/>
    <col min="5156" max="5157" width="16.33203125" style="2962" customWidth="1"/>
    <col min="5158" max="5159" width="25" style="2962" customWidth="1"/>
    <col min="5160" max="5160" width="7.109375" style="2962" customWidth="1"/>
    <col min="5161" max="5161" width="18.44140625" style="2962" customWidth="1"/>
    <col min="5162" max="5162" width="19.21875" style="2962" customWidth="1"/>
    <col min="5163" max="5164" width="23" style="2962" customWidth="1"/>
    <col min="5165" max="5165" width="9" style="2962" customWidth="1"/>
    <col min="5166" max="5376" width="8.88671875" style="2962"/>
    <col min="5377" max="5377" width="48" style="2962" customWidth="1"/>
    <col min="5378" max="5378" width="7.109375" style="2962" customWidth="1"/>
    <col min="5379" max="5379" width="13.33203125" style="2962" customWidth="1"/>
    <col min="5380" max="5380" width="7.109375" style="2962" customWidth="1"/>
    <col min="5381" max="5381" width="5.21875" style="2962" customWidth="1"/>
    <col min="5382" max="5382" width="48" style="2962" customWidth="1"/>
    <col min="5383" max="5383" width="9" style="2962" customWidth="1"/>
    <col min="5384" max="5384" width="12.21875" style="2962" customWidth="1"/>
    <col min="5385" max="5385" width="38.33203125" style="2962" customWidth="1"/>
    <col min="5386" max="5387" width="15.88671875" style="2962" customWidth="1"/>
    <col min="5388" max="5388" width="10.44140625" style="2962" customWidth="1"/>
    <col min="5389" max="5391" width="9" style="2962" customWidth="1"/>
    <col min="5392" max="5392" width="11" style="2962" customWidth="1"/>
    <col min="5393" max="5394" width="17.77734375" style="2962" customWidth="1"/>
    <col min="5395" max="5395" width="14.77734375" style="2962" customWidth="1"/>
    <col min="5396" max="5396" width="17.109375" style="2962" customWidth="1"/>
    <col min="5397" max="5397" width="12.88671875" style="2962" customWidth="1"/>
    <col min="5398" max="5398" width="20.33203125" style="2962" customWidth="1"/>
    <col min="5399" max="5399" width="9" style="2962" customWidth="1"/>
    <col min="5400" max="5403" width="10.21875" style="2962" customWidth="1"/>
    <col min="5404" max="5404" width="28" style="2962" customWidth="1"/>
    <col min="5405" max="5405" width="9" style="2962" customWidth="1"/>
    <col min="5406" max="5406" width="100.33203125" style="2962" customWidth="1"/>
    <col min="5407" max="5409" width="12.109375" style="2962" customWidth="1"/>
    <col min="5410" max="5411" width="18.21875" style="2962" customWidth="1"/>
    <col min="5412" max="5413" width="16.33203125" style="2962" customWidth="1"/>
    <col min="5414" max="5415" width="25" style="2962" customWidth="1"/>
    <col min="5416" max="5416" width="7.109375" style="2962" customWidth="1"/>
    <col min="5417" max="5417" width="18.44140625" style="2962" customWidth="1"/>
    <col min="5418" max="5418" width="19.21875" style="2962" customWidth="1"/>
    <col min="5419" max="5420" width="23" style="2962" customWidth="1"/>
    <col min="5421" max="5421" width="9" style="2962" customWidth="1"/>
    <col min="5422" max="5632" width="8.88671875" style="2962"/>
    <col min="5633" max="5633" width="48" style="2962" customWidth="1"/>
    <col min="5634" max="5634" width="7.109375" style="2962" customWidth="1"/>
    <col min="5635" max="5635" width="13.33203125" style="2962" customWidth="1"/>
    <col min="5636" max="5636" width="7.109375" style="2962" customWidth="1"/>
    <col min="5637" max="5637" width="5.21875" style="2962" customWidth="1"/>
    <col min="5638" max="5638" width="48" style="2962" customWidth="1"/>
    <col min="5639" max="5639" width="9" style="2962" customWidth="1"/>
    <col min="5640" max="5640" width="12.21875" style="2962" customWidth="1"/>
    <col min="5641" max="5641" width="38.33203125" style="2962" customWidth="1"/>
    <col min="5642" max="5643" width="15.88671875" style="2962" customWidth="1"/>
    <col min="5644" max="5644" width="10.44140625" style="2962" customWidth="1"/>
    <col min="5645" max="5647" width="9" style="2962" customWidth="1"/>
    <col min="5648" max="5648" width="11" style="2962" customWidth="1"/>
    <col min="5649" max="5650" width="17.77734375" style="2962" customWidth="1"/>
    <col min="5651" max="5651" width="14.77734375" style="2962" customWidth="1"/>
    <col min="5652" max="5652" width="17.109375" style="2962" customWidth="1"/>
    <col min="5653" max="5653" width="12.88671875" style="2962" customWidth="1"/>
    <col min="5654" max="5654" width="20.33203125" style="2962" customWidth="1"/>
    <col min="5655" max="5655" width="9" style="2962" customWidth="1"/>
    <col min="5656" max="5659" width="10.21875" style="2962" customWidth="1"/>
    <col min="5660" max="5660" width="28" style="2962" customWidth="1"/>
    <col min="5661" max="5661" width="9" style="2962" customWidth="1"/>
    <col min="5662" max="5662" width="100.33203125" style="2962" customWidth="1"/>
    <col min="5663" max="5665" width="12.109375" style="2962" customWidth="1"/>
    <col min="5666" max="5667" width="18.21875" style="2962" customWidth="1"/>
    <col min="5668" max="5669" width="16.33203125" style="2962" customWidth="1"/>
    <col min="5670" max="5671" width="25" style="2962" customWidth="1"/>
    <col min="5672" max="5672" width="7.109375" style="2962" customWidth="1"/>
    <col min="5673" max="5673" width="18.44140625" style="2962" customWidth="1"/>
    <col min="5674" max="5674" width="19.21875" style="2962" customWidth="1"/>
    <col min="5675" max="5676" width="23" style="2962" customWidth="1"/>
    <col min="5677" max="5677" width="9" style="2962" customWidth="1"/>
    <col min="5678" max="5888" width="8.88671875" style="2962"/>
    <col min="5889" max="5889" width="48" style="2962" customWidth="1"/>
    <col min="5890" max="5890" width="7.109375" style="2962" customWidth="1"/>
    <col min="5891" max="5891" width="13.33203125" style="2962" customWidth="1"/>
    <col min="5892" max="5892" width="7.109375" style="2962" customWidth="1"/>
    <col min="5893" max="5893" width="5.21875" style="2962" customWidth="1"/>
    <col min="5894" max="5894" width="48" style="2962" customWidth="1"/>
    <col min="5895" max="5895" width="9" style="2962" customWidth="1"/>
    <col min="5896" max="5896" width="12.21875" style="2962" customWidth="1"/>
    <col min="5897" max="5897" width="38.33203125" style="2962" customWidth="1"/>
    <col min="5898" max="5899" width="15.88671875" style="2962" customWidth="1"/>
    <col min="5900" max="5900" width="10.44140625" style="2962" customWidth="1"/>
    <col min="5901" max="5903" width="9" style="2962" customWidth="1"/>
    <col min="5904" max="5904" width="11" style="2962" customWidth="1"/>
    <col min="5905" max="5906" width="17.77734375" style="2962" customWidth="1"/>
    <col min="5907" max="5907" width="14.77734375" style="2962" customWidth="1"/>
    <col min="5908" max="5908" width="17.109375" style="2962" customWidth="1"/>
    <col min="5909" max="5909" width="12.88671875" style="2962" customWidth="1"/>
    <col min="5910" max="5910" width="20.33203125" style="2962" customWidth="1"/>
    <col min="5911" max="5911" width="9" style="2962" customWidth="1"/>
    <col min="5912" max="5915" width="10.21875" style="2962" customWidth="1"/>
    <col min="5916" max="5916" width="28" style="2962" customWidth="1"/>
    <col min="5917" max="5917" width="9" style="2962" customWidth="1"/>
    <col min="5918" max="5918" width="100.33203125" style="2962" customWidth="1"/>
    <col min="5919" max="5921" width="12.109375" style="2962" customWidth="1"/>
    <col min="5922" max="5923" width="18.21875" style="2962" customWidth="1"/>
    <col min="5924" max="5925" width="16.33203125" style="2962" customWidth="1"/>
    <col min="5926" max="5927" width="25" style="2962" customWidth="1"/>
    <col min="5928" max="5928" width="7.109375" style="2962" customWidth="1"/>
    <col min="5929" max="5929" width="18.44140625" style="2962" customWidth="1"/>
    <col min="5930" max="5930" width="19.21875" style="2962" customWidth="1"/>
    <col min="5931" max="5932" width="23" style="2962" customWidth="1"/>
    <col min="5933" max="5933" width="9" style="2962" customWidth="1"/>
    <col min="5934" max="6144" width="8.88671875" style="2962"/>
    <col min="6145" max="6145" width="48" style="2962" customWidth="1"/>
    <col min="6146" max="6146" width="7.109375" style="2962" customWidth="1"/>
    <col min="6147" max="6147" width="13.33203125" style="2962" customWidth="1"/>
    <col min="6148" max="6148" width="7.109375" style="2962" customWidth="1"/>
    <col min="6149" max="6149" width="5.21875" style="2962" customWidth="1"/>
    <col min="6150" max="6150" width="48" style="2962" customWidth="1"/>
    <col min="6151" max="6151" width="9" style="2962" customWidth="1"/>
    <col min="6152" max="6152" width="12.21875" style="2962" customWidth="1"/>
    <col min="6153" max="6153" width="38.33203125" style="2962" customWidth="1"/>
    <col min="6154" max="6155" width="15.88671875" style="2962" customWidth="1"/>
    <col min="6156" max="6156" width="10.44140625" style="2962" customWidth="1"/>
    <col min="6157" max="6159" width="9" style="2962" customWidth="1"/>
    <col min="6160" max="6160" width="11" style="2962" customWidth="1"/>
    <col min="6161" max="6162" width="17.77734375" style="2962" customWidth="1"/>
    <col min="6163" max="6163" width="14.77734375" style="2962" customWidth="1"/>
    <col min="6164" max="6164" width="17.109375" style="2962" customWidth="1"/>
    <col min="6165" max="6165" width="12.88671875" style="2962" customWidth="1"/>
    <col min="6166" max="6166" width="20.33203125" style="2962" customWidth="1"/>
    <col min="6167" max="6167" width="9" style="2962" customWidth="1"/>
    <col min="6168" max="6171" width="10.21875" style="2962" customWidth="1"/>
    <col min="6172" max="6172" width="28" style="2962" customWidth="1"/>
    <col min="6173" max="6173" width="9" style="2962" customWidth="1"/>
    <col min="6174" max="6174" width="100.33203125" style="2962" customWidth="1"/>
    <col min="6175" max="6177" width="12.109375" style="2962" customWidth="1"/>
    <col min="6178" max="6179" width="18.21875" style="2962" customWidth="1"/>
    <col min="6180" max="6181" width="16.33203125" style="2962" customWidth="1"/>
    <col min="6182" max="6183" width="25" style="2962" customWidth="1"/>
    <col min="6184" max="6184" width="7.109375" style="2962" customWidth="1"/>
    <col min="6185" max="6185" width="18.44140625" style="2962" customWidth="1"/>
    <col min="6186" max="6186" width="19.21875" style="2962" customWidth="1"/>
    <col min="6187" max="6188" width="23" style="2962" customWidth="1"/>
    <col min="6189" max="6189" width="9" style="2962" customWidth="1"/>
    <col min="6190" max="6400" width="8.88671875" style="2962"/>
    <col min="6401" max="6401" width="48" style="2962" customWidth="1"/>
    <col min="6402" max="6402" width="7.109375" style="2962" customWidth="1"/>
    <col min="6403" max="6403" width="13.33203125" style="2962" customWidth="1"/>
    <col min="6404" max="6404" width="7.109375" style="2962" customWidth="1"/>
    <col min="6405" max="6405" width="5.21875" style="2962" customWidth="1"/>
    <col min="6406" max="6406" width="48" style="2962" customWidth="1"/>
    <col min="6407" max="6407" width="9" style="2962" customWidth="1"/>
    <col min="6408" max="6408" width="12.21875" style="2962" customWidth="1"/>
    <col min="6409" max="6409" width="38.33203125" style="2962" customWidth="1"/>
    <col min="6410" max="6411" width="15.88671875" style="2962" customWidth="1"/>
    <col min="6412" max="6412" width="10.44140625" style="2962" customWidth="1"/>
    <col min="6413" max="6415" width="9" style="2962" customWidth="1"/>
    <col min="6416" max="6416" width="11" style="2962" customWidth="1"/>
    <col min="6417" max="6418" width="17.77734375" style="2962" customWidth="1"/>
    <col min="6419" max="6419" width="14.77734375" style="2962" customWidth="1"/>
    <col min="6420" max="6420" width="17.109375" style="2962" customWidth="1"/>
    <col min="6421" max="6421" width="12.88671875" style="2962" customWidth="1"/>
    <col min="6422" max="6422" width="20.33203125" style="2962" customWidth="1"/>
    <col min="6423" max="6423" width="9" style="2962" customWidth="1"/>
    <col min="6424" max="6427" width="10.21875" style="2962" customWidth="1"/>
    <col min="6428" max="6428" width="28" style="2962" customWidth="1"/>
    <col min="6429" max="6429" width="9" style="2962" customWidth="1"/>
    <col min="6430" max="6430" width="100.33203125" style="2962" customWidth="1"/>
    <col min="6431" max="6433" width="12.109375" style="2962" customWidth="1"/>
    <col min="6434" max="6435" width="18.21875" style="2962" customWidth="1"/>
    <col min="6436" max="6437" width="16.33203125" style="2962" customWidth="1"/>
    <col min="6438" max="6439" width="25" style="2962" customWidth="1"/>
    <col min="6440" max="6440" width="7.109375" style="2962" customWidth="1"/>
    <col min="6441" max="6441" width="18.44140625" style="2962" customWidth="1"/>
    <col min="6442" max="6442" width="19.21875" style="2962" customWidth="1"/>
    <col min="6443" max="6444" width="23" style="2962" customWidth="1"/>
    <col min="6445" max="6445" width="9" style="2962" customWidth="1"/>
    <col min="6446" max="6656" width="8.88671875" style="2962"/>
    <col min="6657" max="6657" width="48" style="2962" customWidth="1"/>
    <col min="6658" max="6658" width="7.109375" style="2962" customWidth="1"/>
    <col min="6659" max="6659" width="13.33203125" style="2962" customWidth="1"/>
    <col min="6660" max="6660" width="7.109375" style="2962" customWidth="1"/>
    <col min="6661" max="6661" width="5.21875" style="2962" customWidth="1"/>
    <col min="6662" max="6662" width="48" style="2962" customWidth="1"/>
    <col min="6663" max="6663" width="9" style="2962" customWidth="1"/>
    <col min="6664" max="6664" width="12.21875" style="2962" customWidth="1"/>
    <col min="6665" max="6665" width="38.33203125" style="2962" customWidth="1"/>
    <col min="6666" max="6667" width="15.88671875" style="2962" customWidth="1"/>
    <col min="6668" max="6668" width="10.44140625" style="2962" customWidth="1"/>
    <col min="6669" max="6671" width="9" style="2962" customWidth="1"/>
    <col min="6672" max="6672" width="11" style="2962" customWidth="1"/>
    <col min="6673" max="6674" width="17.77734375" style="2962" customWidth="1"/>
    <col min="6675" max="6675" width="14.77734375" style="2962" customWidth="1"/>
    <col min="6676" max="6676" width="17.109375" style="2962" customWidth="1"/>
    <col min="6677" max="6677" width="12.88671875" style="2962" customWidth="1"/>
    <col min="6678" max="6678" width="20.33203125" style="2962" customWidth="1"/>
    <col min="6679" max="6679" width="9" style="2962" customWidth="1"/>
    <col min="6680" max="6683" width="10.21875" style="2962" customWidth="1"/>
    <col min="6684" max="6684" width="28" style="2962" customWidth="1"/>
    <col min="6685" max="6685" width="9" style="2962" customWidth="1"/>
    <col min="6686" max="6686" width="100.33203125" style="2962" customWidth="1"/>
    <col min="6687" max="6689" width="12.109375" style="2962" customWidth="1"/>
    <col min="6690" max="6691" width="18.21875" style="2962" customWidth="1"/>
    <col min="6692" max="6693" width="16.33203125" style="2962" customWidth="1"/>
    <col min="6694" max="6695" width="25" style="2962" customWidth="1"/>
    <col min="6696" max="6696" width="7.109375" style="2962" customWidth="1"/>
    <col min="6697" max="6697" width="18.44140625" style="2962" customWidth="1"/>
    <col min="6698" max="6698" width="19.21875" style="2962" customWidth="1"/>
    <col min="6699" max="6700" width="23" style="2962" customWidth="1"/>
    <col min="6701" max="6701" width="9" style="2962" customWidth="1"/>
    <col min="6702" max="6912" width="8.88671875" style="2962"/>
    <col min="6913" max="6913" width="48" style="2962" customWidth="1"/>
    <col min="6914" max="6914" width="7.109375" style="2962" customWidth="1"/>
    <col min="6915" max="6915" width="13.33203125" style="2962" customWidth="1"/>
    <col min="6916" max="6916" width="7.109375" style="2962" customWidth="1"/>
    <col min="6917" max="6917" width="5.21875" style="2962" customWidth="1"/>
    <col min="6918" max="6918" width="48" style="2962" customWidth="1"/>
    <col min="6919" max="6919" width="9" style="2962" customWidth="1"/>
    <col min="6920" max="6920" width="12.21875" style="2962" customWidth="1"/>
    <col min="6921" max="6921" width="38.33203125" style="2962" customWidth="1"/>
    <col min="6922" max="6923" width="15.88671875" style="2962" customWidth="1"/>
    <col min="6924" max="6924" width="10.44140625" style="2962" customWidth="1"/>
    <col min="6925" max="6927" width="9" style="2962" customWidth="1"/>
    <col min="6928" max="6928" width="11" style="2962" customWidth="1"/>
    <col min="6929" max="6930" width="17.77734375" style="2962" customWidth="1"/>
    <col min="6931" max="6931" width="14.77734375" style="2962" customWidth="1"/>
    <col min="6932" max="6932" width="17.109375" style="2962" customWidth="1"/>
    <col min="6933" max="6933" width="12.88671875" style="2962" customWidth="1"/>
    <col min="6934" max="6934" width="20.33203125" style="2962" customWidth="1"/>
    <col min="6935" max="6935" width="9" style="2962" customWidth="1"/>
    <col min="6936" max="6939" width="10.21875" style="2962" customWidth="1"/>
    <col min="6940" max="6940" width="28" style="2962" customWidth="1"/>
    <col min="6941" max="6941" width="9" style="2962" customWidth="1"/>
    <col min="6942" max="6942" width="100.33203125" style="2962" customWidth="1"/>
    <col min="6943" max="6945" width="12.109375" style="2962" customWidth="1"/>
    <col min="6946" max="6947" width="18.21875" style="2962" customWidth="1"/>
    <col min="6948" max="6949" width="16.33203125" style="2962" customWidth="1"/>
    <col min="6950" max="6951" width="25" style="2962" customWidth="1"/>
    <col min="6952" max="6952" width="7.109375" style="2962" customWidth="1"/>
    <col min="6953" max="6953" width="18.44140625" style="2962" customWidth="1"/>
    <col min="6954" max="6954" width="19.21875" style="2962" customWidth="1"/>
    <col min="6955" max="6956" width="23" style="2962" customWidth="1"/>
    <col min="6957" max="6957" width="9" style="2962" customWidth="1"/>
    <col min="6958" max="7168" width="8.88671875" style="2962"/>
    <col min="7169" max="7169" width="48" style="2962" customWidth="1"/>
    <col min="7170" max="7170" width="7.109375" style="2962" customWidth="1"/>
    <col min="7171" max="7171" width="13.33203125" style="2962" customWidth="1"/>
    <col min="7172" max="7172" width="7.109375" style="2962" customWidth="1"/>
    <col min="7173" max="7173" width="5.21875" style="2962" customWidth="1"/>
    <col min="7174" max="7174" width="48" style="2962" customWidth="1"/>
    <col min="7175" max="7175" width="9" style="2962" customWidth="1"/>
    <col min="7176" max="7176" width="12.21875" style="2962" customWidth="1"/>
    <col min="7177" max="7177" width="38.33203125" style="2962" customWidth="1"/>
    <col min="7178" max="7179" width="15.88671875" style="2962" customWidth="1"/>
    <col min="7180" max="7180" width="10.44140625" style="2962" customWidth="1"/>
    <col min="7181" max="7183" width="9" style="2962" customWidth="1"/>
    <col min="7184" max="7184" width="11" style="2962" customWidth="1"/>
    <col min="7185" max="7186" width="17.77734375" style="2962" customWidth="1"/>
    <col min="7187" max="7187" width="14.77734375" style="2962" customWidth="1"/>
    <col min="7188" max="7188" width="17.109375" style="2962" customWidth="1"/>
    <col min="7189" max="7189" width="12.88671875" style="2962" customWidth="1"/>
    <col min="7190" max="7190" width="20.33203125" style="2962" customWidth="1"/>
    <col min="7191" max="7191" width="9" style="2962" customWidth="1"/>
    <col min="7192" max="7195" width="10.21875" style="2962" customWidth="1"/>
    <col min="7196" max="7196" width="28" style="2962" customWidth="1"/>
    <col min="7197" max="7197" width="9" style="2962" customWidth="1"/>
    <col min="7198" max="7198" width="100.33203125" style="2962" customWidth="1"/>
    <col min="7199" max="7201" width="12.109375" style="2962" customWidth="1"/>
    <col min="7202" max="7203" width="18.21875" style="2962" customWidth="1"/>
    <col min="7204" max="7205" width="16.33203125" style="2962" customWidth="1"/>
    <col min="7206" max="7207" width="25" style="2962" customWidth="1"/>
    <col min="7208" max="7208" width="7.109375" style="2962" customWidth="1"/>
    <col min="7209" max="7209" width="18.44140625" style="2962" customWidth="1"/>
    <col min="7210" max="7210" width="19.21875" style="2962" customWidth="1"/>
    <col min="7211" max="7212" width="23" style="2962" customWidth="1"/>
    <col min="7213" max="7213" width="9" style="2962" customWidth="1"/>
    <col min="7214" max="7424" width="8.88671875" style="2962"/>
    <col min="7425" max="7425" width="48" style="2962" customWidth="1"/>
    <col min="7426" max="7426" width="7.109375" style="2962" customWidth="1"/>
    <col min="7427" max="7427" width="13.33203125" style="2962" customWidth="1"/>
    <col min="7428" max="7428" width="7.109375" style="2962" customWidth="1"/>
    <col min="7429" max="7429" width="5.21875" style="2962" customWidth="1"/>
    <col min="7430" max="7430" width="48" style="2962" customWidth="1"/>
    <col min="7431" max="7431" width="9" style="2962" customWidth="1"/>
    <col min="7432" max="7432" width="12.21875" style="2962" customWidth="1"/>
    <col min="7433" max="7433" width="38.33203125" style="2962" customWidth="1"/>
    <col min="7434" max="7435" width="15.88671875" style="2962" customWidth="1"/>
    <col min="7436" max="7436" width="10.44140625" style="2962" customWidth="1"/>
    <col min="7437" max="7439" width="9" style="2962" customWidth="1"/>
    <col min="7440" max="7440" width="11" style="2962" customWidth="1"/>
    <col min="7441" max="7442" width="17.77734375" style="2962" customWidth="1"/>
    <col min="7443" max="7443" width="14.77734375" style="2962" customWidth="1"/>
    <col min="7444" max="7444" width="17.109375" style="2962" customWidth="1"/>
    <col min="7445" max="7445" width="12.88671875" style="2962" customWidth="1"/>
    <col min="7446" max="7446" width="20.33203125" style="2962" customWidth="1"/>
    <col min="7447" max="7447" width="9" style="2962" customWidth="1"/>
    <col min="7448" max="7451" width="10.21875" style="2962" customWidth="1"/>
    <col min="7452" max="7452" width="28" style="2962" customWidth="1"/>
    <col min="7453" max="7453" width="9" style="2962" customWidth="1"/>
    <col min="7454" max="7454" width="100.33203125" style="2962" customWidth="1"/>
    <col min="7455" max="7457" width="12.109375" style="2962" customWidth="1"/>
    <col min="7458" max="7459" width="18.21875" style="2962" customWidth="1"/>
    <col min="7460" max="7461" width="16.33203125" style="2962" customWidth="1"/>
    <col min="7462" max="7463" width="25" style="2962" customWidth="1"/>
    <col min="7464" max="7464" width="7.109375" style="2962" customWidth="1"/>
    <col min="7465" max="7465" width="18.44140625" style="2962" customWidth="1"/>
    <col min="7466" max="7466" width="19.21875" style="2962" customWidth="1"/>
    <col min="7467" max="7468" width="23" style="2962" customWidth="1"/>
    <col min="7469" max="7469" width="9" style="2962" customWidth="1"/>
    <col min="7470" max="7680" width="8.88671875" style="2962"/>
    <col min="7681" max="7681" width="48" style="2962" customWidth="1"/>
    <col min="7682" max="7682" width="7.109375" style="2962" customWidth="1"/>
    <col min="7683" max="7683" width="13.33203125" style="2962" customWidth="1"/>
    <col min="7684" max="7684" width="7.109375" style="2962" customWidth="1"/>
    <col min="7685" max="7685" width="5.21875" style="2962" customWidth="1"/>
    <col min="7686" max="7686" width="48" style="2962" customWidth="1"/>
    <col min="7687" max="7687" width="9" style="2962" customWidth="1"/>
    <col min="7688" max="7688" width="12.21875" style="2962" customWidth="1"/>
    <col min="7689" max="7689" width="38.33203125" style="2962" customWidth="1"/>
    <col min="7690" max="7691" width="15.88671875" style="2962" customWidth="1"/>
    <col min="7692" max="7692" width="10.44140625" style="2962" customWidth="1"/>
    <col min="7693" max="7695" width="9" style="2962" customWidth="1"/>
    <col min="7696" max="7696" width="11" style="2962" customWidth="1"/>
    <col min="7697" max="7698" width="17.77734375" style="2962" customWidth="1"/>
    <col min="7699" max="7699" width="14.77734375" style="2962" customWidth="1"/>
    <col min="7700" max="7700" width="17.109375" style="2962" customWidth="1"/>
    <col min="7701" max="7701" width="12.88671875" style="2962" customWidth="1"/>
    <col min="7702" max="7702" width="20.33203125" style="2962" customWidth="1"/>
    <col min="7703" max="7703" width="9" style="2962" customWidth="1"/>
    <col min="7704" max="7707" width="10.21875" style="2962" customWidth="1"/>
    <col min="7708" max="7708" width="28" style="2962" customWidth="1"/>
    <col min="7709" max="7709" width="9" style="2962" customWidth="1"/>
    <col min="7710" max="7710" width="100.33203125" style="2962" customWidth="1"/>
    <col min="7711" max="7713" width="12.109375" style="2962" customWidth="1"/>
    <col min="7714" max="7715" width="18.21875" style="2962" customWidth="1"/>
    <col min="7716" max="7717" width="16.33203125" style="2962" customWidth="1"/>
    <col min="7718" max="7719" width="25" style="2962" customWidth="1"/>
    <col min="7720" max="7720" width="7.109375" style="2962" customWidth="1"/>
    <col min="7721" max="7721" width="18.44140625" style="2962" customWidth="1"/>
    <col min="7722" max="7722" width="19.21875" style="2962" customWidth="1"/>
    <col min="7723" max="7724" width="23" style="2962" customWidth="1"/>
    <col min="7725" max="7725" width="9" style="2962" customWidth="1"/>
    <col min="7726" max="7936" width="8.88671875" style="2962"/>
    <col min="7937" max="7937" width="48" style="2962" customWidth="1"/>
    <col min="7938" max="7938" width="7.109375" style="2962" customWidth="1"/>
    <col min="7939" max="7939" width="13.33203125" style="2962" customWidth="1"/>
    <col min="7940" max="7940" width="7.109375" style="2962" customWidth="1"/>
    <col min="7941" max="7941" width="5.21875" style="2962" customWidth="1"/>
    <col min="7942" max="7942" width="48" style="2962" customWidth="1"/>
    <col min="7943" max="7943" width="9" style="2962" customWidth="1"/>
    <col min="7944" max="7944" width="12.21875" style="2962" customWidth="1"/>
    <col min="7945" max="7945" width="38.33203125" style="2962" customWidth="1"/>
    <col min="7946" max="7947" width="15.88671875" style="2962" customWidth="1"/>
    <col min="7948" max="7948" width="10.44140625" style="2962" customWidth="1"/>
    <col min="7949" max="7951" width="9" style="2962" customWidth="1"/>
    <col min="7952" max="7952" width="11" style="2962" customWidth="1"/>
    <col min="7953" max="7954" width="17.77734375" style="2962" customWidth="1"/>
    <col min="7955" max="7955" width="14.77734375" style="2962" customWidth="1"/>
    <col min="7956" max="7956" width="17.109375" style="2962" customWidth="1"/>
    <col min="7957" max="7957" width="12.88671875" style="2962" customWidth="1"/>
    <col min="7958" max="7958" width="20.33203125" style="2962" customWidth="1"/>
    <col min="7959" max="7959" width="9" style="2962" customWidth="1"/>
    <col min="7960" max="7963" width="10.21875" style="2962" customWidth="1"/>
    <col min="7964" max="7964" width="28" style="2962" customWidth="1"/>
    <col min="7965" max="7965" width="9" style="2962" customWidth="1"/>
    <col min="7966" max="7966" width="100.33203125" style="2962" customWidth="1"/>
    <col min="7967" max="7969" width="12.109375" style="2962" customWidth="1"/>
    <col min="7970" max="7971" width="18.21875" style="2962" customWidth="1"/>
    <col min="7972" max="7973" width="16.33203125" style="2962" customWidth="1"/>
    <col min="7974" max="7975" width="25" style="2962" customWidth="1"/>
    <col min="7976" max="7976" width="7.109375" style="2962" customWidth="1"/>
    <col min="7977" max="7977" width="18.44140625" style="2962" customWidth="1"/>
    <col min="7978" max="7978" width="19.21875" style="2962" customWidth="1"/>
    <col min="7979" max="7980" width="23" style="2962" customWidth="1"/>
    <col min="7981" max="7981" width="9" style="2962" customWidth="1"/>
    <col min="7982" max="8192" width="8.88671875" style="2962"/>
    <col min="8193" max="8193" width="48" style="2962" customWidth="1"/>
    <col min="8194" max="8194" width="7.109375" style="2962" customWidth="1"/>
    <col min="8195" max="8195" width="13.33203125" style="2962" customWidth="1"/>
    <col min="8196" max="8196" width="7.109375" style="2962" customWidth="1"/>
    <col min="8197" max="8197" width="5.21875" style="2962" customWidth="1"/>
    <col min="8198" max="8198" width="48" style="2962" customWidth="1"/>
    <col min="8199" max="8199" width="9" style="2962" customWidth="1"/>
    <col min="8200" max="8200" width="12.21875" style="2962" customWidth="1"/>
    <col min="8201" max="8201" width="38.33203125" style="2962" customWidth="1"/>
    <col min="8202" max="8203" width="15.88671875" style="2962" customWidth="1"/>
    <col min="8204" max="8204" width="10.44140625" style="2962" customWidth="1"/>
    <col min="8205" max="8207" width="9" style="2962" customWidth="1"/>
    <col min="8208" max="8208" width="11" style="2962" customWidth="1"/>
    <col min="8209" max="8210" width="17.77734375" style="2962" customWidth="1"/>
    <col min="8211" max="8211" width="14.77734375" style="2962" customWidth="1"/>
    <col min="8212" max="8212" width="17.109375" style="2962" customWidth="1"/>
    <col min="8213" max="8213" width="12.88671875" style="2962" customWidth="1"/>
    <col min="8214" max="8214" width="20.33203125" style="2962" customWidth="1"/>
    <col min="8215" max="8215" width="9" style="2962" customWidth="1"/>
    <col min="8216" max="8219" width="10.21875" style="2962" customWidth="1"/>
    <col min="8220" max="8220" width="28" style="2962" customWidth="1"/>
    <col min="8221" max="8221" width="9" style="2962" customWidth="1"/>
    <col min="8222" max="8222" width="100.33203125" style="2962" customWidth="1"/>
    <col min="8223" max="8225" width="12.109375" style="2962" customWidth="1"/>
    <col min="8226" max="8227" width="18.21875" style="2962" customWidth="1"/>
    <col min="8228" max="8229" width="16.33203125" style="2962" customWidth="1"/>
    <col min="8230" max="8231" width="25" style="2962" customWidth="1"/>
    <col min="8232" max="8232" width="7.109375" style="2962" customWidth="1"/>
    <col min="8233" max="8233" width="18.44140625" style="2962" customWidth="1"/>
    <col min="8234" max="8234" width="19.21875" style="2962" customWidth="1"/>
    <col min="8235" max="8236" width="23" style="2962" customWidth="1"/>
    <col min="8237" max="8237" width="9" style="2962" customWidth="1"/>
    <col min="8238" max="8448" width="8.88671875" style="2962"/>
    <col min="8449" max="8449" width="48" style="2962" customWidth="1"/>
    <col min="8450" max="8450" width="7.109375" style="2962" customWidth="1"/>
    <col min="8451" max="8451" width="13.33203125" style="2962" customWidth="1"/>
    <col min="8452" max="8452" width="7.109375" style="2962" customWidth="1"/>
    <col min="8453" max="8453" width="5.21875" style="2962" customWidth="1"/>
    <col min="8454" max="8454" width="48" style="2962" customWidth="1"/>
    <col min="8455" max="8455" width="9" style="2962" customWidth="1"/>
    <col min="8456" max="8456" width="12.21875" style="2962" customWidth="1"/>
    <col min="8457" max="8457" width="38.33203125" style="2962" customWidth="1"/>
    <col min="8458" max="8459" width="15.88671875" style="2962" customWidth="1"/>
    <col min="8460" max="8460" width="10.44140625" style="2962" customWidth="1"/>
    <col min="8461" max="8463" width="9" style="2962" customWidth="1"/>
    <col min="8464" max="8464" width="11" style="2962" customWidth="1"/>
    <col min="8465" max="8466" width="17.77734375" style="2962" customWidth="1"/>
    <col min="8467" max="8467" width="14.77734375" style="2962" customWidth="1"/>
    <col min="8468" max="8468" width="17.109375" style="2962" customWidth="1"/>
    <col min="8469" max="8469" width="12.88671875" style="2962" customWidth="1"/>
    <col min="8470" max="8470" width="20.33203125" style="2962" customWidth="1"/>
    <col min="8471" max="8471" width="9" style="2962" customWidth="1"/>
    <col min="8472" max="8475" width="10.21875" style="2962" customWidth="1"/>
    <col min="8476" max="8476" width="28" style="2962" customWidth="1"/>
    <col min="8477" max="8477" width="9" style="2962" customWidth="1"/>
    <col min="8478" max="8478" width="100.33203125" style="2962" customWidth="1"/>
    <col min="8479" max="8481" width="12.109375" style="2962" customWidth="1"/>
    <col min="8482" max="8483" width="18.21875" style="2962" customWidth="1"/>
    <col min="8484" max="8485" width="16.33203125" style="2962" customWidth="1"/>
    <col min="8486" max="8487" width="25" style="2962" customWidth="1"/>
    <col min="8488" max="8488" width="7.109375" style="2962" customWidth="1"/>
    <col min="8489" max="8489" width="18.44140625" style="2962" customWidth="1"/>
    <col min="8490" max="8490" width="19.21875" style="2962" customWidth="1"/>
    <col min="8491" max="8492" width="23" style="2962" customWidth="1"/>
    <col min="8493" max="8493" width="9" style="2962" customWidth="1"/>
    <col min="8494" max="8704" width="8.88671875" style="2962"/>
    <col min="8705" max="8705" width="48" style="2962" customWidth="1"/>
    <col min="8706" max="8706" width="7.109375" style="2962" customWidth="1"/>
    <col min="8707" max="8707" width="13.33203125" style="2962" customWidth="1"/>
    <col min="8708" max="8708" width="7.109375" style="2962" customWidth="1"/>
    <col min="8709" max="8709" width="5.21875" style="2962" customWidth="1"/>
    <col min="8710" max="8710" width="48" style="2962" customWidth="1"/>
    <col min="8711" max="8711" width="9" style="2962" customWidth="1"/>
    <col min="8712" max="8712" width="12.21875" style="2962" customWidth="1"/>
    <col min="8713" max="8713" width="38.33203125" style="2962" customWidth="1"/>
    <col min="8714" max="8715" width="15.88671875" style="2962" customWidth="1"/>
    <col min="8716" max="8716" width="10.44140625" style="2962" customWidth="1"/>
    <col min="8717" max="8719" width="9" style="2962" customWidth="1"/>
    <col min="8720" max="8720" width="11" style="2962" customWidth="1"/>
    <col min="8721" max="8722" width="17.77734375" style="2962" customWidth="1"/>
    <col min="8723" max="8723" width="14.77734375" style="2962" customWidth="1"/>
    <col min="8724" max="8724" width="17.109375" style="2962" customWidth="1"/>
    <col min="8725" max="8725" width="12.88671875" style="2962" customWidth="1"/>
    <col min="8726" max="8726" width="20.33203125" style="2962" customWidth="1"/>
    <col min="8727" max="8727" width="9" style="2962" customWidth="1"/>
    <col min="8728" max="8731" width="10.21875" style="2962" customWidth="1"/>
    <col min="8732" max="8732" width="28" style="2962" customWidth="1"/>
    <col min="8733" max="8733" width="9" style="2962" customWidth="1"/>
    <col min="8734" max="8734" width="100.33203125" style="2962" customWidth="1"/>
    <col min="8735" max="8737" width="12.109375" style="2962" customWidth="1"/>
    <col min="8738" max="8739" width="18.21875" style="2962" customWidth="1"/>
    <col min="8740" max="8741" width="16.33203125" style="2962" customWidth="1"/>
    <col min="8742" max="8743" width="25" style="2962" customWidth="1"/>
    <col min="8744" max="8744" width="7.109375" style="2962" customWidth="1"/>
    <col min="8745" max="8745" width="18.44140625" style="2962" customWidth="1"/>
    <col min="8746" max="8746" width="19.21875" style="2962" customWidth="1"/>
    <col min="8747" max="8748" width="23" style="2962" customWidth="1"/>
    <col min="8749" max="8749" width="9" style="2962" customWidth="1"/>
    <col min="8750" max="8960" width="8.88671875" style="2962"/>
    <col min="8961" max="8961" width="48" style="2962" customWidth="1"/>
    <col min="8962" max="8962" width="7.109375" style="2962" customWidth="1"/>
    <col min="8963" max="8963" width="13.33203125" style="2962" customWidth="1"/>
    <col min="8964" max="8964" width="7.109375" style="2962" customWidth="1"/>
    <col min="8965" max="8965" width="5.21875" style="2962" customWidth="1"/>
    <col min="8966" max="8966" width="48" style="2962" customWidth="1"/>
    <col min="8967" max="8967" width="9" style="2962" customWidth="1"/>
    <col min="8968" max="8968" width="12.21875" style="2962" customWidth="1"/>
    <col min="8969" max="8969" width="38.33203125" style="2962" customWidth="1"/>
    <col min="8970" max="8971" width="15.88671875" style="2962" customWidth="1"/>
    <col min="8972" max="8972" width="10.44140625" style="2962" customWidth="1"/>
    <col min="8973" max="8975" width="9" style="2962" customWidth="1"/>
    <col min="8976" max="8976" width="11" style="2962" customWidth="1"/>
    <col min="8977" max="8978" width="17.77734375" style="2962" customWidth="1"/>
    <col min="8979" max="8979" width="14.77734375" style="2962" customWidth="1"/>
    <col min="8980" max="8980" width="17.109375" style="2962" customWidth="1"/>
    <col min="8981" max="8981" width="12.88671875" style="2962" customWidth="1"/>
    <col min="8982" max="8982" width="20.33203125" style="2962" customWidth="1"/>
    <col min="8983" max="8983" width="9" style="2962" customWidth="1"/>
    <col min="8984" max="8987" width="10.21875" style="2962" customWidth="1"/>
    <col min="8988" max="8988" width="28" style="2962" customWidth="1"/>
    <col min="8989" max="8989" width="9" style="2962" customWidth="1"/>
    <col min="8990" max="8990" width="100.33203125" style="2962" customWidth="1"/>
    <col min="8991" max="8993" width="12.109375" style="2962" customWidth="1"/>
    <col min="8994" max="8995" width="18.21875" style="2962" customWidth="1"/>
    <col min="8996" max="8997" width="16.33203125" style="2962" customWidth="1"/>
    <col min="8998" max="8999" width="25" style="2962" customWidth="1"/>
    <col min="9000" max="9000" width="7.109375" style="2962" customWidth="1"/>
    <col min="9001" max="9001" width="18.44140625" style="2962" customWidth="1"/>
    <col min="9002" max="9002" width="19.21875" style="2962" customWidth="1"/>
    <col min="9003" max="9004" width="23" style="2962" customWidth="1"/>
    <col min="9005" max="9005" width="9" style="2962" customWidth="1"/>
    <col min="9006" max="9216" width="8.88671875" style="2962"/>
    <col min="9217" max="9217" width="48" style="2962" customWidth="1"/>
    <col min="9218" max="9218" width="7.109375" style="2962" customWidth="1"/>
    <col min="9219" max="9219" width="13.33203125" style="2962" customWidth="1"/>
    <col min="9220" max="9220" width="7.109375" style="2962" customWidth="1"/>
    <col min="9221" max="9221" width="5.21875" style="2962" customWidth="1"/>
    <col min="9222" max="9222" width="48" style="2962" customWidth="1"/>
    <col min="9223" max="9223" width="9" style="2962" customWidth="1"/>
    <col min="9224" max="9224" width="12.21875" style="2962" customWidth="1"/>
    <col min="9225" max="9225" width="38.33203125" style="2962" customWidth="1"/>
    <col min="9226" max="9227" width="15.88671875" style="2962" customWidth="1"/>
    <col min="9228" max="9228" width="10.44140625" style="2962" customWidth="1"/>
    <col min="9229" max="9231" width="9" style="2962" customWidth="1"/>
    <col min="9232" max="9232" width="11" style="2962" customWidth="1"/>
    <col min="9233" max="9234" width="17.77734375" style="2962" customWidth="1"/>
    <col min="9235" max="9235" width="14.77734375" style="2962" customWidth="1"/>
    <col min="9236" max="9236" width="17.109375" style="2962" customWidth="1"/>
    <col min="9237" max="9237" width="12.88671875" style="2962" customWidth="1"/>
    <col min="9238" max="9238" width="20.33203125" style="2962" customWidth="1"/>
    <col min="9239" max="9239" width="9" style="2962" customWidth="1"/>
    <col min="9240" max="9243" width="10.21875" style="2962" customWidth="1"/>
    <col min="9244" max="9244" width="28" style="2962" customWidth="1"/>
    <col min="9245" max="9245" width="9" style="2962" customWidth="1"/>
    <col min="9246" max="9246" width="100.33203125" style="2962" customWidth="1"/>
    <col min="9247" max="9249" width="12.109375" style="2962" customWidth="1"/>
    <col min="9250" max="9251" width="18.21875" style="2962" customWidth="1"/>
    <col min="9252" max="9253" width="16.33203125" style="2962" customWidth="1"/>
    <col min="9254" max="9255" width="25" style="2962" customWidth="1"/>
    <col min="9256" max="9256" width="7.109375" style="2962" customWidth="1"/>
    <col min="9257" max="9257" width="18.44140625" style="2962" customWidth="1"/>
    <col min="9258" max="9258" width="19.21875" style="2962" customWidth="1"/>
    <col min="9259" max="9260" width="23" style="2962" customWidth="1"/>
    <col min="9261" max="9261" width="9" style="2962" customWidth="1"/>
    <col min="9262" max="9472" width="8.88671875" style="2962"/>
    <col min="9473" max="9473" width="48" style="2962" customWidth="1"/>
    <col min="9474" max="9474" width="7.109375" style="2962" customWidth="1"/>
    <col min="9475" max="9475" width="13.33203125" style="2962" customWidth="1"/>
    <col min="9476" max="9476" width="7.109375" style="2962" customWidth="1"/>
    <col min="9477" max="9477" width="5.21875" style="2962" customWidth="1"/>
    <col min="9478" max="9478" width="48" style="2962" customWidth="1"/>
    <col min="9479" max="9479" width="9" style="2962" customWidth="1"/>
    <col min="9480" max="9480" width="12.21875" style="2962" customWidth="1"/>
    <col min="9481" max="9481" width="38.33203125" style="2962" customWidth="1"/>
    <col min="9482" max="9483" width="15.88671875" style="2962" customWidth="1"/>
    <col min="9484" max="9484" width="10.44140625" style="2962" customWidth="1"/>
    <col min="9485" max="9487" width="9" style="2962" customWidth="1"/>
    <col min="9488" max="9488" width="11" style="2962" customWidth="1"/>
    <col min="9489" max="9490" width="17.77734375" style="2962" customWidth="1"/>
    <col min="9491" max="9491" width="14.77734375" style="2962" customWidth="1"/>
    <col min="9492" max="9492" width="17.109375" style="2962" customWidth="1"/>
    <col min="9493" max="9493" width="12.88671875" style="2962" customWidth="1"/>
    <col min="9494" max="9494" width="20.33203125" style="2962" customWidth="1"/>
    <col min="9495" max="9495" width="9" style="2962" customWidth="1"/>
    <col min="9496" max="9499" width="10.21875" style="2962" customWidth="1"/>
    <col min="9500" max="9500" width="28" style="2962" customWidth="1"/>
    <col min="9501" max="9501" width="9" style="2962" customWidth="1"/>
    <col min="9502" max="9502" width="100.33203125" style="2962" customWidth="1"/>
    <col min="9503" max="9505" width="12.109375" style="2962" customWidth="1"/>
    <col min="9506" max="9507" width="18.21875" style="2962" customWidth="1"/>
    <col min="9508" max="9509" width="16.33203125" style="2962" customWidth="1"/>
    <col min="9510" max="9511" width="25" style="2962" customWidth="1"/>
    <col min="9512" max="9512" width="7.109375" style="2962" customWidth="1"/>
    <col min="9513" max="9513" width="18.44140625" style="2962" customWidth="1"/>
    <col min="9514" max="9514" width="19.21875" style="2962" customWidth="1"/>
    <col min="9515" max="9516" width="23" style="2962" customWidth="1"/>
    <col min="9517" max="9517" width="9" style="2962" customWidth="1"/>
    <col min="9518" max="9728" width="8.88671875" style="2962"/>
    <col min="9729" max="9729" width="48" style="2962" customWidth="1"/>
    <col min="9730" max="9730" width="7.109375" style="2962" customWidth="1"/>
    <col min="9731" max="9731" width="13.33203125" style="2962" customWidth="1"/>
    <col min="9732" max="9732" width="7.109375" style="2962" customWidth="1"/>
    <col min="9733" max="9733" width="5.21875" style="2962" customWidth="1"/>
    <col min="9734" max="9734" width="48" style="2962" customWidth="1"/>
    <col min="9735" max="9735" width="9" style="2962" customWidth="1"/>
    <col min="9736" max="9736" width="12.21875" style="2962" customWidth="1"/>
    <col min="9737" max="9737" width="38.33203125" style="2962" customWidth="1"/>
    <col min="9738" max="9739" width="15.88671875" style="2962" customWidth="1"/>
    <col min="9740" max="9740" width="10.44140625" style="2962" customWidth="1"/>
    <col min="9741" max="9743" width="9" style="2962" customWidth="1"/>
    <col min="9744" max="9744" width="11" style="2962" customWidth="1"/>
    <col min="9745" max="9746" width="17.77734375" style="2962" customWidth="1"/>
    <col min="9747" max="9747" width="14.77734375" style="2962" customWidth="1"/>
    <col min="9748" max="9748" width="17.109375" style="2962" customWidth="1"/>
    <col min="9749" max="9749" width="12.88671875" style="2962" customWidth="1"/>
    <col min="9750" max="9750" width="20.33203125" style="2962" customWidth="1"/>
    <col min="9751" max="9751" width="9" style="2962" customWidth="1"/>
    <col min="9752" max="9755" width="10.21875" style="2962" customWidth="1"/>
    <col min="9756" max="9756" width="28" style="2962" customWidth="1"/>
    <col min="9757" max="9757" width="9" style="2962" customWidth="1"/>
    <col min="9758" max="9758" width="100.33203125" style="2962" customWidth="1"/>
    <col min="9759" max="9761" width="12.109375" style="2962" customWidth="1"/>
    <col min="9762" max="9763" width="18.21875" style="2962" customWidth="1"/>
    <col min="9764" max="9765" width="16.33203125" style="2962" customWidth="1"/>
    <col min="9766" max="9767" width="25" style="2962" customWidth="1"/>
    <col min="9768" max="9768" width="7.109375" style="2962" customWidth="1"/>
    <col min="9769" max="9769" width="18.44140625" style="2962" customWidth="1"/>
    <col min="9770" max="9770" width="19.21875" style="2962" customWidth="1"/>
    <col min="9771" max="9772" width="23" style="2962" customWidth="1"/>
    <col min="9773" max="9773" width="9" style="2962" customWidth="1"/>
    <col min="9774" max="9984" width="8.88671875" style="2962"/>
    <col min="9985" max="9985" width="48" style="2962" customWidth="1"/>
    <col min="9986" max="9986" width="7.109375" style="2962" customWidth="1"/>
    <col min="9987" max="9987" width="13.33203125" style="2962" customWidth="1"/>
    <col min="9988" max="9988" width="7.109375" style="2962" customWidth="1"/>
    <col min="9989" max="9989" width="5.21875" style="2962" customWidth="1"/>
    <col min="9990" max="9990" width="48" style="2962" customWidth="1"/>
    <col min="9991" max="9991" width="9" style="2962" customWidth="1"/>
    <col min="9992" max="9992" width="12.21875" style="2962" customWidth="1"/>
    <col min="9993" max="9993" width="38.33203125" style="2962" customWidth="1"/>
    <col min="9994" max="9995" width="15.88671875" style="2962" customWidth="1"/>
    <col min="9996" max="9996" width="10.44140625" style="2962" customWidth="1"/>
    <col min="9997" max="9999" width="9" style="2962" customWidth="1"/>
    <col min="10000" max="10000" width="11" style="2962" customWidth="1"/>
    <col min="10001" max="10002" width="17.77734375" style="2962" customWidth="1"/>
    <col min="10003" max="10003" width="14.77734375" style="2962" customWidth="1"/>
    <col min="10004" max="10004" width="17.109375" style="2962" customWidth="1"/>
    <col min="10005" max="10005" width="12.88671875" style="2962" customWidth="1"/>
    <col min="10006" max="10006" width="20.33203125" style="2962" customWidth="1"/>
    <col min="10007" max="10007" width="9" style="2962" customWidth="1"/>
    <col min="10008" max="10011" width="10.21875" style="2962" customWidth="1"/>
    <col min="10012" max="10012" width="28" style="2962" customWidth="1"/>
    <col min="10013" max="10013" width="9" style="2962" customWidth="1"/>
    <col min="10014" max="10014" width="100.33203125" style="2962" customWidth="1"/>
    <col min="10015" max="10017" width="12.109375" style="2962" customWidth="1"/>
    <col min="10018" max="10019" width="18.21875" style="2962" customWidth="1"/>
    <col min="10020" max="10021" width="16.33203125" style="2962" customWidth="1"/>
    <col min="10022" max="10023" width="25" style="2962" customWidth="1"/>
    <col min="10024" max="10024" width="7.109375" style="2962" customWidth="1"/>
    <col min="10025" max="10025" width="18.44140625" style="2962" customWidth="1"/>
    <col min="10026" max="10026" width="19.21875" style="2962" customWidth="1"/>
    <col min="10027" max="10028" width="23" style="2962" customWidth="1"/>
    <col min="10029" max="10029" width="9" style="2962" customWidth="1"/>
    <col min="10030" max="10240" width="8.88671875" style="2962"/>
    <col min="10241" max="10241" width="48" style="2962" customWidth="1"/>
    <col min="10242" max="10242" width="7.109375" style="2962" customWidth="1"/>
    <col min="10243" max="10243" width="13.33203125" style="2962" customWidth="1"/>
    <col min="10244" max="10244" width="7.109375" style="2962" customWidth="1"/>
    <col min="10245" max="10245" width="5.21875" style="2962" customWidth="1"/>
    <col min="10246" max="10246" width="48" style="2962" customWidth="1"/>
    <col min="10247" max="10247" width="9" style="2962" customWidth="1"/>
    <col min="10248" max="10248" width="12.21875" style="2962" customWidth="1"/>
    <col min="10249" max="10249" width="38.33203125" style="2962" customWidth="1"/>
    <col min="10250" max="10251" width="15.88671875" style="2962" customWidth="1"/>
    <col min="10252" max="10252" width="10.44140625" style="2962" customWidth="1"/>
    <col min="10253" max="10255" width="9" style="2962" customWidth="1"/>
    <col min="10256" max="10256" width="11" style="2962" customWidth="1"/>
    <col min="10257" max="10258" width="17.77734375" style="2962" customWidth="1"/>
    <col min="10259" max="10259" width="14.77734375" style="2962" customWidth="1"/>
    <col min="10260" max="10260" width="17.109375" style="2962" customWidth="1"/>
    <col min="10261" max="10261" width="12.88671875" style="2962" customWidth="1"/>
    <col min="10262" max="10262" width="20.33203125" style="2962" customWidth="1"/>
    <col min="10263" max="10263" width="9" style="2962" customWidth="1"/>
    <col min="10264" max="10267" width="10.21875" style="2962" customWidth="1"/>
    <col min="10268" max="10268" width="28" style="2962" customWidth="1"/>
    <col min="10269" max="10269" width="9" style="2962" customWidth="1"/>
    <col min="10270" max="10270" width="100.33203125" style="2962" customWidth="1"/>
    <col min="10271" max="10273" width="12.109375" style="2962" customWidth="1"/>
    <col min="10274" max="10275" width="18.21875" style="2962" customWidth="1"/>
    <col min="10276" max="10277" width="16.33203125" style="2962" customWidth="1"/>
    <col min="10278" max="10279" width="25" style="2962" customWidth="1"/>
    <col min="10280" max="10280" width="7.109375" style="2962" customWidth="1"/>
    <col min="10281" max="10281" width="18.44140625" style="2962" customWidth="1"/>
    <col min="10282" max="10282" width="19.21875" style="2962" customWidth="1"/>
    <col min="10283" max="10284" width="23" style="2962" customWidth="1"/>
    <col min="10285" max="10285" width="9" style="2962" customWidth="1"/>
    <col min="10286" max="10496" width="8.88671875" style="2962"/>
    <col min="10497" max="10497" width="48" style="2962" customWidth="1"/>
    <col min="10498" max="10498" width="7.109375" style="2962" customWidth="1"/>
    <col min="10499" max="10499" width="13.33203125" style="2962" customWidth="1"/>
    <col min="10500" max="10500" width="7.109375" style="2962" customWidth="1"/>
    <col min="10501" max="10501" width="5.21875" style="2962" customWidth="1"/>
    <col min="10502" max="10502" width="48" style="2962" customWidth="1"/>
    <col min="10503" max="10503" width="9" style="2962" customWidth="1"/>
    <col min="10504" max="10504" width="12.21875" style="2962" customWidth="1"/>
    <col min="10505" max="10505" width="38.33203125" style="2962" customWidth="1"/>
    <col min="10506" max="10507" width="15.88671875" style="2962" customWidth="1"/>
    <col min="10508" max="10508" width="10.44140625" style="2962" customWidth="1"/>
    <col min="10509" max="10511" width="9" style="2962" customWidth="1"/>
    <col min="10512" max="10512" width="11" style="2962" customWidth="1"/>
    <col min="10513" max="10514" width="17.77734375" style="2962" customWidth="1"/>
    <col min="10515" max="10515" width="14.77734375" style="2962" customWidth="1"/>
    <col min="10516" max="10516" width="17.109375" style="2962" customWidth="1"/>
    <col min="10517" max="10517" width="12.88671875" style="2962" customWidth="1"/>
    <col min="10518" max="10518" width="20.33203125" style="2962" customWidth="1"/>
    <col min="10519" max="10519" width="9" style="2962" customWidth="1"/>
    <col min="10520" max="10523" width="10.21875" style="2962" customWidth="1"/>
    <col min="10524" max="10524" width="28" style="2962" customWidth="1"/>
    <col min="10525" max="10525" width="9" style="2962" customWidth="1"/>
    <col min="10526" max="10526" width="100.33203125" style="2962" customWidth="1"/>
    <col min="10527" max="10529" width="12.109375" style="2962" customWidth="1"/>
    <col min="10530" max="10531" width="18.21875" style="2962" customWidth="1"/>
    <col min="10532" max="10533" width="16.33203125" style="2962" customWidth="1"/>
    <col min="10534" max="10535" width="25" style="2962" customWidth="1"/>
    <col min="10536" max="10536" width="7.109375" style="2962" customWidth="1"/>
    <col min="10537" max="10537" width="18.44140625" style="2962" customWidth="1"/>
    <col min="10538" max="10538" width="19.21875" style="2962" customWidth="1"/>
    <col min="10539" max="10540" width="23" style="2962" customWidth="1"/>
    <col min="10541" max="10541" width="9" style="2962" customWidth="1"/>
    <col min="10542" max="10752" width="8.88671875" style="2962"/>
    <col min="10753" max="10753" width="48" style="2962" customWidth="1"/>
    <col min="10754" max="10754" width="7.109375" style="2962" customWidth="1"/>
    <col min="10755" max="10755" width="13.33203125" style="2962" customWidth="1"/>
    <col min="10756" max="10756" width="7.109375" style="2962" customWidth="1"/>
    <col min="10757" max="10757" width="5.21875" style="2962" customWidth="1"/>
    <col min="10758" max="10758" width="48" style="2962" customWidth="1"/>
    <col min="10759" max="10759" width="9" style="2962" customWidth="1"/>
    <col min="10760" max="10760" width="12.21875" style="2962" customWidth="1"/>
    <col min="10761" max="10761" width="38.33203125" style="2962" customWidth="1"/>
    <col min="10762" max="10763" width="15.88671875" style="2962" customWidth="1"/>
    <col min="10764" max="10764" width="10.44140625" style="2962" customWidth="1"/>
    <col min="10765" max="10767" width="9" style="2962" customWidth="1"/>
    <col min="10768" max="10768" width="11" style="2962" customWidth="1"/>
    <col min="10769" max="10770" width="17.77734375" style="2962" customWidth="1"/>
    <col min="10771" max="10771" width="14.77734375" style="2962" customWidth="1"/>
    <col min="10772" max="10772" width="17.109375" style="2962" customWidth="1"/>
    <col min="10773" max="10773" width="12.88671875" style="2962" customWidth="1"/>
    <col min="10774" max="10774" width="20.33203125" style="2962" customWidth="1"/>
    <col min="10775" max="10775" width="9" style="2962" customWidth="1"/>
    <col min="10776" max="10779" width="10.21875" style="2962" customWidth="1"/>
    <col min="10780" max="10780" width="28" style="2962" customWidth="1"/>
    <col min="10781" max="10781" width="9" style="2962" customWidth="1"/>
    <col min="10782" max="10782" width="100.33203125" style="2962" customWidth="1"/>
    <col min="10783" max="10785" width="12.109375" style="2962" customWidth="1"/>
    <col min="10786" max="10787" width="18.21875" style="2962" customWidth="1"/>
    <col min="10788" max="10789" width="16.33203125" style="2962" customWidth="1"/>
    <col min="10790" max="10791" width="25" style="2962" customWidth="1"/>
    <col min="10792" max="10792" width="7.109375" style="2962" customWidth="1"/>
    <col min="10793" max="10793" width="18.44140625" style="2962" customWidth="1"/>
    <col min="10794" max="10794" width="19.21875" style="2962" customWidth="1"/>
    <col min="10795" max="10796" width="23" style="2962" customWidth="1"/>
    <col min="10797" max="10797" width="9" style="2962" customWidth="1"/>
    <col min="10798" max="11008" width="8.88671875" style="2962"/>
    <col min="11009" max="11009" width="48" style="2962" customWidth="1"/>
    <col min="11010" max="11010" width="7.109375" style="2962" customWidth="1"/>
    <col min="11011" max="11011" width="13.33203125" style="2962" customWidth="1"/>
    <col min="11012" max="11012" width="7.109375" style="2962" customWidth="1"/>
    <col min="11013" max="11013" width="5.21875" style="2962" customWidth="1"/>
    <col min="11014" max="11014" width="48" style="2962" customWidth="1"/>
    <col min="11015" max="11015" width="9" style="2962" customWidth="1"/>
    <col min="11016" max="11016" width="12.21875" style="2962" customWidth="1"/>
    <col min="11017" max="11017" width="38.33203125" style="2962" customWidth="1"/>
    <col min="11018" max="11019" width="15.88671875" style="2962" customWidth="1"/>
    <col min="11020" max="11020" width="10.44140625" style="2962" customWidth="1"/>
    <col min="11021" max="11023" width="9" style="2962" customWidth="1"/>
    <col min="11024" max="11024" width="11" style="2962" customWidth="1"/>
    <col min="11025" max="11026" width="17.77734375" style="2962" customWidth="1"/>
    <col min="11027" max="11027" width="14.77734375" style="2962" customWidth="1"/>
    <col min="11028" max="11028" width="17.109375" style="2962" customWidth="1"/>
    <col min="11029" max="11029" width="12.88671875" style="2962" customWidth="1"/>
    <col min="11030" max="11030" width="20.33203125" style="2962" customWidth="1"/>
    <col min="11031" max="11031" width="9" style="2962" customWidth="1"/>
    <col min="11032" max="11035" width="10.21875" style="2962" customWidth="1"/>
    <col min="11036" max="11036" width="28" style="2962" customWidth="1"/>
    <col min="11037" max="11037" width="9" style="2962" customWidth="1"/>
    <col min="11038" max="11038" width="100.33203125" style="2962" customWidth="1"/>
    <col min="11039" max="11041" width="12.109375" style="2962" customWidth="1"/>
    <col min="11042" max="11043" width="18.21875" style="2962" customWidth="1"/>
    <col min="11044" max="11045" width="16.33203125" style="2962" customWidth="1"/>
    <col min="11046" max="11047" width="25" style="2962" customWidth="1"/>
    <col min="11048" max="11048" width="7.109375" style="2962" customWidth="1"/>
    <col min="11049" max="11049" width="18.44140625" style="2962" customWidth="1"/>
    <col min="11050" max="11050" width="19.21875" style="2962" customWidth="1"/>
    <col min="11051" max="11052" width="23" style="2962" customWidth="1"/>
    <col min="11053" max="11053" width="9" style="2962" customWidth="1"/>
    <col min="11054" max="11264" width="8.88671875" style="2962"/>
    <col min="11265" max="11265" width="48" style="2962" customWidth="1"/>
    <col min="11266" max="11266" width="7.109375" style="2962" customWidth="1"/>
    <col min="11267" max="11267" width="13.33203125" style="2962" customWidth="1"/>
    <col min="11268" max="11268" width="7.109375" style="2962" customWidth="1"/>
    <col min="11269" max="11269" width="5.21875" style="2962" customWidth="1"/>
    <col min="11270" max="11270" width="48" style="2962" customWidth="1"/>
    <col min="11271" max="11271" width="9" style="2962" customWidth="1"/>
    <col min="11272" max="11272" width="12.21875" style="2962" customWidth="1"/>
    <col min="11273" max="11273" width="38.33203125" style="2962" customWidth="1"/>
    <col min="11274" max="11275" width="15.88671875" style="2962" customWidth="1"/>
    <col min="11276" max="11276" width="10.44140625" style="2962" customWidth="1"/>
    <col min="11277" max="11279" width="9" style="2962" customWidth="1"/>
    <col min="11280" max="11280" width="11" style="2962" customWidth="1"/>
    <col min="11281" max="11282" width="17.77734375" style="2962" customWidth="1"/>
    <col min="11283" max="11283" width="14.77734375" style="2962" customWidth="1"/>
    <col min="11284" max="11284" width="17.109375" style="2962" customWidth="1"/>
    <col min="11285" max="11285" width="12.88671875" style="2962" customWidth="1"/>
    <col min="11286" max="11286" width="20.33203125" style="2962" customWidth="1"/>
    <col min="11287" max="11287" width="9" style="2962" customWidth="1"/>
    <col min="11288" max="11291" width="10.21875" style="2962" customWidth="1"/>
    <col min="11292" max="11292" width="28" style="2962" customWidth="1"/>
    <col min="11293" max="11293" width="9" style="2962" customWidth="1"/>
    <col min="11294" max="11294" width="100.33203125" style="2962" customWidth="1"/>
    <col min="11295" max="11297" width="12.109375" style="2962" customWidth="1"/>
    <col min="11298" max="11299" width="18.21875" style="2962" customWidth="1"/>
    <col min="11300" max="11301" width="16.33203125" style="2962" customWidth="1"/>
    <col min="11302" max="11303" width="25" style="2962" customWidth="1"/>
    <col min="11304" max="11304" width="7.109375" style="2962" customWidth="1"/>
    <col min="11305" max="11305" width="18.44140625" style="2962" customWidth="1"/>
    <col min="11306" max="11306" width="19.21875" style="2962" customWidth="1"/>
    <col min="11307" max="11308" width="23" style="2962" customWidth="1"/>
    <col min="11309" max="11309" width="9" style="2962" customWidth="1"/>
    <col min="11310" max="11520" width="8.88671875" style="2962"/>
    <col min="11521" max="11521" width="48" style="2962" customWidth="1"/>
    <col min="11522" max="11522" width="7.109375" style="2962" customWidth="1"/>
    <col min="11523" max="11523" width="13.33203125" style="2962" customWidth="1"/>
    <col min="11524" max="11524" width="7.109375" style="2962" customWidth="1"/>
    <col min="11525" max="11525" width="5.21875" style="2962" customWidth="1"/>
    <col min="11526" max="11526" width="48" style="2962" customWidth="1"/>
    <col min="11527" max="11527" width="9" style="2962" customWidth="1"/>
    <col min="11528" max="11528" width="12.21875" style="2962" customWidth="1"/>
    <col min="11529" max="11529" width="38.33203125" style="2962" customWidth="1"/>
    <col min="11530" max="11531" width="15.88671875" style="2962" customWidth="1"/>
    <col min="11532" max="11532" width="10.44140625" style="2962" customWidth="1"/>
    <col min="11533" max="11535" width="9" style="2962" customWidth="1"/>
    <col min="11536" max="11536" width="11" style="2962" customWidth="1"/>
    <col min="11537" max="11538" width="17.77734375" style="2962" customWidth="1"/>
    <col min="11539" max="11539" width="14.77734375" style="2962" customWidth="1"/>
    <col min="11540" max="11540" width="17.109375" style="2962" customWidth="1"/>
    <col min="11541" max="11541" width="12.88671875" style="2962" customWidth="1"/>
    <col min="11542" max="11542" width="20.33203125" style="2962" customWidth="1"/>
    <col min="11543" max="11543" width="9" style="2962" customWidth="1"/>
    <col min="11544" max="11547" width="10.21875" style="2962" customWidth="1"/>
    <col min="11548" max="11548" width="28" style="2962" customWidth="1"/>
    <col min="11549" max="11549" width="9" style="2962" customWidth="1"/>
    <col min="11550" max="11550" width="100.33203125" style="2962" customWidth="1"/>
    <col min="11551" max="11553" width="12.109375" style="2962" customWidth="1"/>
    <col min="11554" max="11555" width="18.21875" style="2962" customWidth="1"/>
    <col min="11556" max="11557" width="16.33203125" style="2962" customWidth="1"/>
    <col min="11558" max="11559" width="25" style="2962" customWidth="1"/>
    <col min="11560" max="11560" width="7.109375" style="2962" customWidth="1"/>
    <col min="11561" max="11561" width="18.44140625" style="2962" customWidth="1"/>
    <col min="11562" max="11562" width="19.21875" style="2962" customWidth="1"/>
    <col min="11563" max="11564" width="23" style="2962" customWidth="1"/>
    <col min="11565" max="11565" width="9" style="2962" customWidth="1"/>
    <col min="11566" max="11776" width="8.88671875" style="2962"/>
    <col min="11777" max="11777" width="48" style="2962" customWidth="1"/>
    <col min="11778" max="11778" width="7.109375" style="2962" customWidth="1"/>
    <col min="11779" max="11779" width="13.33203125" style="2962" customWidth="1"/>
    <col min="11780" max="11780" width="7.109375" style="2962" customWidth="1"/>
    <col min="11781" max="11781" width="5.21875" style="2962" customWidth="1"/>
    <col min="11782" max="11782" width="48" style="2962" customWidth="1"/>
    <col min="11783" max="11783" width="9" style="2962" customWidth="1"/>
    <col min="11784" max="11784" width="12.21875" style="2962" customWidth="1"/>
    <col min="11785" max="11785" width="38.33203125" style="2962" customWidth="1"/>
    <col min="11786" max="11787" width="15.88671875" style="2962" customWidth="1"/>
    <col min="11788" max="11788" width="10.44140625" style="2962" customWidth="1"/>
    <col min="11789" max="11791" width="9" style="2962" customWidth="1"/>
    <col min="11792" max="11792" width="11" style="2962" customWidth="1"/>
    <col min="11793" max="11794" width="17.77734375" style="2962" customWidth="1"/>
    <col min="11795" max="11795" width="14.77734375" style="2962" customWidth="1"/>
    <col min="11796" max="11796" width="17.109375" style="2962" customWidth="1"/>
    <col min="11797" max="11797" width="12.88671875" style="2962" customWidth="1"/>
    <col min="11798" max="11798" width="20.33203125" style="2962" customWidth="1"/>
    <col min="11799" max="11799" width="9" style="2962" customWidth="1"/>
    <col min="11800" max="11803" width="10.21875" style="2962" customWidth="1"/>
    <col min="11804" max="11804" width="28" style="2962" customWidth="1"/>
    <col min="11805" max="11805" width="9" style="2962" customWidth="1"/>
    <col min="11806" max="11806" width="100.33203125" style="2962" customWidth="1"/>
    <col min="11807" max="11809" width="12.109375" style="2962" customWidth="1"/>
    <col min="11810" max="11811" width="18.21875" style="2962" customWidth="1"/>
    <col min="11812" max="11813" width="16.33203125" style="2962" customWidth="1"/>
    <col min="11814" max="11815" width="25" style="2962" customWidth="1"/>
    <col min="11816" max="11816" width="7.109375" style="2962" customWidth="1"/>
    <col min="11817" max="11817" width="18.44140625" style="2962" customWidth="1"/>
    <col min="11818" max="11818" width="19.21875" style="2962" customWidth="1"/>
    <col min="11819" max="11820" width="23" style="2962" customWidth="1"/>
    <col min="11821" max="11821" width="9" style="2962" customWidth="1"/>
    <col min="11822" max="12032" width="8.88671875" style="2962"/>
    <col min="12033" max="12033" width="48" style="2962" customWidth="1"/>
    <col min="12034" max="12034" width="7.109375" style="2962" customWidth="1"/>
    <col min="12035" max="12035" width="13.33203125" style="2962" customWidth="1"/>
    <col min="12036" max="12036" width="7.109375" style="2962" customWidth="1"/>
    <col min="12037" max="12037" width="5.21875" style="2962" customWidth="1"/>
    <col min="12038" max="12038" width="48" style="2962" customWidth="1"/>
    <col min="12039" max="12039" width="9" style="2962" customWidth="1"/>
    <col min="12040" max="12040" width="12.21875" style="2962" customWidth="1"/>
    <col min="12041" max="12041" width="38.33203125" style="2962" customWidth="1"/>
    <col min="12042" max="12043" width="15.88671875" style="2962" customWidth="1"/>
    <col min="12044" max="12044" width="10.44140625" style="2962" customWidth="1"/>
    <col min="12045" max="12047" width="9" style="2962" customWidth="1"/>
    <col min="12048" max="12048" width="11" style="2962" customWidth="1"/>
    <col min="12049" max="12050" width="17.77734375" style="2962" customWidth="1"/>
    <col min="12051" max="12051" width="14.77734375" style="2962" customWidth="1"/>
    <col min="12052" max="12052" width="17.109375" style="2962" customWidth="1"/>
    <col min="12053" max="12053" width="12.88671875" style="2962" customWidth="1"/>
    <col min="12054" max="12054" width="20.33203125" style="2962" customWidth="1"/>
    <col min="12055" max="12055" width="9" style="2962" customWidth="1"/>
    <col min="12056" max="12059" width="10.21875" style="2962" customWidth="1"/>
    <col min="12060" max="12060" width="28" style="2962" customWidth="1"/>
    <col min="12061" max="12061" width="9" style="2962" customWidth="1"/>
    <col min="12062" max="12062" width="100.33203125" style="2962" customWidth="1"/>
    <col min="12063" max="12065" width="12.109375" style="2962" customWidth="1"/>
    <col min="12066" max="12067" width="18.21875" style="2962" customWidth="1"/>
    <col min="12068" max="12069" width="16.33203125" style="2962" customWidth="1"/>
    <col min="12070" max="12071" width="25" style="2962" customWidth="1"/>
    <col min="12072" max="12072" width="7.109375" style="2962" customWidth="1"/>
    <col min="12073" max="12073" width="18.44140625" style="2962" customWidth="1"/>
    <col min="12074" max="12074" width="19.21875" style="2962" customWidth="1"/>
    <col min="12075" max="12076" width="23" style="2962" customWidth="1"/>
    <col min="12077" max="12077" width="9" style="2962" customWidth="1"/>
    <col min="12078" max="12288" width="8.88671875" style="2962"/>
    <col min="12289" max="12289" width="48" style="2962" customWidth="1"/>
    <col min="12290" max="12290" width="7.109375" style="2962" customWidth="1"/>
    <col min="12291" max="12291" width="13.33203125" style="2962" customWidth="1"/>
    <col min="12292" max="12292" width="7.109375" style="2962" customWidth="1"/>
    <col min="12293" max="12293" width="5.21875" style="2962" customWidth="1"/>
    <col min="12294" max="12294" width="48" style="2962" customWidth="1"/>
    <col min="12295" max="12295" width="9" style="2962" customWidth="1"/>
    <col min="12296" max="12296" width="12.21875" style="2962" customWidth="1"/>
    <col min="12297" max="12297" width="38.33203125" style="2962" customWidth="1"/>
    <col min="12298" max="12299" width="15.88671875" style="2962" customWidth="1"/>
    <col min="12300" max="12300" width="10.44140625" style="2962" customWidth="1"/>
    <col min="12301" max="12303" width="9" style="2962" customWidth="1"/>
    <col min="12304" max="12304" width="11" style="2962" customWidth="1"/>
    <col min="12305" max="12306" width="17.77734375" style="2962" customWidth="1"/>
    <col min="12307" max="12307" width="14.77734375" style="2962" customWidth="1"/>
    <col min="12308" max="12308" width="17.109375" style="2962" customWidth="1"/>
    <col min="12309" max="12309" width="12.88671875" style="2962" customWidth="1"/>
    <col min="12310" max="12310" width="20.33203125" style="2962" customWidth="1"/>
    <col min="12311" max="12311" width="9" style="2962" customWidth="1"/>
    <col min="12312" max="12315" width="10.21875" style="2962" customWidth="1"/>
    <col min="12316" max="12316" width="28" style="2962" customWidth="1"/>
    <col min="12317" max="12317" width="9" style="2962" customWidth="1"/>
    <col min="12318" max="12318" width="100.33203125" style="2962" customWidth="1"/>
    <col min="12319" max="12321" width="12.109375" style="2962" customWidth="1"/>
    <col min="12322" max="12323" width="18.21875" style="2962" customWidth="1"/>
    <col min="12324" max="12325" width="16.33203125" style="2962" customWidth="1"/>
    <col min="12326" max="12327" width="25" style="2962" customWidth="1"/>
    <col min="12328" max="12328" width="7.109375" style="2962" customWidth="1"/>
    <col min="12329" max="12329" width="18.44140625" style="2962" customWidth="1"/>
    <col min="12330" max="12330" width="19.21875" style="2962" customWidth="1"/>
    <col min="12331" max="12332" width="23" style="2962" customWidth="1"/>
    <col min="12333" max="12333" width="9" style="2962" customWidth="1"/>
    <col min="12334" max="12544" width="8.88671875" style="2962"/>
    <col min="12545" max="12545" width="48" style="2962" customWidth="1"/>
    <col min="12546" max="12546" width="7.109375" style="2962" customWidth="1"/>
    <col min="12547" max="12547" width="13.33203125" style="2962" customWidth="1"/>
    <col min="12548" max="12548" width="7.109375" style="2962" customWidth="1"/>
    <col min="12549" max="12549" width="5.21875" style="2962" customWidth="1"/>
    <col min="12550" max="12550" width="48" style="2962" customWidth="1"/>
    <col min="12551" max="12551" width="9" style="2962" customWidth="1"/>
    <col min="12552" max="12552" width="12.21875" style="2962" customWidth="1"/>
    <col min="12553" max="12553" width="38.33203125" style="2962" customWidth="1"/>
    <col min="12554" max="12555" width="15.88671875" style="2962" customWidth="1"/>
    <col min="12556" max="12556" width="10.44140625" style="2962" customWidth="1"/>
    <col min="12557" max="12559" width="9" style="2962" customWidth="1"/>
    <col min="12560" max="12560" width="11" style="2962" customWidth="1"/>
    <col min="12561" max="12562" width="17.77734375" style="2962" customWidth="1"/>
    <col min="12563" max="12563" width="14.77734375" style="2962" customWidth="1"/>
    <col min="12564" max="12564" width="17.109375" style="2962" customWidth="1"/>
    <col min="12565" max="12565" width="12.88671875" style="2962" customWidth="1"/>
    <col min="12566" max="12566" width="20.33203125" style="2962" customWidth="1"/>
    <col min="12567" max="12567" width="9" style="2962" customWidth="1"/>
    <col min="12568" max="12571" width="10.21875" style="2962" customWidth="1"/>
    <col min="12572" max="12572" width="28" style="2962" customWidth="1"/>
    <col min="12573" max="12573" width="9" style="2962" customWidth="1"/>
    <col min="12574" max="12574" width="100.33203125" style="2962" customWidth="1"/>
    <col min="12575" max="12577" width="12.109375" style="2962" customWidth="1"/>
    <col min="12578" max="12579" width="18.21875" style="2962" customWidth="1"/>
    <col min="12580" max="12581" width="16.33203125" style="2962" customWidth="1"/>
    <col min="12582" max="12583" width="25" style="2962" customWidth="1"/>
    <col min="12584" max="12584" width="7.109375" style="2962" customWidth="1"/>
    <col min="12585" max="12585" width="18.44140625" style="2962" customWidth="1"/>
    <col min="12586" max="12586" width="19.21875" style="2962" customWidth="1"/>
    <col min="12587" max="12588" width="23" style="2962" customWidth="1"/>
    <col min="12589" max="12589" width="9" style="2962" customWidth="1"/>
    <col min="12590" max="12800" width="8.88671875" style="2962"/>
    <col min="12801" max="12801" width="48" style="2962" customWidth="1"/>
    <col min="12802" max="12802" width="7.109375" style="2962" customWidth="1"/>
    <col min="12803" max="12803" width="13.33203125" style="2962" customWidth="1"/>
    <col min="12804" max="12804" width="7.109375" style="2962" customWidth="1"/>
    <col min="12805" max="12805" width="5.21875" style="2962" customWidth="1"/>
    <col min="12806" max="12806" width="48" style="2962" customWidth="1"/>
    <col min="12807" max="12807" width="9" style="2962" customWidth="1"/>
    <col min="12808" max="12808" width="12.21875" style="2962" customWidth="1"/>
    <col min="12809" max="12809" width="38.33203125" style="2962" customWidth="1"/>
    <col min="12810" max="12811" width="15.88671875" style="2962" customWidth="1"/>
    <col min="12812" max="12812" width="10.44140625" style="2962" customWidth="1"/>
    <col min="12813" max="12815" width="9" style="2962" customWidth="1"/>
    <col min="12816" max="12816" width="11" style="2962" customWidth="1"/>
    <col min="12817" max="12818" width="17.77734375" style="2962" customWidth="1"/>
    <col min="12819" max="12819" width="14.77734375" style="2962" customWidth="1"/>
    <col min="12820" max="12820" width="17.109375" style="2962" customWidth="1"/>
    <col min="12821" max="12821" width="12.88671875" style="2962" customWidth="1"/>
    <col min="12822" max="12822" width="20.33203125" style="2962" customWidth="1"/>
    <col min="12823" max="12823" width="9" style="2962" customWidth="1"/>
    <col min="12824" max="12827" width="10.21875" style="2962" customWidth="1"/>
    <col min="12828" max="12828" width="28" style="2962" customWidth="1"/>
    <col min="12829" max="12829" width="9" style="2962" customWidth="1"/>
    <col min="12830" max="12830" width="100.33203125" style="2962" customWidth="1"/>
    <col min="12831" max="12833" width="12.109375" style="2962" customWidth="1"/>
    <col min="12834" max="12835" width="18.21875" style="2962" customWidth="1"/>
    <col min="12836" max="12837" width="16.33203125" style="2962" customWidth="1"/>
    <col min="12838" max="12839" width="25" style="2962" customWidth="1"/>
    <col min="12840" max="12840" width="7.109375" style="2962" customWidth="1"/>
    <col min="12841" max="12841" width="18.44140625" style="2962" customWidth="1"/>
    <col min="12842" max="12842" width="19.21875" style="2962" customWidth="1"/>
    <col min="12843" max="12844" width="23" style="2962" customWidth="1"/>
    <col min="12845" max="12845" width="9" style="2962" customWidth="1"/>
    <col min="12846" max="13056" width="8.88671875" style="2962"/>
    <col min="13057" max="13057" width="48" style="2962" customWidth="1"/>
    <col min="13058" max="13058" width="7.109375" style="2962" customWidth="1"/>
    <col min="13059" max="13059" width="13.33203125" style="2962" customWidth="1"/>
    <col min="13060" max="13060" width="7.109375" style="2962" customWidth="1"/>
    <col min="13061" max="13061" width="5.21875" style="2962" customWidth="1"/>
    <col min="13062" max="13062" width="48" style="2962" customWidth="1"/>
    <col min="13063" max="13063" width="9" style="2962" customWidth="1"/>
    <col min="13064" max="13064" width="12.21875" style="2962" customWidth="1"/>
    <col min="13065" max="13065" width="38.33203125" style="2962" customWidth="1"/>
    <col min="13066" max="13067" width="15.88671875" style="2962" customWidth="1"/>
    <col min="13068" max="13068" width="10.44140625" style="2962" customWidth="1"/>
    <col min="13069" max="13071" width="9" style="2962" customWidth="1"/>
    <col min="13072" max="13072" width="11" style="2962" customWidth="1"/>
    <col min="13073" max="13074" width="17.77734375" style="2962" customWidth="1"/>
    <col min="13075" max="13075" width="14.77734375" style="2962" customWidth="1"/>
    <col min="13076" max="13076" width="17.109375" style="2962" customWidth="1"/>
    <col min="13077" max="13077" width="12.88671875" style="2962" customWidth="1"/>
    <col min="13078" max="13078" width="20.33203125" style="2962" customWidth="1"/>
    <col min="13079" max="13079" width="9" style="2962" customWidth="1"/>
    <col min="13080" max="13083" width="10.21875" style="2962" customWidth="1"/>
    <col min="13084" max="13084" width="28" style="2962" customWidth="1"/>
    <col min="13085" max="13085" width="9" style="2962" customWidth="1"/>
    <col min="13086" max="13086" width="100.33203125" style="2962" customWidth="1"/>
    <col min="13087" max="13089" width="12.109375" style="2962" customWidth="1"/>
    <col min="13090" max="13091" width="18.21875" style="2962" customWidth="1"/>
    <col min="13092" max="13093" width="16.33203125" style="2962" customWidth="1"/>
    <col min="13094" max="13095" width="25" style="2962" customWidth="1"/>
    <col min="13096" max="13096" width="7.109375" style="2962" customWidth="1"/>
    <col min="13097" max="13097" width="18.44140625" style="2962" customWidth="1"/>
    <col min="13098" max="13098" width="19.21875" style="2962" customWidth="1"/>
    <col min="13099" max="13100" width="23" style="2962" customWidth="1"/>
    <col min="13101" max="13101" width="9" style="2962" customWidth="1"/>
    <col min="13102" max="13312" width="8.88671875" style="2962"/>
    <col min="13313" max="13313" width="48" style="2962" customWidth="1"/>
    <col min="13314" max="13314" width="7.109375" style="2962" customWidth="1"/>
    <col min="13315" max="13315" width="13.33203125" style="2962" customWidth="1"/>
    <col min="13316" max="13316" width="7.109375" style="2962" customWidth="1"/>
    <col min="13317" max="13317" width="5.21875" style="2962" customWidth="1"/>
    <col min="13318" max="13318" width="48" style="2962" customWidth="1"/>
    <col min="13319" max="13319" width="9" style="2962" customWidth="1"/>
    <col min="13320" max="13320" width="12.21875" style="2962" customWidth="1"/>
    <col min="13321" max="13321" width="38.33203125" style="2962" customWidth="1"/>
    <col min="13322" max="13323" width="15.88671875" style="2962" customWidth="1"/>
    <col min="13324" max="13324" width="10.44140625" style="2962" customWidth="1"/>
    <col min="13325" max="13327" width="9" style="2962" customWidth="1"/>
    <col min="13328" max="13328" width="11" style="2962" customWidth="1"/>
    <col min="13329" max="13330" width="17.77734375" style="2962" customWidth="1"/>
    <col min="13331" max="13331" width="14.77734375" style="2962" customWidth="1"/>
    <col min="13332" max="13332" width="17.109375" style="2962" customWidth="1"/>
    <col min="13333" max="13333" width="12.88671875" style="2962" customWidth="1"/>
    <col min="13334" max="13334" width="20.33203125" style="2962" customWidth="1"/>
    <col min="13335" max="13335" width="9" style="2962" customWidth="1"/>
    <col min="13336" max="13339" width="10.21875" style="2962" customWidth="1"/>
    <col min="13340" max="13340" width="28" style="2962" customWidth="1"/>
    <col min="13341" max="13341" width="9" style="2962" customWidth="1"/>
    <col min="13342" max="13342" width="100.33203125" style="2962" customWidth="1"/>
    <col min="13343" max="13345" width="12.109375" style="2962" customWidth="1"/>
    <col min="13346" max="13347" width="18.21875" style="2962" customWidth="1"/>
    <col min="13348" max="13349" width="16.33203125" style="2962" customWidth="1"/>
    <col min="13350" max="13351" width="25" style="2962" customWidth="1"/>
    <col min="13352" max="13352" width="7.109375" style="2962" customWidth="1"/>
    <col min="13353" max="13353" width="18.44140625" style="2962" customWidth="1"/>
    <col min="13354" max="13354" width="19.21875" style="2962" customWidth="1"/>
    <col min="13355" max="13356" width="23" style="2962" customWidth="1"/>
    <col min="13357" max="13357" width="9" style="2962" customWidth="1"/>
    <col min="13358" max="13568" width="8.88671875" style="2962"/>
    <col min="13569" max="13569" width="48" style="2962" customWidth="1"/>
    <col min="13570" max="13570" width="7.109375" style="2962" customWidth="1"/>
    <col min="13571" max="13571" width="13.33203125" style="2962" customWidth="1"/>
    <col min="13572" max="13572" width="7.109375" style="2962" customWidth="1"/>
    <col min="13573" max="13573" width="5.21875" style="2962" customWidth="1"/>
    <col min="13574" max="13574" width="48" style="2962" customWidth="1"/>
    <col min="13575" max="13575" width="9" style="2962" customWidth="1"/>
    <col min="13576" max="13576" width="12.21875" style="2962" customWidth="1"/>
    <col min="13577" max="13577" width="38.33203125" style="2962" customWidth="1"/>
    <col min="13578" max="13579" width="15.88671875" style="2962" customWidth="1"/>
    <col min="13580" max="13580" width="10.44140625" style="2962" customWidth="1"/>
    <col min="13581" max="13583" width="9" style="2962" customWidth="1"/>
    <col min="13584" max="13584" width="11" style="2962" customWidth="1"/>
    <col min="13585" max="13586" width="17.77734375" style="2962" customWidth="1"/>
    <col min="13587" max="13587" width="14.77734375" style="2962" customWidth="1"/>
    <col min="13588" max="13588" width="17.109375" style="2962" customWidth="1"/>
    <col min="13589" max="13589" width="12.88671875" style="2962" customWidth="1"/>
    <col min="13590" max="13590" width="20.33203125" style="2962" customWidth="1"/>
    <col min="13591" max="13591" width="9" style="2962" customWidth="1"/>
    <col min="13592" max="13595" width="10.21875" style="2962" customWidth="1"/>
    <col min="13596" max="13596" width="28" style="2962" customWidth="1"/>
    <col min="13597" max="13597" width="9" style="2962" customWidth="1"/>
    <col min="13598" max="13598" width="100.33203125" style="2962" customWidth="1"/>
    <col min="13599" max="13601" width="12.109375" style="2962" customWidth="1"/>
    <col min="13602" max="13603" width="18.21875" style="2962" customWidth="1"/>
    <col min="13604" max="13605" width="16.33203125" style="2962" customWidth="1"/>
    <col min="13606" max="13607" width="25" style="2962" customWidth="1"/>
    <col min="13608" max="13608" width="7.109375" style="2962" customWidth="1"/>
    <col min="13609" max="13609" width="18.44140625" style="2962" customWidth="1"/>
    <col min="13610" max="13610" width="19.21875" style="2962" customWidth="1"/>
    <col min="13611" max="13612" width="23" style="2962" customWidth="1"/>
    <col min="13613" max="13613" width="9" style="2962" customWidth="1"/>
    <col min="13614" max="13824" width="8.88671875" style="2962"/>
    <col min="13825" max="13825" width="48" style="2962" customWidth="1"/>
    <col min="13826" max="13826" width="7.109375" style="2962" customWidth="1"/>
    <col min="13827" max="13827" width="13.33203125" style="2962" customWidth="1"/>
    <col min="13828" max="13828" width="7.109375" style="2962" customWidth="1"/>
    <col min="13829" max="13829" width="5.21875" style="2962" customWidth="1"/>
    <col min="13830" max="13830" width="48" style="2962" customWidth="1"/>
    <col min="13831" max="13831" width="9" style="2962" customWidth="1"/>
    <col min="13832" max="13832" width="12.21875" style="2962" customWidth="1"/>
    <col min="13833" max="13833" width="38.33203125" style="2962" customWidth="1"/>
    <col min="13834" max="13835" width="15.88671875" style="2962" customWidth="1"/>
    <col min="13836" max="13836" width="10.44140625" style="2962" customWidth="1"/>
    <col min="13837" max="13839" width="9" style="2962" customWidth="1"/>
    <col min="13840" max="13840" width="11" style="2962" customWidth="1"/>
    <col min="13841" max="13842" width="17.77734375" style="2962" customWidth="1"/>
    <col min="13843" max="13843" width="14.77734375" style="2962" customWidth="1"/>
    <col min="13844" max="13844" width="17.109375" style="2962" customWidth="1"/>
    <col min="13845" max="13845" width="12.88671875" style="2962" customWidth="1"/>
    <col min="13846" max="13846" width="20.33203125" style="2962" customWidth="1"/>
    <col min="13847" max="13847" width="9" style="2962" customWidth="1"/>
    <col min="13848" max="13851" width="10.21875" style="2962" customWidth="1"/>
    <col min="13852" max="13852" width="28" style="2962" customWidth="1"/>
    <col min="13853" max="13853" width="9" style="2962" customWidth="1"/>
    <col min="13854" max="13854" width="100.33203125" style="2962" customWidth="1"/>
    <col min="13855" max="13857" width="12.109375" style="2962" customWidth="1"/>
    <col min="13858" max="13859" width="18.21875" style="2962" customWidth="1"/>
    <col min="13860" max="13861" width="16.33203125" style="2962" customWidth="1"/>
    <col min="13862" max="13863" width="25" style="2962" customWidth="1"/>
    <col min="13864" max="13864" width="7.109375" style="2962" customWidth="1"/>
    <col min="13865" max="13865" width="18.44140625" style="2962" customWidth="1"/>
    <col min="13866" max="13866" width="19.21875" style="2962" customWidth="1"/>
    <col min="13867" max="13868" width="23" style="2962" customWidth="1"/>
    <col min="13869" max="13869" width="9" style="2962" customWidth="1"/>
    <col min="13870" max="14080" width="8.88671875" style="2962"/>
    <col min="14081" max="14081" width="48" style="2962" customWidth="1"/>
    <col min="14082" max="14082" width="7.109375" style="2962" customWidth="1"/>
    <col min="14083" max="14083" width="13.33203125" style="2962" customWidth="1"/>
    <col min="14084" max="14084" width="7.109375" style="2962" customWidth="1"/>
    <col min="14085" max="14085" width="5.21875" style="2962" customWidth="1"/>
    <col min="14086" max="14086" width="48" style="2962" customWidth="1"/>
    <col min="14087" max="14087" width="9" style="2962" customWidth="1"/>
    <col min="14088" max="14088" width="12.21875" style="2962" customWidth="1"/>
    <col min="14089" max="14089" width="38.33203125" style="2962" customWidth="1"/>
    <col min="14090" max="14091" width="15.88671875" style="2962" customWidth="1"/>
    <col min="14092" max="14092" width="10.44140625" style="2962" customWidth="1"/>
    <col min="14093" max="14095" width="9" style="2962" customWidth="1"/>
    <col min="14096" max="14096" width="11" style="2962" customWidth="1"/>
    <col min="14097" max="14098" width="17.77734375" style="2962" customWidth="1"/>
    <col min="14099" max="14099" width="14.77734375" style="2962" customWidth="1"/>
    <col min="14100" max="14100" width="17.109375" style="2962" customWidth="1"/>
    <col min="14101" max="14101" width="12.88671875" style="2962" customWidth="1"/>
    <col min="14102" max="14102" width="20.33203125" style="2962" customWidth="1"/>
    <col min="14103" max="14103" width="9" style="2962" customWidth="1"/>
    <col min="14104" max="14107" width="10.21875" style="2962" customWidth="1"/>
    <col min="14108" max="14108" width="28" style="2962" customWidth="1"/>
    <col min="14109" max="14109" width="9" style="2962" customWidth="1"/>
    <col min="14110" max="14110" width="100.33203125" style="2962" customWidth="1"/>
    <col min="14111" max="14113" width="12.109375" style="2962" customWidth="1"/>
    <col min="14114" max="14115" width="18.21875" style="2962" customWidth="1"/>
    <col min="14116" max="14117" width="16.33203125" style="2962" customWidth="1"/>
    <col min="14118" max="14119" width="25" style="2962" customWidth="1"/>
    <col min="14120" max="14120" width="7.109375" style="2962" customWidth="1"/>
    <col min="14121" max="14121" width="18.44140625" style="2962" customWidth="1"/>
    <col min="14122" max="14122" width="19.21875" style="2962" customWidth="1"/>
    <col min="14123" max="14124" width="23" style="2962" customWidth="1"/>
    <col min="14125" max="14125" width="9" style="2962" customWidth="1"/>
    <col min="14126" max="14336" width="8.88671875" style="2962"/>
    <col min="14337" max="14337" width="48" style="2962" customWidth="1"/>
    <col min="14338" max="14338" width="7.109375" style="2962" customWidth="1"/>
    <col min="14339" max="14339" width="13.33203125" style="2962" customWidth="1"/>
    <col min="14340" max="14340" width="7.109375" style="2962" customWidth="1"/>
    <col min="14341" max="14341" width="5.21875" style="2962" customWidth="1"/>
    <col min="14342" max="14342" width="48" style="2962" customWidth="1"/>
    <col min="14343" max="14343" width="9" style="2962" customWidth="1"/>
    <col min="14344" max="14344" width="12.21875" style="2962" customWidth="1"/>
    <col min="14345" max="14345" width="38.33203125" style="2962" customWidth="1"/>
    <col min="14346" max="14347" width="15.88671875" style="2962" customWidth="1"/>
    <col min="14348" max="14348" width="10.44140625" style="2962" customWidth="1"/>
    <col min="14349" max="14351" width="9" style="2962" customWidth="1"/>
    <col min="14352" max="14352" width="11" style="2962" customWidth="1"/>
    <col min="14353" max="14354" width="17.77734375" style="2962" customWidth="1"/>
    <col min="14355" max="14355" width="14.77734375" style="2962" customWidth="1"/>
    <col min="14356" max="14356" width="17.109375" style="2962" customWidth="1"/>
    <col min="14357" max="14357" width="12.88671875" style="2962" customWidth="1"/>
    <col min="14358" max="14358" width="20.33203125" style="2962" customWidth="1"/>
    <col min="14359" max="14359" width="9" style="2962" customWidth="1"/>
    <col min="14360" max="14363" width="10.21875" style="2962" customWidth="1"/>
    <col min="14364" max="14364" width="28" style="2962" customWidth="1"/>
    <col min="14365" max="14365" width="9" style="2962" customWidth="1"/>
    <col min="14366" max="14366" width="100.33203125" style="2962" customWidth="1"/>
    <col min="14367" max="14369" width="12.109375" style="2962" customWidth="1"/>
    <col min="14370" max="14371" width="18.21875" style="2962" customWidth="1"/>
    <col min="14372" max="14373" width="16.33203125" style="2962" customWidth="1"/>
    <col min="14374" max="14375" width="25" style="2962" customWidth="1"/>
    <col min="14376" max="14376" width="7.109375" style="2962" customWidth="1"/>
    <col min="14377" max="14377" width="18.44140625" style="2962" customWidth="1"/>
    <col min="14378" max="14378" width="19.21875" style="2962" customWidth="1"/>
    <col min="14379" max="14380" width="23" style="2962" customWidth="1"/>
    <col min="14381" max="14381" width="9" style="2962" customWidth="1"/>
    <col min="14382" max="14592" width="8.88671875" style="2962"/>
    <col min="14593" max="14593" width="48" style="2962" customWidth="1"/>
    <col min="14594" max="14594" width="7.109375" style="2962" customWidth="1"/>
    <col min="14595" max="14595" width="13.33203125" style="2962" customWidth="1"/>
    <col min="14596" max="14596" width="7.109375" style="2962" customWidth="1"/>
    <col min="14597" max="14597" width="5.21875" style="2962" customWidth="1"/>
    <col min="14598" max="14598" width="48" style="2962" customWidth="1"/>
    <col min="14599" max="14599" width="9" style="2962" customWidth="1"/>
    <col min="14600" max="14600" width="12.21875" style="2962" customWidth="1"/>
    <col min="14601" max="14601" width="38.33203125" style="2962" customWidth="1"/>
    <col min="14602" max="14603" width="15.88671875" style="2962" customWidth="1"/>
    <col min="14604" max="14604" width="10.44140625" style="2962" customWidth="1"/>
    <col min="14605" max="14607" width="9" style="2962" customWidth="1"/>
    <col min="14608" max="14608" width="11" style="2962" customWidth="1"/>
    <col min="14609" max="14610" width="17.77734375" style="2962" customWidth="1"/>
    <col min="14611" max="14611" width="14.77734375" style="2962" customWidth="1"/>
    <col min="14612" max="14612" width="17.109375" style="2962" customWidth="1"/>
    <col min="14613" max="14613" width="12.88671875" style="2962" customWidth="1"/>
    <col min="14614" max="14614" width="20.33203125" style="2962" customWidth="1"/>
    <col min="14615" max="14615" width="9" style="2962" customWidth="1"/>
    <col min="14616" max="14619" width="10.21875" style="2962" customWidth="1"/>
    <col min="14620" max="14620" width="28" style="2962" customWidth="1"/>
    <col min="14621" max="14621" width="9" style="2962" customWidth="1"/>
    <col min="14622" max="14622" width="100.33203125" style="2962" customWidth="1"/>
    <col min="14623" max="14625" width="12.109375" style="2962" customWidth="1"/>
    <col min="14626" max="14627" width="18.21875" style="2962" customWidth="1"/>
    <col min="14628" max="14629" width="16.33203125" style="2962" customWidth="1"/>
    <col min="14630" max="14631" width="25" style="2962" customWidth="1"/>
    <col min="14632" max="14632" width="7.109375" style="2962" customWidth="1"/>
    <col min="14633" max="14633" width="18.44140625" style="2962" customWidth="1"/>
    <col min="14634" max="14634" width="19.21875" style="2962" customWidth="1"/>
    <col min="14635" max="14636" width="23" style="2962" customWidth="1"/>
    <col min="14637" max="14637" width="9" style="2962" customWidth="1"/>
    <col min="14638" max="14848" width="8.88671875" style="2962"/>
    <col min="14849" max="14849" width="48" style="2962" customWidth="1"/>
    <col min="14850" max="14850" width="7.109375" style="2962" customWidth="1"/>
    <col min="14851" max="14851" width="13.33203125" style="2962" customWidth="1"/>
    <col min="14852" max="14852" width="7.109375" style="2962" customWidth="1"/>
    <col min="14853" max="14853" width="5.21875" style="2962" customWidth="1"/>
    <col min="14854" max="14854" width="48" style="2962" customWidth="1"/>
    <col min="14855" max="14855" width="9" style="2962" customWidth="1"/>
    <col min="14856" max="14856" width="12.21875" style="2962" customWidth="1"/>
    <col min="14857" max="14857" width="38.33203125" style="2962" customWidth="1"/>
    <col min="14858" max="14859" width="15.88671875" style="2962" customWidth="1"/>
    <col min="14860" max="14860" width="10.44140625" style="2962" customWidth="1"/>
    <col min="14861" max="14863" width="9" style="2962" customWidth="1"/>
    <col min="14864" max="14864" width="11" style="2962" customWidth="1"/>
    <col min="14865" max="14866" width="17.77734375" style="2962" customWidth="1"/>
    <col min="14867" max="14867" width="14.77734375" style="2962" customWidth="1"/>
    <col min="14868" max="14868" width="17.109375" style="2962" customWidth="1"/>
    <col min="14869" max="14869" width="12.88671875" style="2962" customWidth="1"/>
    <col min="14870" max="14870" width="20.33203125" style="2962" customWidth="1"/>
    <col min="14871" max="14871" width="9" style="2962" customWidth="1"/>
    <col min="14872" max="14875" width="10.21875" style="2962" customWidth="1"/>
    <col min="14876" max="14876" width="28" style="2962" customWidth="1"/>
    <col min="14877" max="14877" width="9" style="2962" customWidth="1"/>
    <col min="14878" max="14878" width="100.33203125" style="2962" customWidth="1"/>
    <col min="14879" max="14881" width="12.109375" style="2962" customWidth="1"/>
    <col min="14882" max="14883" width="18.21875" style="2962" customWidth="1"/>
    <col min="14884" max="14885" width="16.33203125" style="2962" customWidth="1"/>
    <col min="14886" max="14887" width="25" style="2962" customWidth="1"/>
    <col min="14888" max="14888" width="7.109375" style="2962" customWidth="1"/>
    <col min="14889" max="14889" width="18.44140625" style="2962" customWidth="1"/>
    <col min="14890" max="14890" width="19.21875" style="2962" customWidth="1"/>
    <col min="14891" max="14892" width="23" style="2962" customWidth="1"/>
    <col min="14893" max="14893" width="9" style="2962" customWidth="1"/>
    <col min="14894" max="15104" width="8.88671875" style="2962"/>
    <col min="15105" max="15105" width="48" style="2962" customWidth="1"/>
    <col min="15106" max="15106" width="7.109375" style="2962" customWidth="1"/>
    <col min="15107" max="15107" width="13.33203125" style="2962" customWidth="1"/>
    <col min="15108" max="15108" width="7.109375" style="2962" customWidth="1"/>
    <col min="15109" max="15109" width="5.21875" style="2962" customWidth="1"/>
    <col min="15110" max="15110" width="48" style="2962" customWidth="1"/>
    <col min="15111" max="15111" width="9" style="2962" customWidth="1"/>
    <col min="15112" max="15112" width="12.21875" style="2962" customWidth="1"/>
    <col min="15113" max="15113" width="38.33203125" style="2962" customWidth="1"/>
    <col min="15114" max="15115" width="15.88671875" style="2962" customWidth="1"/>
    <col min="15116" max="15116" width="10.44140625" style="2962" customWidth="1"/>
    <col min="15117" max="15119" width="9" style="2962" customWidth="1"/>
    <col min="15120" max="15120" width="11" style="2962" customWidth="1"/>
    <col min="15121" max="15122" width="17.77734375" style="2962" customWidth="1"/>
    <col min="15123" max="15123" width="14.77734375" style="2962" customWidth="1"/>
    <col min="15124" max="15124" width="17.109375" style="2962" customWidth="1"/>
    <col min="15125" max="15125" width="12.88671875" style="2962" customWidth="1"/>
    <col min="15126" max="15126" width="20.33203125" style="2962" customWidth="1"/>
    <col min="15127" max="15127" width="9" style="2962" customWidth="1"/>
    <col min="15128" max="15131" width="10.21875" style="2962" customWidth="1"/>
    <col min="15132" max="15132" width="28" style="2962" customWidth="1"/>
    <col min="15133" max="15133" width="9" style="2962" customWidth="1"/>
    <col min="15134" max="15134" width="100.33203125" style="2962" customWidth="1"/>
    <col min="15135" max="15137" width="12.109375" style="2962" customWidth="1"/>
    <col min="15138" max="15139" width="18.21875" style="2962" customWidth="1"/>
    <col min="15140" max="15141" width="16.33203125" style="2962" customWidth="1"/>
    <col min="15142" max="15143" width="25" style="2962" customWidth="1"/>
    <col min="15144" max="15144" width="7.109375" style="2962" customWidth="1"/>
    <col min="15145" max="15145" width="18.44140625" style="2962" customWidth="1"/>
    <col min="15146" max="15146" width="19.21875" style="2962" customWidth="1"/>
    <col min="15147" max="15148" width="23" style="2962" customWidth="1"/>
    <col min="15149" max="15149" width="9" style="2962" customWidth="1"/>
    <col min="15150" max="15360" width="8.88671875" style="2962"/>
    <col min="15361" max="15361" width="48" style="2962" customWidth="1"/>
    <col min="15362" max="15362" width="7.109375" style="2962" customWidth="1"/>
    <col min="15363" max="15363" width="13.33203125" style="2962" customWidth="1"/>
    <col min="15364" max="15364" width="7.109375" style="2962" customWidth="1"/>
    <col min="15365" max="15365" width="5.21875" style="2962" customWidth="1"/>
    <col min="15366" max="15366" width="48" style="2962" customWidth="1"/>
    <col min="15367" max="15367" width="9" style="2962" customWidth="1"/>
    <col min="15368" max="15368" width="12.21875" style="2962" customWidth="1"/>
    <col min="15369" max="15369" width="38.33203125" style="2962" customWidth="1"/>
    <col min="15370" max="15371" width="15.88671875" style="2962" customWidth="1"/>
    <col min="15372" max="15372" width="10.44140625" style="2962" customWidth="1"/>
    <col min="15373" max="15375" width="9" style="2962" customWidth="1"/>
    <col min="15376" max="15376" width="11" style="2962" customWidth="1"/>
    <col min="15377" max="15378" width="17.77734375" style="2962" customWidth="1"/>
    <col min="15379" max="15379" width="14.77734375" style="2962" customWidth="1"/>
    <col min="15380" max="15380" width="17.109375" style="2962" customWidth="1"/>
    <col min="15381" max="15381" width="12.88671875" style="2962" customWidth="1"/>
    <col min="15382" max="15382" width="20.33203125" style="2962" customWidth="1"/>
    <col min="15383" max="15383" width="9" style="2962" customWidth="1"/>
    <col min="15384" max="15387" width="10.21875" style="2962" customWidth="1"/>
    <col min="15388" max="15388" width="28" style="2962" customWidth="1"/>
    <col min="15389" max="15389" width="9" style="2962" customWidth="1"/>
    <col min="15390" max="15390" width="100.33203125" style="2962" customWidth="1"/>
    <col min="15391" max="15393" width="12.109375" style="2962" customWidth="1"/>
    <col min="15394" max="15395" width="18.21875" style="2962" customWidth="1"/>
    <col min="15396" max="15397" width="16.33203125" style="2962" customWidth="1"/>
    <col min="15398" max="15399" width="25" style="2962" customWidth="1"/>
    <col min="15400" max="15400" width="7.109375" style="2962" customWidth="1"/>
    <col min="15401" max="15401" width="18.44140625" style="2962" customWidth="1"/>
    <col min="15402" max="15402" width="19.21875" style="2962" customWidth="1"/>
    <col min="15403" max="15404" width="23" style="2962" customWidth="1"/>
    <col min="15405" max="15405" width="9" style="2962" customWidth="1"/>
    <col min="15406" max="15616" width="8.88671875" style="2962"/>
    <col min="15617" max="15617" width="48" style="2962" customWidth="1"/>
    <col min="15618" max="15618" width="7.109375" style="2962" customWidth="1"/>
    <col min="15619" max="15619" width="13.33203125" style="2962" customWidth="1"/>
    <col min="15620" max="15620" width="7.109375" style="2962" customWidth="1"/>
    <col min="15621" max="15621" width="5.21875" style="2962" customWidth="1"/>
    <col min="15622" max="15622" width="48" style="2962" customWidth="1"/>
    <col min="15623" max="15623" width="9" style="2962" customWidth="1"/>
    <col min="15624" max="15624" width="12.21875" style="2962" customWidth="1"/>
    <col min="15625" max="15625" width="38.33203125" style="2962" customWidth="1"/>
    <col min="15626" max="15627" width="15.88671875" style="2962" customWidth="1"/>
    <col min="15628" max="15628" width="10.44140625" style="2962" customWidth="1"/>
    <col min="15629" max="15631" width="9" style="2962" customWidth="1"/>
    <col min="15632" max="15632" width="11" style="2962" customWidth="1"/>
    <col min="15633" max="15634" width="17.77734375" style="2962" customWidth="1"/>
    <col min="15635" max="15635" width="14.77734375" style="2962" customWidth="1"/>
    <col min="15636" max="15636" width="17.109375" style="2962" customWidth="1"/>
    <col min="15637" max="15637" width="12.88671875" style="2962" customWidth="1"/>
    <col min="15638" max="15638" width="20.33203125" style="2962" customWidth="1"/>
    <col min="15639" max="15639" width="9" style="2962" customWidth="1"/>
    <col min="15640" max="15643" width="10.21875" style="2962" customWidth="1"/>
    <col min="15644" max="15644" width="28" style="2962" customWidth="1"/>
    <col min="15645" max="15645" width="9" style="2962" customWidth="1"/>
    <col min="15646" max="15646" width="100.33203125" style="2962" customWidth="1"/>
    <col min="15647" max="15649" width="12.109375" style="2962" customWidth="1"/>
    <col min="15650" max="15651" width="18.21875" style="2962" customWidth="1"/>
    <col min="15652" max="15653" width="16.33203125" style="2962" customWidth="1"/>
    <col min="15654" max="15655" width="25" style="2962" customWidth="1"/>
    <col min="15656" max="15656" width="7.109375" style="2962" customWidth="1"/>
    <col min="15657" max="15657" width="18.44140625" style="2962" customWidth="1"/>
    <col min="15658" max="15658" width="19.21875" style="2962" customWidth="1"/>
    <col min="15659" max="15660" width="23" style="2962" customWidth="1"/>
    <col min="15661" max="15661" width="9" style="2962" customWidth="1"/>
    <col min="15662" max="15872" width="8.88671875" style="2962"/>
    <col min="15873" max="15873" width="48" style="2962" customWidth="1"/>
    <col min="15874" max="15874" width="7.109375" style="2962" customWidth="1"/>
    <col min="15875" max="15875" width="13.33203125" style="2962" customWidth="1"/>
    <col min="15876" max="15876" width="7.109375" style="2962" customWidth="1"/>
    <col min="15877" max="15877" width="5.21875" style="2962" customWidth="1"/>
    <col min="15878" max="15878" width="48" style="2962" customWidth="1"/>
    <col min="15879" max="15879" width="9" style="2962" customWidth="1"/>
    <col min="15880" max="15880" width="12.21875" style="2962" customWidth="1"/>
    <col min="15881" max="15881" width="38.33203125" style="2962" customWidth="1"/>
    <col min="15882" max="15883" width="15.88671875" style="2962" customWidth="1"/>
    <col min="15884" max="15884" width="10.44140625" style="2962" customWidth="1"/>
    <col min="15885" max="15887" width="9" style="2962" customWidth="1"/>
    <col min="15888" max="15888" width="11" style="2962" customWidth="1"/>
    <col min="15889" max="15890" width="17.77734375" style="2962" customWidth="1"/>
    <col min="15891" max="15891" width="14.77734375" style="2962" customWidth="1"/>
    <col min="15892" max="15892" width="17.109375" style="2962" customWidth="1"/>
    <col min="15893" max="15893" width="12.88671875" style="2962" customWidth="1"/>
    <col min="15894" max="15894" width="20.33203125" style="2962" customWidth="1"/>
    <col min="15895" max="15895" width="9" style="2962" customWidth="1"/>
    <col min="15896" max="15899" width="10.21875" style="2962" customWidth="1"/>
    <col min="15900" max="15900" width="28" style="2962" customWidth="1"/>
    <col min="15901" max="15901" width="9" style="2962" customWidth="1"/>
    <col min="15902" max="15902" width="100.33203125" style="2962" customWidth="1"/>
    <col min="15903" max="15905" width="12.109375" style="2962" customWidth="1"/>
    <col min="15906" max="15907" width="18.21875" style="2962" customWidth="1"/>
    <col min="15908" max="15909" width="16.33203125" style="2962" customWidth="1"/>
    <col min="15910" max="15911" width="25" style="2962" customWidth="1"/>
    <col min="15912" max="15912" width="7.109375" style="2962" customWidth="1"/>
    <col min="15913" max="15913" width="18.44140625" style="2962" customWidth="1"/>
    <col min="15914" max="15914" width="19.21875" style="2962" customWidth="1"/>
    <col min="15915" max="15916" width="23" style="2962" customWidth="1"/>
    <col min="15917" max="15917" width="9" style="2962" customWidth="1"/>
    <col min="15918" max="16128" width="8.88671875" style="2962"/>
    <col min="16129" max="16129" width="48" style="2962" customWidth="1"/>
    <col min="16130" max="16130" width="7.109375" style="2962" customWidth="1"/>
    <col min="16131" max="16131" width="13.33203125" style="2962" customWidth="1"/>
    <col min="16132" max="16132" width="7.109375" style="2962" customWidth="1"/>
    <col min="16133" max="16133" width="5.21875" style="2962" customWidth="1"/>
    <col min="16134" max="16134" width="48" style="2962" customWidth="1"/>
    <col min="16135" max="16135" width="9" style="2962" customWidth="1"/>
    <col min="16136" max="16136" width="12.21875" style="2962" customWidth="1"/>
    <col min="16137" max="16137" width="38.33203125" style="2962" customWidth="1"/>
    <col min="16138" max="16139" width="15.88671875" style="2962" customWidth="1"/>
    <col min="16140" max="16140" width="10.44140625" style="2962" customWidth="1"/>
    <col min="16141" max="16143" width="9" style="2962" customWidth="1"/>
    <col min="16144" max="16144" width="11" style="2962" customWidth="1"/>
    <col min="16145" max="16146" width="17.77734375" style="2962" customWidth="1"/>
    <col min="16147" max="16147" width="14.77734375" style="2962" customWidth="1"/>
    <col min="16148" max="16148" width="17.109375" style="2962" customWidth="1"/>
    <col min="16149" max="16149" width="12.88671875" style="2962" customWidth="1"/>
    <col min="16150" max="16150" width="20.33203125" style="2962" customWidth="1"/>
    <col min="16151" max="16151" width="9" style="2962" customWidth="1"/>
    <col min="16152" max="16155" width="10.21875" style="2962" customWidth="1"/>
    <col min="16156" max="16156" width="28" style="2962" customWidth="1"/>
    <col min="16157" max="16157" width="9" style="2962" customWidth="1"/>
    <col min="16158" max="16158" width="100.33203125" style="2962" customWidth="1"/>
    <col min="16159" max="16161" width="12.109375" style="2962" customWidth="1"/>
    <col min="16162" max="16163" width="18.21875" style="2962" customWidth="1"/>
    <col min="16164" max="16165" width="16.33203125" style="2962" customWidth="1"/>
    <col min="16166" max="16167" width="25" style="2962" customWidth="1"/>
    <col min="16168" max="16168" width="7.109375" style="2962" customWidth="1"/>
    <col min="16169" max="16169" width="18.44140625" style="2962" customWidth="1"/>
    <col min="16170" max="16170" width="19.21875" style="2962" customWidth="1"/>
    <col min="16171" max="16172" width="23" style="2962" customWidth="1"/>
    <col min="16173" max="16173" width="9" style="2962" customWidth="1"/>
    <col min="16174" max="16384" width="8.88671875" style="2962"/>
  </cols>
  <sheetData>
    <row r="1" spans="1:45">
      <c r="A1" s="2962" t="s">
        <v>3094</v>
      </c>
      <c r="B1" s="2962" t="s">
        <v>3095</v>
      </c>
      <c r="C1" s="2962" t="s">
        <v>3096</v>
      </c>
      <c r="D1" s="2962" t="s">
        <v>3097</v>
      </c>
      <c r="E1" s="2962" t="s">
        <v>3098</v>
      </c>
      <c r="F1" s="2962" t="s">
        <v>3099</v>
      </c>
      <c r="G1" s="2962" t="s">
        <v>3100</v>
      </c>
      <c r="H1" s="2962" t="s">
        <v>3101</v>
      </c>
      <c r="I1" s="2962" t="s">
        <v>3102</v>
      </c>
      <c r="J1" s="2962" t="s">
        <v>3103</v>
      </c>
      <c r="K1" s="2962" t="s">
        <v>3104</v>
      </c>
      <c r="L1" s="2962" t="s">
        <v>3105</v>
      </c>
      <c r="M1" s="2962" t="s">
        <v>3106</v>
      </c>
      <c r="N1" s="2962" t="s">
        <v>3107</v>
      </c>
      <c r="O1" s="2962" t="s">
        <v>3108</v>
      </c>
      <c r="P1" s="2962" t="s">
        <v>3109</v>
      </c>
      <c r="Q1" s="2962" t="s">
        <v>3110</v>
      </c>
      <c r="R1" s="2962" t="s">
        <v>3111</v>
      </c>
      <c r="S1" s="2962" t="s">
        <v>3112</v>
      </c>
      <c r="T1" s="2962" t="s">
        <v>3113</v>
      </c>
      <c r="U1" s="2962" t="s">
        <v>3114</v>
      </c>
      <c r="V1" s="2962" t="s">
        <v>3115</v>
      </c>
      <c r="W1" s="2962" t="s">
        <v>3116</v>
      </c>
      <c r="X1" s="2962" t="s">
        <v>3117</v>
      </c>
      <c r="Y1" s="2962" t="s">
        <v>3118</v>
      </c>
      <c r="Z1" s="2962" t="s">
        <v>3119</v>
      </c>
      <c r="AA1" s="2962" t="s">
        <v>3120</v>
      </c>
      <c r="AB1" s="2962" t="s">
        <v>3121</v>
      </c>
      <c r="AC1" s="2962" t="s">
        <v>3122</v>
      </c>
      <c r="AD1" s="2962" t="s">
        <v>3123</v>
      </c>
      <c r="AE1" s="2962" t="s">
        <v>3124</v>
      </c>
      <c r="AF1" s="2962" t="s">
        <v>3125</v>
      </c>
      <c r="AG1" s="2962" t="s">
        <v>3126</v>
      </c>
      <c r="AH1" s="2962" t="s">
        <v>3127</v>
      </c>
      <c r="AI1" s="2962" t="s">
        <v>3128</v>
      </c>
      <c r="AJ1" s="2962" t="s">
        <v>3129</v>
      </c>
      <c r="AK1" s="2962" t="s">
        <v>3130</v>
      </c>
      <c r="AL1" s="2962" t="s">
        <v>3131</v>
      </c>
      <c r="AM1" s="2962" t="s">
        <v>3132</v>
      </c>
      <c r="AN1" s="2962" t="s">
        <v>3133</v>
      </c>
      <c r="AO1" s="2962" t="s">
        <v>3134</v>
      </c>
      <c r="AP1" s="2962" t="s">
        <v>3135</v>
      </c>
      <c r="AQ1" s="2962" t="s">
        <v>3136</v>
      </c>
      <c r="AR1" s="2962" t="s">
        <v>3137</v>
      </c>
      <c r="AS1" s="2962" t="s">
        <v>3138</v>
      </c>
    </row>
    <row r="2" spans="1:45">
      <c r="A2" s="2962" t="s">
        <v>3139</v>
      </c>
      <c r="B2" s="2962" t="s">
        <v>3140</v>
      </c>
      <c r="C2" s="2962" t="s">
        <v>3141</v>
      </c>
      <c r="D2" s="2962" t="s">
        <v>3142</v>
      </c>
      <c r="E2" s="2962" t="s">
        <v>1327</v>
      </c>
      <c r="F2" s="2962" t="s">
        <v>3139</v>
      </c>
      <c r="G2" s="2962" t="s">
        <v>3143</v>
      </c>
      <c r="H2" s="2962" t="s">
        <v>3144</v>
      </c>
      <c r="I2" s="2962" t="s">
        <v>3145</v>
      </c>
      <c r="J2" s="2962">
        <v>33114</v>
      </c>
      <c r="K2" s="2962">
        <v>16557</v>
      </c>
      <c r="L2" s="2962" t="s">
        <v>3146</v>
      </c>
      <c r="M2" s="2962" t="s">
        <v>1327</v>
      </c>
      <c r="N2" s="2962" t="s">
        <v>3147</v>
      </c>
      <c r="O2" s="2962" t="s">
        <v>1327</v>
      </c>
      <c r="P2" s="2962" t="s">
        <v>1327</v>
      </c>
      <c r="Q2" s="2962" t="s">
        <v>1327</v>
      </c>
      <c r="R2" s="2962" t="s">
        <v>1327</v>
      </c>
      <c r="S2" s="2962" t="s">
        <v>1327</v>
      </c>
      <c r="T2" s="2962" t="s">
        <v>1327</v>
      </c>
      <c r="U2" s="2962" t="s">
        <v>1327</v>
      </c>
      <c r="V2" s="2962" t="s">
        <v>1327</v>
      </c>
      <c r="W2" s="2962" t="s">
        <v>3148</v>
      </c>
      <c r="X2" s="2962" t="s">
        <v>3149</v>
      </c>
      <c r="Y2" s="2962" t="s">
        <v>3150</v>
      </c>
      <c r="Z2" s="2962" t="s">
        <v>3150</v>
      </c>
      <c r="AA2" s="2962" t="s">
        <v>3150</v>
      </c>
      <c r="AB2" s="2962" t="s">
        <v>3151</v>
      </c>
      <c r="AC2" s="2962" t="s">
        <v>3152</v>
      </c>
      <c r="AD2" s="2962" t="s">
        <v>3153</v>
      </c>
      <c r="AE2" s="2962">
        <v>10144.469999999999</v>
      </c>
      <c r="AF2" s="2962">
        <v>10144.459999999999</v>
      </c>
      <c r="AG2" s="2962">
        <v>10144.459999999999</v>
      </c>
      <c r="AH2" s="2962">
        <v>204.23</v>
      </c>
      <c r="AI2" s="2962">
        <v>204.23</v>
      </c>
      <c r="AJ2" s="2962">
        <v>6126.99</v>
      </c>
      <c r="AK2" s="2962">
        <v>6127</v>
      </c>
      <c r="AL2" s="2962" t="s">
        <v>1327</v>
      </c>
      <c r="AM2" s="2962" t="s">
        <v>1327</v>
      </c>
      <c r="AN2" s="2962">
        <v>0</v>
      </c>
      <c r="AO2" s="2962" t="s">
        <v>3154</v>
      </c>
      <c r="AP2" s="2962" t="s">
        <v>1327</v>
      </c>
      <c r="AQ2" s="2962" t="s">
        <v>1327</v>
      </c>
      <c r="AR2" s="2962" t="s">
        <v>1327</v>
      </c>
      <c r="AS2" s="2962" t="s">
        <v>3155</v>
      </c>
    </row>
    <row r="3" spans="1:45">
      <c r="A3" s="2962" t="s">
        <v>3156</v>
      </c>
      <c r="B3" s="2962" t="s">
        <v>3140</v>
      </c>
      <c r="C3" s="2962" t="s">
        <v>3141</v>
      </c>
      <c r="D3" s="2962" t="s">
        <v>3142</v>
      </c>
      <c r="E3" s="2962" t="s">
        <v>1327</v>
      </c>
      <c r="F3" s="2962" t="s">
        <v>3156</v>
      </c>
      <c r="G3" s="2962" t="s">
        <v>3143</v>
      </c>
      <c r="H3" s="2962" t="s">
        <v>3157</v>
      </c>
      <c r="I3" s="2962" t="s">
        <v>3158</v>
      </c>
      <c r="J3" s="2962">
        <v>9122</v>
      </c>
      <c r="K3" s="2962">
        <v>18244</v>
      </c>
      <c r="L3" s="2962" t="s">
        <v>3159</v>
      </c>
      <c r="M3" s="2962" t="s">
        <v>1327</v>
      </c>
      <c r="N3" s="2962" t="s">
        <v>3160</v>
      </c>
      <c r="O3" s="2962" t="s">
        <v>1327</v>
      </c>
      <c r="P3" s="2962" t="s">
        <v>1327</v>
      </c>
      <c r="Q3" s="2962" t="s">
        <v>1327</v>
      </c>
      <c r="R3" s="2962" t="s">
        <v>1327</v>
      </c>
      <c r="S3" s="2962" t="s">
        <v>1327</v>
      </c>
      <c r="T3" s="2962" t="s">
        <v>1327</v>
      </c>
      <c r="U3" s="2962" t="s">
        <v>1327</v>
      </c>
      <c r="V3" s="2962" t="s">
        <v>1327</v>
      </c>
      <c r="W3" s="2962" t="s">
        <v>3148</v>
      </c>
      <c r="X3" s="2962" t="s">
        <v>3161</v>
      </c>
      <c r="Y3" s="2962" t="s">
        <v>3162</v>
      </c>
      <c r="Z3" s="2962" t="s">
        <v>3162</v>
      </c>
      <c r="AA3" s="2962" t="s">
        <v>3162</v>
      </c>
      <c r="AB3" s="2962" t="s">
        <v>3163</v>
      </c>
      <c r="AC3" s="2962" t="s">
        <v>3152</v>
      </c>
      <c r="AD3" s="2962" t="s">
        <v>3164</v>
      </c>
      <c r="AE3" s="2962">
        <v>4924.0600000000004</v>
      </c>
      <c r="AF3" s="2962">
        <v>4924.0600000000004</v>
      </c>
      <c r="AG3" s="2962">
        <v>4924.0600000000004</v>
      </c>
      <c r="AH3" s="2962">
        <v>359.87</v>
      </c>
      <c r="AI3" s="2962">
        <v>359.87</v>
      </c>
      <c r="AJ3" s="2962">
        <v>2699</v>
      </c>
      <c r="AK3" s="2962">
        <v>2699</v>
      </c>
      <c r="AL3" s="2962" t="s">
        <v>1327</v>
      </c>
      <c r="AM3" s="2962" t="s">
        <v>1327</v>
      </c>
      <c r="AN3" s="2962">
        <v>0</v>
      </c>
      <c r="AO3" s="2962" t="s">
        <v>3154</v>
      </c>
      <c r="AP3" s="2962" t="s">
        <v>1327</v>
      </c>
      <c r="AQ3" s="2962" t="s">
        <v>1327</v>
      </c>
      <c r="AR3" s="2962" t="s">
        <v>1327</v>
      </c>
      <c r="AS3" s="2962" t="s">
        <v>3165</v>
      </c>
    </row>
    <row r="4" spans="1:45">
      <c r="A4" s="2962" t="s">
        <v>3166</v>
      </c>
      <c r="B4" s="2962" t="s">
        <v>3140</v>
      </c>
      <c r="C4" s="2962" t="s">
        <v>3141</v>
      </c>
      <c r="D4" s="2962" t="s">
        <v>3142</v>
      </c>
      <c r="E4" s="2962" t="s">
        <v>1327</v>
      </c>
      <c r="F4" s="2962" t="s">
        <v>3166</v>
      </c>
      <c r="G4" s="2962" t="s">
        <v>3143</v>
      </c>
      <c r="H4" s="2962" t="s">
        <v>3167</v>
      </c>
      <c r="I4" s="2962" t="s">
        <v>3158</v>
      </c>
      <c r="J4" s="2962">
        <v>5158</v>
      </c>
      <c r="K4" s="2962">
        <v>10316</v>
      </c>
      <c r="L4" s="2962" t="s">
        <v>3159</v>
      </c>
      <c r="M4" s="2962" t="s">
        <v>1327</v>
      </c>
      <c r="N4" s="2962" t="s">
        <v>3160</v>
      </c>
      <c r="O4" s="2962" t="s">
        <v>1327</v>
      </c>
      <c r="P4" s="2962" t="s">
        <v>1327</v>
      </c>
      <c r="Q4" s="2962" t="s">
        <v>1327</v>
      </c>
      <c r="R4" s="2962" t="s">
        <v>1327</v>
      </c>
      <c r="S4" s="2962" t="s">
        <v>1327</v>
      </c>
      <c r="T4" s="2962" t="s">
        <v>1327</v>
      </c>
      <c r="U4" s="2962" t="s">
        <v>1327</v>
      </c>
      <c r="V4" s="2962" t="s">
        <v>1327</v>
      </c>
      <c r="W4" s="2962" t="s">
        <v>3148</v>
      </c>
      <c r="X4" s="2962" t="s">
        <v>3161</v>
      </c>
      <c r="Y4" s="2962" t="s">
        <v>3162</v>
      </c>
      <c r="Z4" s="2962" t="s">
        <v>3162</v>
      </c>
      <c r="AA4" s="2962" t="s">
        <v>3162</v>
      </c>
      <c r="AB4" s="2962" t="s">
        <v>3168</v>
      </c>
      <c r="AC4" s="2962" t="s">
        <v>3152</v>
      </c>
      <c r="AD4" s="2962" t="s">
        <v>3164</v>
      </c>
      <c r="AE4" s="2962">
        <v>2778.1</v>
      </c>
      <c r="AF4" s="2962">
        <v>2778.09</v>
      </c>
      <c r="AG4" s="2962">
        <v>2778.09</v>
      </c>
      <c r="AH4" s="2962">
        <v>359.07</v>
      </c>
      <c r="AI4" s="2962">
        <v>359.07</v>
      </c>
      <c r="AJ4" s="2962">
        <v>2693</v>
      </c>
      <c r="AK4" s="2962">
        <v>2693</v>
      </c>
      <c r="AL4" s="2962" t="s">
        <v>1327</v>
      </c>
      <c r="AM4" s="2962" t="s">
        <v>1327</v>
      </c>
      <c r="AN4" s="2962">
        <v>0</v>
      </c>
      <c r="AO4" s="2962" t="s">
        <v>3154</v>
      </c>
      <c r="AP4" s="2962" t="s">
        <v>1327</v>
      </c>
      <c r="AQ4" s="2962" t="s">
        <v>1327</v>
      </c>
      <c r="AR4" s="2962" t="s">
        <v>1327</v>
      </c>
      <c r="AS4" s="2962" t="s">
        <v>3165</v>
      </c>
    </row>
    <row r="5" spans="1:45" s="2963" customFormat="1">
      <c r="A5" s="2963" t="s">
        <v>3166</v>
      </c>
      <c r="B5" s="2963" t="s">
        <v>3140</v>
      </c>
      <c r="C5" s="2963" t="s">
        <v>3141</v>
      </c>
      <c r="D5" s="2963" t="s">
        <v>3142</v>
      </c>
      <c r="E5" s="2963" t="s">
        <v>1327</v>
      </c>
      <c r="F5" s="2963" t="s">
        <v>3166</v>
      </c>
      <c r="G5" s="2963" t="s">
        <v>3143</v>
      </c>
      <c r="H5" s="2963" t="s">
        <v>3169</v>
      </c>
      <c r="I5" s="2963" t="s">
        <v>3158</v>
      </c>
      <c r="J5" s="2963">
        <v>7706</v>
      </c>
      <c r="K5" s="2963">
        <v>8476.6</v>
      </c>
      <c r="L5" s="2963" t="s">
        <v>3170</v>
      </c>
      <c r="M5" s="2963" t="s">
        <v>1327</v>
      </c>
      <c r="N5" s="2963" t="s">
        <v>3160</v>
      </c>
      <c r="O5" s="2963" t="s">
        <v>1327</v>
      </c>
      <c r="P5" s="2963" t="s">
        <v>1327</v>
      </c>
      <c r="Q5" s="2963" t="s">
        <v>1327</v>
      </c>
      <c r="R5" s="2963" t="s">
        <v>1327</v>
      </c>
      <c r="S5" s="2963" t="s">
        <v>1327</v>
      </c>
      <c r="T5" s="2963" t="s">
        <v>1327</v>
      </c>
      <c r="U5" s="2963" t="s">
        <v>1327</v>
      </c>
      <c r="V5" s="2963" t="s">
        <v>1327</v>
      </c>
      <c r="W5" s="2963" t="s">
        <v>3148</v>
      </c>
      <c r="X5" s="2963" t="s">
        <v>3161</v>
      </c>
      <c r="Y5" s="2963" t="s">
        <v>3162</v>
      </c>
      <c r="Z5" s="2963" t="s">
        <v>3162</v>
      </c>
      <c r="AA5" s="2963" t="s">
        <v>3162</v>
      </c>
      <c r="AB5" s="2963" t="s">
        <v>3171</v>
      </c>
      <c r="AC5" s="2963" t="s">
        <v>3152</v>
      </c>
      <c r="AD5" s="2963" t="s">
        <v>3164</v>
      </c>
      <c r="AE5" s="2963">
        <v>2788.8</v>
      </c>
      <c r="AF5" s="2963">
        <v>2788.8</v>
      </c>
      <c r="AG5" s="2963">
        <v>2788.8</v>
      </c>
      <c r="AH5" s="2963">
        <v>241.27</v>
      </c>
      <c r="AI5" s="2963">
        <v>241.27</v>
      </c>
      <c r="AJ5" s="2963">
        <v>3289.99</v>
      </c>
      <c r="AK5" s="2963">
        <v>3290</v>
      </c>
      <c r="AL5" s="2963" t="s">
        <v>1327</v>
      </c>
      <c r="AM5" s="2963" t="s">
        <v>1327</v>
      </c>
      <c r="AN5" s="2963">
        <v>0</v>
      </c>
      <c r="AO5" s="2963" t="s">
        <v>3154</v>
      </c>
      <c r="AP5" s="2963" t="s">
        <v>1327</v>
      </c>
      <c r="AQ5" s="2963" t="s">
        <v>1327</v>
      </c>
      <c r="AR5" s="2963" t="s">
        <v>1327</v>
      </c>
      <c r="AS5" s="2963" t="s">
        <v>3165</v>
      </c>
    </row>
    <row r="6" spans="1:45">
      <c r="A6" s="2962" t="s">
        <v>3172</v>
      </c>
      <c r="B6" s="2962" t="s">
        <v>3140</v>
      </c>
      <c r="C6" s="2962" t="s">
        <v>3141</v>
      </c>
      <c r="D6" s="2962" t="s">
        <v>3142</v>
      </c>
      <c r="E6" s="2962" t="s">
        <v>1327</v>
      </c>
      <c r="F6" s="2962" t="s">
        <v>3172</v>
      </c>
      <c r="G6" s="2962" t="s">
        <v>3143</v>
      </c>
      <c r="H6" s="2962" t="s">
        <v>3173</v>
      </c>
      <c r="I6" s="2962" t="s">
        <v>3158</v>
      </c>
      <c r="J6" s="2962">
        <v>25265</v>
      </c>
      <c r="K6" s="2962">
        <v>50530</v>
      </c>
      <c r="L6" s="2962" t="s">
        <v>3174</v>
      </c>
      <c r="M6" s="2962" t="s">
        <v>1327</v>
      </c>
      <c r="N6" s="2962" t="s">
        <v>3175</v>
      </c>
      <c r="O6" s="2962" t="s">
        <v>1327</v>
      </c>
      <c r="P6" s="2962" t="s">
        <v>1327</v>
      </c>
      <c r="Q6" s="2962" t="s">
        <v>1327</v>
      </c>
      <c r="R6" s="2962" t="s">
        <v>1327</v>
      </c>
      <c r="S6" s="2962" t="s">
        <v>1327</v>
      </c>
      <c r="T6" s="2962" t="s">
        <v>1327</v>
      </c>
      <c r="U6" s="2962" t="s">
        <v>1327</v>
      </c>
      <c r="V6" s="2962" t="s">
        <v>1327</v>
      </c>
      <c r="W6" s="2962" t="s">
        <v>3148</v>
      </c>
      <c r="X6" s="2962" t="s">
        <v>3176</v>
      </c>
      <c r="Y6" s="2962" t="s">
        <v>3177</v>
      </c>
      <c r="Z6" s="2962" t="s">
        <v>3177</v>
      </c>
      <c r="AA6" s="2962" t="s">
        <v>3177</v>
      </c>
      <c r="AB6" s="2962" t="s">
        <v>3178</v>
      </c>
      <c r="AC6" s="2962" t="s">
        <v>3152</v>
      </c>
      <c r="AD6" s="2962" t="s">
        <v>3179</v>
      </c>
      <c r="AE6" s="2962">
        <v>9797.77</v>
      </c>
      <c r="AF6" s="2962">
        <v>9797.77</v>
      </c>
      <c r="AG6" s="2962">
        <v>9797.77</v>
      </c>
      <c r="AH6" s="2962">
        <v>258.52999999999997</v>
      </c>
      <c r="AI6" s="2962">
        <v>258.52999999999997</v>
      </c>
      <c r="AJ6" s="2962">
        <v>1939</v>
      </c>
      <c r="AK6" s="2962">
        <v>1939</v>
      </c>
      <c r="AL6" s="2962" t="s">
        <v>1327</v>
      </c>
      <c r="AM6" s="2962" t="s">
        <v>1327</v>
      </c>
      <c r="AN6" s="2962">
        <v>0</v>
      </c>
      <c r="AO6" s="2962" t="s">
        <v>3154</v>
      </c>
      <c r="AP6" s="2962" t="s">
        <v>1327</v>
      </c>
      <c r="AQ6" s="2962" t="s">
        <v>1327</v>
      </c>
      <c r="AR6" s="2962" t="s">
        <v>1327</v>
      </c>
      <c r="AS6" s="2962" t="s">
        <v>3180</v>
      </c>
    </row>
    <row r="7" spans="1:45" s="2963" customFormat="1">
      <c r="A7" s="2963" t="s">
        <v>3181</v>
      </c>
      <c r="B7" s="2963" t="s">
        <v>3140</v>
      </c>
      <c r="C7" s="2963" t="s">
        <v>3141</v>
      </c>
      <c r="D7" s="2963" t="s">
        <v>3142</v>
      </c>
      <c r="E7" s="2963" t="s">
        <v>1327</v>
      </c>
      <c r="F7" s="2963" t="s">
        <v>3181</v>
      </c>
      <c r="G7" s="2963" t="s">
        <v>3143</v>
      </c>
      <c r="H7" s="2963" t="s">
        <v>3182</v>
      </c>
      <c r="I7" s="2963" t="s">
        <v>3183</v>
      </c>
      <c r="J7" s="2963">
        <v>28530</v>
      </c>
      <c r="K7" s="2963">
        <v>17118</v>
      </c>
      <c r="L7" s="2963" t="s">
        <v>3184</v>
      </c>
      <c r="M7" s="2963">
        <v>0.75</v>
      </c>
      <c r="N7" s="2963" t="s">
        <v>3185</v>
      </c>
      <c r="O7" s="2963" t="s">
        <v>1327</v>
      </c>
      <c r="P7" s="2963" t="s">
        <v>1327</v>
      </c>
      <c r="Q7" s="2963" t="s">
        <v>1327</v>
      </c>
      <c r="R7" s="2963" t="s">
        <v>1327</v>
      </c>
      <c r="S7" s="2963" t="s">
        <v>1327</v>
      </c>
      <c r="T7" s="2963" t="s">
        <v>1327</v>
      </c>
      <c r="U7" s="2963" t="s">
        <v>1327</v>
      </c>
      <c r="V7" s="2963" t="s">
        <v>1327</v>
      </c>
      <c r="W7" s="2963" t="s">
        <v>3148</v>
      </c>
      <c r="X7" s="2963" t="s">
        <v>3186</v>
      </c>
      <c r="Y7" s="2963" t="s">
        <v>3187</v>
      </c>
      <c r="Z7" s="2963" t="s">
        <v>3187</v>
      </c>
      <c r="AA7" s="2963" t="s">
        <v>3187</v>
      </c>
      <c r="AB7" s="2963" t="s">
        <v>3188</v>
      </c>
      <c r="AC7" s="2963" t="s">
        <v>3152</v>
      </c>
      <c r="AD7" s="2963" t="s">
        <v>3189</v>
      </c>
      <c r="AE7" s="2963">
        <v>5250.09</v>
      </c>
      <c r="AF7" s="2963">
        <v>5250.09</v>
      </c>
      <c r="AG7" s="2963">
        <v>5250.09</v>
      </c>
      <c r="AH7" s="2963">
        <v>122.68</v>
      </c>
      <c r="AI7" s="2963">
        <v>122.68</v>
      </c>
      <c r="AJ7" s="2963">
        <v>3066.99</v>
      </c>
      <c r="AK7" s="2963">
        <v>3067</v>
      </c>
      <c r="AL7" s="2963" t="s">
        <v>1327</v>
      </c>
      <c r="AM7" s="2963" t="s">
        <v>1327</v>
      </c>
      <c r="AN7" s="2963">
        <v>0</v>
      </c>
      <c r="AO7" s="2963" t="s">
        <v>3190</v>
      </c>
      <c r="AP7" s="2963" t="s">
        <v>1327</v>
      </c>
      <c r="AQ7" s="2963" t="s">
        <v>1327</v>
      </c>
      <c r="AR7" s="2963" t="s">
        <v>1327</v>
      </c>
      <c r="AS7" s="2963" t="s">
        <v>3165</v>
      </c>
    </row>
    <row r="8" spans="1:45">
      <c r="A8" s="2962" t="s">
        <v>3191</v>
      </c>
      <c r="B8" s="2962" t="s">
        <v>3140</v>
      </c>
      <c r="C8" s="2962" t="s">
        <v>3141</v>
      </c>
      <c r="D8" s="2962" t="s">
        <v>3142</v>
      </c>
      <c r="E8" s="2962" t="s">
        <v>1327</v>
      </c>
      <c r="F8" s="2962" t="s">
        <v>3191</v>
      </c>
      <c r="G8" s="2962" t="s">
        <v>3143</v>
      </c>
      <c r="H8" s="2962" t="s">
        <v>3192</v>
      </c>
      <c r="I8" s="2962" t="s">
        <v>3158</v>
      </c>
      <c r="J8" s="2962">
        <v>29101</v>
      </c>
      <c r="K8" s="2962">
        <v>145505</v>
      </c>
      <c r="L8" s="2962" t="s">
        <v>3193</v>
      </c>
      <c r="M8" s="2962" t="s">
        <v>1327</v>
      </c>
      <c r="N8" s="2962" t="s">
        <v>3160</v>
      </c>
      <c r="O8" s="2962" t="s">
        <v>1327</v>
      </c>
      <c r="P8" s="2962" t="s">
        <v>1327</v>
      </c>
      <c r="Q8" s="2962" t="s">
        <v>1327</v>
      </c>
      <c r="R8" s="2962" t="s">
        <v>1327</v>
      </c>
      <c r="S8" s="2962" t="s">
        <v>1327</v>
      </c>
      <c r="T8" s="2962" t="s">
        <v>1327</v>
      </c>
      <c r="U8" s="2962" t="s">
        <v>1327</v>
      </c>
      <c r="V8" s="2962" t="s">
        <v>1327</v>
      </c>
      <c r="W8" s="2962" t="s">
        <v>3148</v>
      </c>
      <c r="X8" s="2962" t="s">
        <v>3194</v>
      </c>
      <c r="Y8" s="2962" t="s">
        <v>3195</v>
      </c>
      <c r="Z8" s="2962" t="s">
        <v>3195</v>
      </c>
      <c r="AA8" s="2962" t="s">
        <v>3195</v>
      </c>
      <c r="AB8" s="2962" t="s">
        <v>3196</v>
      </c>
      <c r="AC8" s="2962" t="s">
        <v>3152</v>
      </c>
      <c r="AD8" s="2962" t="s">
        <v>3197</v>
      </c>
      <c r="AE8" s="2962">
        <v>16471.169999999998</v>
      </c>
      <c r="AF8" s="2962">
        <v>16471.16</v>
      </c>
      <c r="AG8" s="2962">
        <v>16471.16</v>
      </c>
      <c r="AH8" s="2962">
        <v>377.33</v>
      </c>
      <c r="AI8" s="2962">
        <v>377.33</v>
      </c>
      <c r="AJ8" s="2962">
        <v>1132</v>
      </c>
      <c r="AK8" s="2962">
        <v>1132</v>
      </c>
      <c r="AL8" s="2962" t="s">
        <v>1327</v>
      </c>
      <c r="AM8" s="2962" t="s">
        <v>1327</v>
      </c>
      <c r="AN8" s="2962">
        <v>0</v>
      </c>
      <c r="AO8" s="2962" t="s">
        <v>3154</v>
      </c>
      <c r="AP8" s="2962" t="s">
        <v>1327</v>
      </c>
      <c r="AQ8" s="2962" t="s">
        <v>1327</v>
      </c>
      <c r="AR8" s="2962" t="s">
        <v>1327</v>
      </c>
      <c r="AS8" s="2962" t="s">
        <v>3155</v>
      </c>
    </row>
    <row r="9" spans="1:45">
      <c r="A9" s="2962" t="s">
        <v>3198</v>
      </c>
      <c r="B9" s="2962" t="s">
        <v>3140</v>
      </c>
      <c r="C9" s="2962" t="s">
        <v>3141</v>
      </c>
      <c r="D9" s="2962" t="s">
        <v>3142</v>
      </c>
      <c r="E9" s="2962" t="s">
        <v>1327</v>
      </c>
      <c r="F9" s="2962" t="s">
        <v>3198</v>
      </c>
      <c r="G9" s="2962" t="s">
        <v>3143</v>
      </c>
      <c r="H9" s="2962" t="s">
        <v>3199</v>
      </c>
      <c r="I9" s="2962" t="s">
        <v>3200</v>
      </c>
      <c r="J9" s="2962">
        <v>35779</v>
      </c>
      <c r="K9" s="2962">
        <v>131308.9</v>
      </c>
      <c r="L9" s="2962" t="s">
        <v>3201</v>
      </c>
      <c r="M9" s="2962" t="s">
        <v>1327</v>
      </c>
      <c r="N9" s="2962" t="s">
        <v>3160</v>
      </c>
      <c r="O9" s="2962" t="s">
        <v>1327</v>
      </c>
      <c r="P9" s="2962" t="s">
        <v>1327</v>
      </c>
      <c r="Q9" s="2962" t="s">
        <v>1327</v>
      </c>
      <c r="R9" s="2962" t="s">
        <v>1327</v>
      </c>
      <c r="S9" s="2962" t="s">
        <v>1327</v>
      </c>
      <c r="T9" s="2962" t="s">
        <v>3202</v>
      </c>
      <c r="U9" s="2962" t="s">
        <v>3202</v>
      </c>
      <c r="V9" s="2962" t="s">
        <v>1327</v>
      </c>
      <c r="W9" s="2962" t="s">
        <v>3148</v>
      </c>
      <c r="X9" s="2962" t="s">
        <v>3203</v>
      </c>
      <c r="Y9" s="2962" t="s">
        <v>3204</v>
      </c>
      <c r="Z9" s="2962" t="s">
        <v>3204</v>
      </c>
      <c r="AA9" s="2962" t="s">
        <v>3204</v>
      </c>
      <c r="AB9" s="2962" t="s">
        <v>3205</v>
      </c>
      <c r="AC9" s="2962" t="s">
        <v>3152</v>
      </c>
      <c r="AD9" s="2962" t="s">
        <v>3206</v>
      </c>
      <c r="AE9" s="2962">
        <v>29124.32</v>
      </c>
      <c r="AF9" s="2962">
        <v>29124.31</v>
      </c>
      <c r="AG9" s="2962">
        <v>29124.31</v>
      </c>
      <c r="AH9" s="2962">
        <v>542.66999999999996</v>
      </c>
      <c r="AI9" s="2962">
        <v>542.66999999999996</v>
      </c>
      <c r="AJ9" s="2962">
        <v>2218</v>
      </c>
      <c r="AK9" s="2962">
        <v>2218</v>
      </c>
      <c r="AL9" s="2962" t="s">
        <v>1327</v>
      </c>
      <c r="AM9" s="2962" t="s">
        <v>1327</v>
      </c>
      <c r="AN9" s="2962">
        <v>0</v>
      </c>
      <c r="AO9" s="2962" t="s">
        <v>3154</v>
      </c>
      <c r="AP9" s="2962" t="s">
        <v>1327</v>
      </c>
      <c r="AQ9" s="2962" t="s">
        <v>1327</v>
      </c>
      <c r="AR9" s="2962" t="s">
        <v>1327</v>
      </c>
      <c r="AS9" s="2962" t="s">
        <v>3165</v>
      </c>
    </row>
    <row r="10" spans="1:45">
      <c r="A10" s="2962" t="s">
        <v>3207</v>
      </c>
      <c r="B10" s="2962" t="s">
        <v>3140</v>
      </c>
      <c r="C10" s="2962" t="s">
        <v>3141</v>
      </c>
      <c r="D10" s="2962" t="s">
        <v>3142</v>
      </c>
      <c r="E10" s="2962" t="s">
        <v>1327</v>
      </c>
      <c r="F10" s="2962" t="s">
        <v>3207</v>
      </c>
      <c r="G10" s="2962" t="s">
        <v>3143</v>
      </c>
      <c r="H10" s="2962" t="s">
        <v>3208</v>
      </c>
      <c r="I10" s="2962" t="s">
        <v>3209</v>
      </c>
      <c r="J10" s="2962">
        <v>83873</v>
      </c>
      <c r="K10" s="2962">
        <v>125809.5</v>
      </c>
      <c r="L10" s="2962" t="s">
        <v>3210</v>
      </c>
      <c r="M10" s="2962" t="s">
        <v>1327</v>
      </c>
      <c r="N10" s="2962" t="s">
        <v>3211</v>
      </c>
      <c r="O10" s="2962" t="s">
        <v>1327</v>
      </c>
      <c r="P10" s="2962" t="s">
        <v>1327</v>
      </c>
      <c r="Q10" s="2962" t="s">
        <v>1327</v>
      </c>
      <c r="R10" s="2962" t="s">
        <v>1327</v>
      </c>
      <c r="S10" s="2962" t="s">
        <v>1327</v>
      </c>
      <c r="T10" s="2962" t="s">
        <v>1327</v>
      </c>
      <c r="U10" s="2962" t="s">
        <v>1327</v>
      </c>
      <c r="V10" s="2962" t="s">
        <v>1327</v>
      </c>
      <c r="W10" s="2962" t="s">
        <v>3148</v>
      </c>
      <c r="X10" s="2962" t="s">
        <v>3212</v>
      </c>
      <c r="Y10" s="2962" t="s">
        <v>3213</v>
      </c>
      <c r="Z10" s="2962" t="s">
        <v>3213</v>
      </c>
      <c r="AA10" s="2962" t="s">
        <v>3213</v>
      </c>
      <c r="AB10" s="2962" t="s">
        <v>3214</v>
      </c>
      <c r="AC10" s="2962" t="s">
        <v>3152</v>
      </c>
      <c r="AD10" s="2962" t="s">
        <v>3215</v>
      </c>
      <c r="AE10" s="2962">
        <v>5749.49</v>
      </c>
      <c r="AF10" s="2962">
        <v>5749.48</v>
      </c>
      <c r="AG10" s="2962">
        <v>5749.48</v>
      </c>
      <c r="AH10" s="2962">
        <v>45.7</v>
      </c>
      <c r="AI10" s="2962">
        <v>45.7</v>
      </c>
      <c r="AJ10" s="2962">
        <v>456.99</v>
      </c>
      <c r="AK10" s="2962">
        <v>457</v>
      </c>
      <c r="AL10" s="2962" t="s">
        <v>1327</v>
      </c>
      <c r="AM10" s="2962" t="s">
        <v>1327</v>
      </c>
      <c r="AN10" s="2962">
        <v>0</v>
      </c>
      <c r="AO10" s="2962" t="s">
        <v>3154</v>
      </c>
      <c r="AP10" s="2962" t="s">
        <v>1327</v>
      </c>
      <c r="AQ10" s="2962" t="s">
        <v>1327</v>
      </c>
      <c r="AR10" s="2962" t="s">
        <v>1327</v>
      </c>
      <c r="AS10" s="2962" t="s">
        <v>3155</v>
      </c>
    </row>
    <row r="11" spans="1:45">
      <c r="A11" s="2962" t="s">
        <v>3216</v>
      </c>
      <c r="B11" s="2962" t="s">
        <v>3140</v>
      </c>
      <c r="C11" s="2962" t="s">
        <v>3141</v>
      </c>
      <c r="D11" s="2962" t="s">
        <v>3142</v>
      </c>
      <c r="E11" s="2962" t="s">
        <v>1327</v>
      </c>
      <c r="F11" s="2962" t="s">
        <v>3216</v>
      </c>
      <c r="G11" s="2962" t="s">
        <v>3143</v>
      </c>
      <c r="H11" s="2962" t="s">
        <v>3217</v>
      </c>
      <c r="I11" s="2962" t="s">
        <v>3158</v>
      </c>
      <c r="J11" s="2962">
        <v>56161</v>
      </c>
      <c r="K11" s="2962">
        <v>56161</v>
      </c>
      <c r="L11" s="2962" t="s">
        <v>3218</v>
      </c>
      <c r="M11" s="2962" t="s">
        <v>1327</v>
      </c>
      <c r="N11" s="2962" t="s">
        <v>3160</v>
      </c>
      <c r="O11" s="2962" t="s">
        <v>1327</v>
      </c>
      <c r="P11" s="2962" t="s">
        <v>1327</v>
      </c>
      <c r="Q11" s="2962" t="s">
        <v>1327</v>
      </c>
      <c r="R11" s="2962" t="s">
        <v>1327</v>
      </c>
      <c r="S11" s="2962" t="s">
        <v>1327</v>
      </c>
      <c r="T11" s="2962" t="s">
        <v>1327</v>
      </c>
      <c r="U11" s="2962" t="s">
        <v>1327</v>
      </c>
      <c r="V11" s="2962" t="s">
        <v>1327</v>
      </c>
      <c r="W11" s="2962" t="s">
        <v>3148</v>
      </c>
      <c r="X11" s="2962" t="s">
        <v>3219</v>
      </c>
      <c r="Y11" s="2962" t="s">
        <v>3220</v>
      </c>
      <c r="Z11" s="2962" t="s">
        <v>3220</v>
      </c>
      <c r="AA11" s="2962" t="s">
        <v>3220</v>
      </c>
      <c r="AB11" s="2962" t="s">
        <v>3221</v>
      </c>
      <c r="AC11" s="2962" t="s">
        <v>3152</v>
      </c>
      <c r="AD11" s="2962" t="s">
        <v>3222</v>
      </c>
      <c r="AE11" s="2962">
        <v>8266.9</v>
      </c>
      <c r="AF11" s="2962">
        <v>8266.89</v>
      </c>
      <c r="AG11" s="2962">
        <v>8266.89</v>
      </c>
      <c r="AH11" s="2962">
        <v>98.13</v>
      </c>
      <c r="AI11" s="2962">
        <v>98.13</v>
      </c>
      <c r="AJ11" s="2962">
        <v>1472</v>
      </c>
      <c r="AK11" s="2962">
        <v>1472</v>
      </c>
      <c r="AL11" s="2962" t="s">
        <v>1327</v>
      </c>
      <c r="AM11" s="2962" t="s">
        <v>1327</v>
      </c>
      <c r="AN11" s="2962">
        <v>0</v>
      </c>
      <c r="AO11" s="2962" t="s">
        <v>3154</v>
      </c>
      <c r="AP11" s="2962" t="s">
        <v>1327</v>
      </c>
      <c r="AQ11" s="2962" t="s">
        <v>1327</v>
      </c>
      <c r="AR11" s="2962" t="s">
        <v>1327</v>
      </c>
      <c r="AS11" s="2962" t="s">
        <v>3155</v>
      </c>
    </row>
    <row r="12" spans="1:45">
      <c r="A12" s="2962" t="s">
        <v>3223</v>
      </c>
      <c r="B12" s="2962" t="s">
        <v>3140</v>
      </c>
      <c r="C12" s="2962" t="s">
        <v>3141</v>
      </c>
      <c r="D12" s="2962" t="s">
        <v>3142</v>
      </c>
      <c r="E12" s="2962" t="s">
        <v>1327</v>
      </c>
      <c r="F12" s="2962" t="s">
        <v>3223</v>
      </c>
      <c r="G12" s="2962" t="s">
        <v>3143</v>
      </c>
      <c r="H12" s="2962" t="s">
        <v>3224</v>
      </c>
      <c r="I12" s="2962" t="s">
        <v>3225</v>
      </c>
      <c r="J12" s="2962">
        <v>53269</v>
      </c>
      <c r="K12" s="2962">
        <v>79903.5</v>
      </c>
      <c r="L12" s="2962" t="s">
        <v>3210</v>
      </c>
      <c r="M12" s="2962" t="s">
        <v>1327</v>
      </c>
      <c r="N12" s="2962" t="s">
        <v>3211</v>
      </c>
      <c r="O12" s="2962" t="s">
        <v>1327</v>
      </c>
      <c r="P12" s="2962" t="s">
        <v>1327</v>
      </c>
      <c r="Q12" s="2962" t="s">
        <v>1327</v>
      </c>
      <c r="R12" s="2962" t="s">
        <v>1327</v>
      </c>
      <c r="S12" s="2962" t="s">
        <v>1327</v>
      </c>
      <c r="T12" s="2962" t="s">
        <v>1327</v>
      </c>
      <c r="U12" s="2962" t="s">
        <v>1327</v>
      </c>
      <c r="V12" s="2962" t="s">
        <v>1327</v>
      </c>
      <c r="W12" s="2962" t="s">
        <v>3148</v>
      </c>
      <c r="X12" s="2962" t="s">
        <v>3226</v>
      </c>
      <c r="Y12" s="2962" t="s">
        <v>3227</v>
      </c>
      <c r="Z12" s="2962" t="s">
        <v>3227</v>
      </c>
      <c r="AA12" s="2962" t="s">
        <v>3227</v>
      </c>
      <c r="AB12" s="2962" t="s">
        <v>3228</v>
      </c>
      <c r="AC12" s="2962" t="s">
        <v>3152</v>
      </c>
      <c r="AD12" s="2962" t="s">
        <v>3229</v>
      </c>
      <c r="AE12" s="2962">
        <v>3651.59</v>
      </c>
      <c r="AF12" s="2962">
        <v>3651.59</v>
      </c>
      <c r="AG12" s="2962">
        <v>3651.59</v>
      </c>
      <c r="AH12" s="2962">
        <v>45.7</v>
      </c>
      <c r="AI12" s="2962">
        <v>45.7</v>
      </c>
      <c r="AJ12" s="2962">
        <v>457</v>
      </c>
      <c r="AK12" s="2962">
        <v>457</v>
      </c>
      <c r="AL12" s="2962" t="s">
        <v>1327</v>
      </c>
      <c r="AM12" s="2962" t="s">
        <v>1327</v>
      </c>
      <c r="AN12" s="2962">
        <v>0</v>
      </c>
      <c r="AO12" s="2962" t="s">
        <v>3154</v>
      </c>
      <c r="AP12" s="2962" t="s">
        <v>1327</v>
      </c>
      <c r="AQ12" s="2962" t="s">
        <v>1327</v>
      </c>
      <c r="AR12" s="2962" t="s">
        <v>1327</v>
      </c>
      <c r="AS12" s="2962" t="s">
        <v>3155</v>
      </c>
    </row>
    <row r="13" spans="1:45">
      <c r="A13" s="2962" t="s">
        <v>3230</v>
      </c>
      <c r="B13" s="2962" t="s">
        <v>3140</v>
      </c>
      <c r="C13" s="2962" t="s">
        <v>3141</v>
      </c>
      <c r="D13" s="2962" t="s">
        <v>3142</v>
      </c>
      <c r="E13" s="2962" t="s">
        <v>1327</v>
      </c>
      <c r="F13" s="2962" t="s">
        <v>3230</v>
      </c>
      <c r="G13" s="2962" t="s">
        <v>3143</v>
      </c>
      <c r="H13" s="2962" t="s">
        <v>3231</v>
      </c>
      <c r="I13" s="2962" t="s">
        <v>3232</v>
      </c>
      <c r="J13" s="2962">
        <v>27266</v>
      </c>
      <c r="K13" s="2962">
        <v>32719.200000000001</v>
      </c>
      <c r="L13" s="2962" t="s">
        <v>3233</v>
      </c>
      <c r="M13" s="2962" t="s">
        <v>1327</v>
      </c>
      <c r="N13" s="2962" t="s">
        <v>3147</v>
      </c>
      <c r="O13" s="2962" t="s">
        <v>1327</v>
      </c>
      <c r="P13" s="2962" t="s">
        <v>1327</v>
      </c>
      <c r="Q13" s="2962" t="s">
        <v>1327</v>
      </c>
      <c r="R13" s="2962" t="s">
        <v>1327</v>
      </c>
      <c r="S13" s="2962" t="s">
        <v>1327</v>
      </c>
      <c r="T13" s="2962" t="s">
        <v>1327</v>
      </c>
      <c r="U13" s="2962" t="s">
        <v>1327</v>
      </c>
      <c r="V13" s="2962" t="s">
        <v>1327</v>
      </c>
      <c r="W13" s="2962" t="s">
        <v>3148</v>
      </c>
      <c r="X13" s="2962" t="s">
        <v>3234</v>
      </c>
      <c r="Y13" s="2962" t="s">
        <v>3235</v>
      </c>
      <c r="Z13" s="2962" t="s">
        <v>3235</v>
      </c>
      <c r="AA13" s="2962" t="s">
        <v>3235</v>
      </c>
      <c r="AB13" s="2962" t="s">
        <v>3236</v>
      </c>
      <c r="AC13" s="2962" t="s">
        <v>3152</v>
      </c>
      <c r="AD13" s="2962" t="s">
        <v>3237</v>
      </c>
      <c r="AE13" s="2962">
        <v>4341.84</v>
      </c>
      <c r="AF13" s="2962">
        <v>4341.84</v>
      </c>
      <c r="AG13" s="2962">
        <v>4341.84</v>
      </c>
      <c r="AH13" s="2962">
        <v>106.16</v>
      </c>
      <c r="AI13" s="2962">
        <v>106.16</v>
      </c>
      <c r="AJ13" s="2962">
        <v>1327</v>
      </c>
      <c r="AK13" s="2962">
        <v>1327</v>
      </c>
      <c r="AL13" s="2962" t="s">
        <v>1327</v>
      </c>
      <c r="AM13" s="2962" t="s">
        <v>1327</v>
      </c>
      <c r="AN13" s="2962">
        <v>0</v>
      </c>
      <c r="AO13" s="2962" t="s">
        <v>3154</v>
      </c>
      <c r="AP13" s="2962" t="s">
        <v>1327</v>
      </c>
      <c r="AQ13" s="2962" t="s">
        <v>1327</v>
      </c>
      <c r="AR13" s="2962" t="s">
        <v>1327</v>
      </c>
      <c r="AS13" s="2962" t="s">
        <v>3155</v>
      </c>
    </row>
    <row r="14" spans="1:45">
      <c r="A14" s="2962" t="s">
        <v>3238</v>
      </c>
      <c r="B14" s="2962" t="s">
        <v>3140</v>
      </c>
      <c r="C14" s="2962" t="s">
        <v>3141</v>
      </c>
      <c r="D14" s="2962" t="s">
        <v>3142</v>
      </c>
      <c r="E14" s="2962" t="s">
        <v>1327</v>
      </c>
      <c r="F14" s="2962" t="s">
        <v>3238</v>
      </c>
      <c r="G14" s="2962" t="s">
        <v>3143</v>
      </c>
      <c r="H14" s="2962" t="s">
        <v>3239</v>
      </c>
      <c r="I14" s="2962" t="s">
        <v>3232</v>
      </c>
      <c r="J14" s="2962">
        <v>33025</v>
      </c>
      <c r="K14" s="2962">
        <v>19815</v>
      </c>
      <c r="L14" s="2962" t="s">
        <v>3184</v>
      </c>
      <c r="M14" s="2962" t="s">
        <v>1327</v>
      </c>
      <c r="N14" s="2962" t="s">
        <v>3160</v>
      </c>
      <c r="O14" s="2962" t="s">
        <v>1327</v>
      </c>
      <c r="P14" s="2962" t="s">
        <v>1327</v>
      </c>
      <c r="Q14" s="2962" t="s">
        <v>1327</v>
      </c>
      <c r="R14" s="2962" t="s">
        <v>1327</v>
      </c>
      <c r="S14" s="2962" t="s">
        <v>1327</v>
      </c>
      <c r="T14" s="2962" t="s">
        <v>1327</v>
      </c>
      <c r="U14" s="2962" t="s">
        <v>1327</v>
      </c>
      <c r="V14" s="2962" t="s">
        <v>1327</v>
      </c>
      <c r="W14" s="2962" t="s">
        <v>3148</v>
      </c>
      <c r="X14" s="2962" t="s">
        <v>3234</v>
      </c>
      <c r="Y14" s="2962" t="s">
        <v>3235</v>
      </c>
      <c r="Z14" s="2962" t="s">
        <v>3235</v>
      </c>
      <c r="AA14" s="2962" t="s">
        <v>3235</v>
      </c>
      <c r="AB14" s="2962" t="s">
        <v>3240</v>
      </c>
      <c r="AC14" s="2962" t="s">
        <v>3152</v>
      </c>
      <c r="AD14" s="2962" t="s">
        <v>3241</v>
      </c>
      <c r="AE14" s="2962">
        <v>2249</v>
      </c>
      <c r="AF14" s="2962">
        <v>2249</v>
      </c>
      <c r="AG14" s="2962">
        <v>2249</v>
      </c>
      <c r="AH14" s="2962">
        <v>45.4</v>
      </c>
      <c r="AI14" s="2962">
        <v>45.4</v>
      </c>
      <c r="AJ14" s="2962">
        <v>1134.99</v>
      </c>
      <c r="AK14" s="2962">
        <v>1135</v>
      </c>
      <c r="AL14" s="2962" t="s">
        <v>1327</v>
      </c>
      <c r="AM14" s="2962" t="s">
        <v>1327</v>
      </c>
      <c r="AN14" s="2962">
        <v>0</v>
      </c>
      <c r="AO14" s="2962" t="s">
        <v>3154</v>
      </c>
      <c r="AP14" s="2962" t="s">
        <v>1327</v>
      </c>
      <c r="AQ14" s="2962" t="s">
        <v>1327</v>
      </c>
      <c r="AR14" s="2962" t="s">
        <v>1327</v>
      </c>
      <c r="AS14" s="2962" t="s">
        <v>3155</v>
      </c>
    </row>
    <row r="15" spans="1:45">
      <c r="A15" s="2962" t="s">
        <v>3242</v>
      </c>
      <c r="B15" s="2962" t="s">
        <v>3140</v>
      </c>
      <c r="C15" s="2962" t="s">
        <v>3141</v>
      </c>
      <c r="D15" s="2962" t="s">
        <v>3142</v>
      </c>
      <c r="E15" s="2962" t="s">
        <v>1327</v>
      </c>
      <c r="F15" s="2962" t="s">
        <v>3242</v>
      </c>
      <c r="G15" s="2962" t="s">
        <v>3143</v>
      </c>
      <c r="H15" s="2962" t="s">
        <v>3243</v>
      </c>
      <c r="I15" s="2962" t="s">
        <v>3244</v>
      </c>
      <c r="J15" s="2962">
        <v>79649</v>
      </c>
      <c r="K15" s="2962">
        <v>39824.5</v>
      </c>
      <c r="L15" s="2962" t="s">
        <v>3146</v>
      </c>
      <c r="M15" s="2962" t="s">
        <v>1327</v>
      </c>
      <c r="N15" s="2962" t="s">
        <v>3160</v>
      </c>
      <c r="O15" s="2962" t="s">
        <v>1327</v>
      </c>
      <c r="P15" s="2962" t="s">
        <v>1327</v>
      </c>
      <c r="Q15" s="2962" t="s">
        <v>1327</v>
      </c>
      <c r="R15" s="2962" t="s">
        <v>1327</v>
      </c>
      <c r="S15" s="2962" t="s">
        <v>1327</v>
      </c>
      <c r="T15" s="2962" t="s">
        <v>1327</v>
      </c>
      <c r="U15" s="2962" t="s">
        <v>1327</v>
      </c>
      <c r="V15" s="2962" t="s">
        <v>1327</v>
      </c>
      <c r="W15" s="2962" t="s">
        <v>3148</v>
      </c>
      <c r="X15" s="2962" t="s">
        <v>3234</v>
      </c>
      <c r="Y15" s="2962" t="s">
        <v>3235</v>
      </c>
      <c r="Z15" s="2962" t="s">
        <v>3235</v>
      </c>
      <c r="AA15" s="2962" t="s">
        <v>3235</v>
      </c>
      <c r="AB15" s="2962" t="s">
        <v>3245</v>
      </c>
      <c r="AC15" s="2962" t="s">
        <v>3152</v>
      </c>
      <c r="AD15" s="2962" t="s">
        <v>3246</v>
      </c>
      <c r="AE15" s="2962">
        <v>17036.919999999998</v>
      </c>
      <c r="AF15" s="2962">
        <v>17036.91</v>
      </c>
      <c r="AG15" s="2962">
        <v>17036.91</v>
      </c>
      <c r="AH15" s="2962">
        <v>142.6</v>
      </c>
      <c r="AI15" s="2962">
        <v>142.6</v>
      </c>
      <c r="AJ15" s="2962">
        <v>4277.99</v>
      </c>
      <c r="AK15" s="2962">
        <v>4278</v>
      </c>
      <c r="AL15" s="2962" t="s">
        <v>1327</v>
      </c>
      <c r="AM15" s="2962" t="s">
        <v>1327</v>
      </c>
      <c r="AN15" s="2962">
        <v>0</v>
      </c>
      <c r="AO15" s="2962" t="s">
        <v>3154</v>
      </c>
      <c r="AP15" s="2962" t="s">
        <v>1327</v>
      </c>
      <c r="AQ15" s="2962" t="s">
        <v>1327</v>
      </c>
      <c r="AR15" s="2962" t="s">
        <v>1327</v>
      </c>
      <c r="AS15" s="2962" t="s">
        <v>3155</v>
      </c>
    </row>
    <row r="16" spans="1:45">
      <c r="A16" s="2962" t="s">
        <v>3247</v>
      </c>
      <c r="B16" s="2962" t="s">
        <v>3140</v>
      </c>
      <c r="C16" s="2962" t="s">
        <v>3141</v>
      </c>
      <c r="D16" s="2962" t="s">
        <v>3142</v>
      </c>
      <c r="E16" s="2962" t="s">
        <v>1327</v>
      </c>
      <c r="F16" s="2962" t="s">
        <v>3247</v>
      </c>
      <c r="G16" s="2962" t="s">
        <v>3143</v>
      </c>
      <c r="H16" s="2962" t="s">
        <v>3248</v>
      </c>
      <c r="I16" s="2962" t="s">
        <v>3249</v>
      </c>
      <c r="J16" s="2962">
        <v>35850</v>
      </c>
      <c r="K16" s="2962">
        <v>71700</v>
      </c>
      <c r="L16" s="2962" t="s">
        <v>3159</v>
      </c>
      <c r="M16" s="2962" t="s">
        <v>1327</v>
      </c>
      <c r="N16" s="2962" t="s">
        <v>3160</v>
      </c>
      <c r="O16" s="2962" t="s">
        <v>1327</v>
      </c>
      <c r="P16" s="2962" t="s">
        <v>1327</v>
      </c>
      <c r="Q16" s="2962" t="s">
        <v>1327</v>
      </c>
      <c r="R16" s="2962" t="s">
        <v>1327</v>
      </c>
      <c r="S16" s="2962" t="s">
        <v>1327</v>
      </c>
      <c r="T16" s="2962" t="s">
        <v>1327</v>
      </c>
      <c r="U16" s="2962" t="s">
        <v>1327</v>
      </c>
      <c r="V16" s="2962" t="s">
        <v>1327</v>
      </c>
      <c r="W16" s="2962" t="s">
        <v>3250</v>
      </c>
      <c r="X16" s="2962" t="s">
        <v>3251</v>
      </c>
      <c r="Y16" s="2962" t="s">
        <v>3226</v>
      </c>
      <c r="Z16" s="2962" t="s">
        <v>3226</v>
      </c>
      <c r="AA16" s="2962" t="s">
        <v>3226</v>
      </c>
      <c r="AB16" s="2962" t="s">
        <v>3252</v>
      </c>
      <c r="AC16" s="2962" t="s">
        <v>3152</v>
      </c>
      <c r="AD16" s="2962" t="s">
        <v>3253</v>
      </c>
      <c r="AE16" s="2962">
        <v>12819.96</v>
      </c>
      <c r="AF16" s="2962">
        <v>12819.95</v>
      </c>
      <c r="AG16" s="2962">
        <v>12819.95</v>
      </c>
      <c r="AH16" s="2962">
        <v>238.4</v>
      </c>
      <c r="AI16" s="2962">
        <v>238.4</v>
      </c>
      <c r="AJ16" s="2962">
        <v>1788</v>
      </c>
      <c r="AK16" s="2962">
        <v>1788</v>
      </c>
      <c r="AL16" s="2962" t="s">
        <v>1327</v>
      </c>
      <c r="AM16" s="2962" t="s">
        <v>1327</v>
      </c>
      <c r="AN16" s="2962">
        <v>0</v>
      </c>
      <c r="AO16" s="2962" t="s">
        <v>3154</v>
      </c>
      <c r="AP16" s="2962" t="s">
        <v>1327</v>
      </c>
      <c r="AQ16" s="2962" t="s">
        <v>1327</v>
      </c>
      <c r="AR16" s="2962" t="s">
        <v>1327</v>
      </c>
      <c r="AS16" s="2962" t="s">
        <v>3254</v>
      </c>
    </row>
    <row r="17" spans="1:45" s="2963" customFormat="1">
      <c r="A17" s="2963" t="s">
        <v>3255</v>
      </c>
      <c r="B17" s="2963" t="s">
        <v>3140</v>
      </c>
      <c r="C17" s="2963" t="s">
        <v>3141</v>
      </c>
      <c r="D17" s="2963" t="s">
        <v>3142</v>
      </c>
      <c r="E17" s="2963" t="s">
        <v>1327</v>
      </c>
      <c r="F17" s="2963" t="s">
        <v>3255</v>
      </c>
      <c r="G17" s="2963" t="s">
        <v>3143</v>
      </c>
      <c r="H17" s="2963" t="s">
        <v>3256</v>
      </c>
      <c r="I17" s="2963" t="s">
        <v>3257</v>
      </c>
      <c r="J17" s="2963">
        <v>65325.05</v>
      </c>
      <c r="K17" s="2963">
        <v>39195</v>
      </c>
      <c r="L17" s="2963" t="s">
        <v>3184</v>
      </c>
      <c r="M17" s="2963" t="s">
        <v>1327</v>
      </c>
      <c r="N17" s="2963" t="s">
        <v>3185</v>
      </c>
      <c r="O17" s="2963" t="s">
        <v>1327</v>
      </c>
      <c r="P17" s="2963" t="s">
        <v>1327</v>
      </c>
      <c r="Q17" s="2963" t="s">
        <v>1327</v>
      </c>
      <c r="R17" s="2963" t="s">
        <v>1327</v>
      </c>
      <c r="S17" s="2963" t="s">
        <v>1327</v>
      </c>
      <c r="T17" s="2963" t="s">
        <v>1327</v>
      </c>
      <c r="U17" s="2963" t="s">
        <v>1327</v>
      </c>
      <c r="V17" s="2963" t="s">
        <v>1327</v>
      </c>
      <c r="W17" s="2963" t="s">
        <v>3250</v>
      </c>
      <c r="X17" s="2963" t="s">
        <v>3258</v>
      </c>
      <c r="Y17" s="2963" t="s">
        <v>3259</v>
      </c>
      <c r="Z17" s="2963" t="s">
        <v>3259</v>
      </c>
      <c r="AA17" s="2963" t="s">
        <v>3259</v>
      </c>
      <c r="AB17" s="2963" t="s">
        <v>3260</v>
      </c>
      <c r="AC17" s="2963" t="s">
        <v>3152</v>
      </c>
      <c r="AD17" s="2963" t="s">
        <v>3261</v>
      </c>
      <c r="AE17" s="2963">
        <v>11013.8</v>
      </c>
      <c r="AF17" s="2963">
        <v>11013.79</v>
      </c>
      <c r="AG17" s="2963">
        <v>11013.79</v>
      </c>
      <c r="AH17" s="2963">
        <v>112.4</v>
      </c>
      <c r="AI17" s="2963">
        <v>112.4</v>
      </c>
      <c r="AJ17" s="2963">
        <v>2810</v>
      </c>
      <c r="AK17" s="2963">
        <v>2810</v>
      </c>
      <c r="AL17" s="2963" t="s">
        <v>1327</v>
      </c>
      <c r="AM17" s="2963" t="s">
        <v>1327</v>
      </c>
      <c r="AN17" s="2963">
        <v>0</v>
      </c>
      <c r="AO17" s="2963" t="s">
        <v>3154</v>
      </c>
      <c r="AP17" s="2963" t="s">
        <v>1327</v>
      </c>
      <c r="AQ17" s="2963" t="s">
        <v>1327</v>
      </c>
      <c r="AR17" s="2963" t="s">
        <v>1327</v>
      </c>
      <c r="AS17" s="2963" t="s">
        <v>3254</v>
      </c>
    </row>
    <row r="18" spans="1:45">
      <c r="A18" s="2962" t="s">
        <v>3262</v>
      </c>
      <c r="B18" s="2962" t="s">
        <v>3140</v>
      </c>
      <c r="C18" s="2962" t="s">
        <v>3141</v>
      </c>
      <c r="D18" s="2962" t="s">
        <v>3142</v>
      </c>
      <c r="E18" s="2962" t="s">
        <v>1327</v>
      </c>
      <c r="F18" s="2962" t="s">
        <v>3262</v>
      </c>
      <c r="G18" s="2962" t="s">
        <v>3143</v>
      </c>
      <c r="H18" s="2962" t="s">
        <v>3263</v>
      </c>
      <c r="I18" s="2962" t="s">
        <v>3264</v>
      </c>
      <c r="J18" s="2962">
        <v>55392</v>
      </c>
      <c r="K18" s="2962">
        <v>66470.399999999994</v>
      </c>
      <c r="L18" s="2962" t="s">
        <v>3233</v>
      </c>
      <c r="M18" s="2962" t="s">
        <v>1327</v>
      </c>
      <c r="N18" s="2962" t="s">
        <v>3147</v>
      </c>
      <c r="O18" s="2962" t="s">
        <v>1327</v>
      </c>
      <c r="P18" s="2962" t="s">
        <v>1327</v>
      </c>
      <c r="Q18" s="2962" t="s">
        <v>1327</v>
      </c>
      <c r="R18" s="2962" t="s">
        <v>1327</v>
      </c>
      <c r="S18" s="2962" t="s">
        <v>1327</v>
      </c>
      <c r="T18" s="2962" t="s">
        <v>1327</v>
      </c>
      <c r="U18" s="2962" t="s">
        <v>1327</v>
      </c>
      <c r="V18" s="2962" t="s">
        <v>1327</v>
      </c>
      <c r="W18" s="2962" t="s">
        <v>3250</v>
      </c>
      <c r="X18" s="2962" t="s">
        <v>3258</v>
      </c>
      <c r="Y18" s="2962" t="s">
        <v>3259</v>
      </c>
      <c r="Z18" s="2962" t="s">
        <v>3259</v>
      </c>
      <c r="AA18" s="2962" t="s">
        <v>3259</v>
      </c>
      <c r="AB18" s="2962" t="s">
        <v>3265</v>
      </c>
      <c r="AC18" s="2962" t="s">
        <v>3152</v>
      </c>
      <c r="AD18" s="2962" t="s">
        <v>3266</v>
      </c>
      <c r="AE18" s="2962">
        <v>9013.39</v>
      </c>
      <c r="AF18" s="2962">
        <v>9013.3799999999992</v>
      </c>
      <c r="AG18" s="2962">
        <v>9013.3799999999992</v>
      </c>
      <c r="AH18" s="2962">
        <v>108.48</v>
      </c>
      <c r="AI18" s="2962">
        <v>108.48</v>
      </c>
      <c r="AJ18" s="2962">
        <v>1356</v>
      </c>
      <c r="AK18" s="2962">
        <v>1356</v>
      </c>
      <c r="AL18" s="2962" t="s">
        <v>1327</v>
      </c>
      <c r="AM18" s="2962" t="s">
        <v>1327</v>
      </c>
      <c r="AN18" s="2962">
        <v>0</v>
      </c>
      <c r="AO18" s="2962" t="s">
        <v>3154</v>
      </c>
      <c r="AP18" s="2962" t="s">
        <v>1327</v>
      </c>
      <c r="AQ18" s="2962" t="s">
        <v>1327</v>
      </c>
      <c r="AR18" s="2962" t="s">
        <v>1327</v>
      </c>
      <c r="AS18" s="2962" t="s">
        <v>3165</v>
      </c>
    </row>
    <row r="19" spans="1:45">
      <c r="A19" s="2962" t="s">
        <v>3267</v>
      </c>
      <c r="B19" s="2962" t="s">
        <v>3140</v>
      </c>
      <c r="C19" s="2962" t="s">
        <v>3141</v>
      </c>
      <c r="D19" s="2962" t="s">
        <v>3142</v>
      </c>
      <c r="E19" s="2962" t="s">
        <v>1327</v>
      </c>
      <c r="F19" s="2962" t="s">
        <v>3267</v>
      </c>
      <c r="G19" s="2962" t="s">
        <v>3143</v>
      </c>
      <c r="H19" s="2962" t="s">
        <v>3268</v>
      </c>
      <c r="I19" s="2962" t="s">
        <v>3158</v>
      </c>
      <c r="J19" s="2962">
        <v>20849</v>
      </c>
      <c r="K19" s="2962">
        <v>20849</v>
      </c>
      <c r="L19" s="2962" t="s">
        <v>3269</v>
      </c>
      <c r="M19" s="2962" t="s">
        <v>1327</v>
      </c>
      <c r="N19" s="2962" t="s">
        <v>3160</v>
      </c>
      <c r="O19" s="2962" t="s">
        <v>1327</v>
      </c>
      <c r="P19" s="2962" t="s">
        <v>1327</v>
      </c>
      <c r="Q19" s="2962" t="s">
        <v>1327</v>
      </c>
      <c r="R19" s="2962" t="s">
        <v>1327</v>
      </c>
      <c r="S19" s="2962" t="s">
        <v>1327</v>
      </c>
      <c r="T19" s="2962" t="s">
        <v>1327</v>
      </c>
      <c r="U19" s="2962" t="s">
        <v>1327</v>
      </c>
      <c r="V19" s="2962" t="s">
        <v>1327</v>
      </c>
      <c r="W19" s="2962" t="s">
        <v>3250</v>
      </c>
      <c r="X19" s="2962" t="s">
        <v>3258</v>
      </c>
      <c r="Y19" s="2962" t="s">
        <v>3259</v>
      </c>
      <c r="Z19" s="2962" t="s">
        <v>3259</v>
      </c>
      <c r="AA19" s="2962" t="s">
        <v>3259</v>
      </c>
      <c r="AB19" s="2962" t="s">
        <v>3270</v>
      </c>
      <c r="AC19" s="2962" t="s">
        <v>3152</v>
      </c>
      <c r="AD19" s="2962" t="s">
        <v>3241</v>
      </c>
      <c r="AE19" s="2962">
        <v>2255.86</v>
      </c>
      <c r="AF19" s="2962">
        <v>2255.86</v>
      </c>
      <c r="AG19" s="2962">
        <v>2255.86</v>
      </c>
      <c r="AH19" s="2962">
        <v>72.13</v>
      </c>
      <c r="AI19" s="2962">
        <v>72.13</v>
      </c>
      <c r="AJ19" s="2962">
        <v>1081.99</v>
      </c>
      <c r="AK19" s="2962">
        <v>1082</v>
      </c>
      <c r="AL19" s="2962" t="s">
        <v>1327</v>
      </c>
      <c r="AM19" s="2962" t="s">
        <v>1327</v>
      </c>
      <c r="AN19" s="2962">
        <v>0</v>
      </c>
      <c r="AO19" s="2962" t="s">
        <v>3154</v>
      </c>
      <c r="AP19" s="2962" t="s">
        <v>1327</v>
      </c>
      <c r="AQ19" s="2962" t="s">
        <v>1327</v>
      </c>
      <c r="AR19" s="2962" t="s">
        <v>1327</v>
      </c>
      <c r="AS19" s="2962" t="s">
        <v>3155</v>
      </c>
    </row>
    <row r="20" spans="1:45">
      <c r="A20" s="2962" t="s">
        <v>3271</v>
      </c>
      <c r="B20" s="2962" t="s">
        <v>3140</v>
      </c>
      <c r="C20" s="2962" t="s">
        <v>3141</v>
      </c>
      <c r="D20" s="2962" t="s">
        <v>3142</v>
      </c>
      <c r="E20" s="2962" t="s">
        <v>1327</v>
      </c>
      <c r="F20" s="2962" t="s">
        <v>3271</v>
      </c>
      <c r="G20" s="2962" t="s">
        <v>3143</v>
      </c>
      <c r="H20" s="2962" t="s">
        <v>3272</v>
      </c>
      <c r="I20" s="2962" t="s">
        <v>3158</v>
      </c>
      <c r="J20" s="2962">
        <v>56133</v>
      </c>
      <c r="K20" s="2962">
        <v>56133</v>
      </c>
      <c r="L20" s="2962" t="s">
        <v>3269</v>
      </c>
      <c r="M20" s="2962" t="s">
        <v>1327</v>
      </c>
      <c r="N20" s="2962" t="s">
        <v>3160</v>
      </c>
      <c r="O20" s="2962" t="s">
        <v>1327</v>
      </c>
      <c r="P20" s="2962" t="s">
        <v>1327</v>
      </c>
      <c r="Q20" s="2962" t="s">
        <v>1327</v>
      </c>
      <c r="R20" s="2962" t="s">
        <v>1327</v>
      </c>
      <c r="S20" s="2962" t="s">
        <v>1327</v>
      </c>
      <c r="T20" s="2962" t="s">
        <v>1327</v>
      </c>
      <c r="U20" s="2962" t="s">
        <v>1327</v>
      </c>
      <c r="V20" s="2962" t="s">
        <v>1327</v>
      </c>
      <c r="W20" s="2962" t="s">
        <v>3250</v>
      </c>
      <c r="X20" s="2962" t="s">
        <v>3258</v>
      </c>
      <c r="Y20" s="2962" t="s">
        <v>3259</v>
      </c>
      <c r="Z20" s="2962" t="s">
        <v>3259</v>
      </c>
      <c r="AA20" s="2962" t="s">
        <v>3259</v>
      </c>
      <c r="AB20" s="2962" t="s">
        <v>3273</v>
      </c>
      <c r="AC20" s="2962" t="s">
        <v>3152</v>
      </c>
      <c r="AD20" s="2962" t="s">
        <v>3241</v>
      </c>
      <c r="AE20" s="2962">
        <v>6129.72</v>
      </c>
      <c r="AF20" s="2962">
        <v>6129.72</v>
      </c>
      <c r="AG20" s="2962">
        <v>6129.72</v>
      </c>
      <c r="AH20" s="2962">
        <v>72.8</v>
      </c>
      <c r="AI20" s="2962">
        <v>72.8</v>
      </c>
      <c r="AJ20" s="2962">
        <v>1091.99</v>
      </c>
      <c r="AK20" s="2962">
        <v>1092</v>
      </c>
      <c r="AL20" s="2962" t="s">
        <v>1327</v>
      </c>
      <c r="AM20" s="2962" t="s">
        <v>1327</v>
      </c>
      <c r="AN20" s="2962">
        <v>0</v>
      </c>
      <c r="AO20" s="2962" t="s">
        <v>3154</v>
      </c>
      <c r="AP20" s="2962" t="s">
        <v>1327</v>
      </c>
      <c r="AQ20" s="2962" t="s">
        <v>1327</v>
      </c>
      <c r="AR20" s="2962" t="s">
        <v>1327</v>
      </c>
      <c r="AS20" s="2962" t="s">
        <v>3155</v>
      </c>
    </row>
    <row r="21" spans="1:45">
      <c r="A21" s="2962" t="s">
        <v>3267</v>
      </c>
      <c r="B21" s="2962" t="s">
        <v>3140</v>
      </c>
      <c r="C21" s="2962" t="s">
        <v>3141</v>
      </c>
      <c r="D21" s="2962" t="s">
        <v>3142</v>
      </c>
      <c r="E21" s="2962" t="s">
        <v>1327</v>
      </c>
      <c r="F21" s="2962" t="s">
        <v>3267</v>
      </c>
      <c r="G21" s="2962" t="s">
        <v>3143</v>
      </c>
      <c r="H21" s="2962" t="s">
        <v>3274</v>
      </c>
      <c r="I21" s="2962" t="s">
        <v>3158</v>
      </c>
      <c r="J21" s="2962">
        <v>173374</v>
      </c>
      <c r="K21" s="2962">
        <v>173374</v>
      </c>
      <c r="L21" s="2962" t="s">
        <v>3269</v>
      </c>
      <c r="M21" s="2962" t="s">
        <v>1327</v>
      </c>
      <c r="N21" s="2962" t="s">
        <v>3160</v>
      </c>
      <c r="O21" s="2962" t="s">
        <v>1327</v>
      </c>
      <c r="P21" s="2962" t="s">
        <v>1327</v>
      </c>
      <c r="Q21" s="2962" t="s">
        <v>1327</v>
      </c>
      <c r="R21" s="2962" t="s">
        <v>1327</v>
      </c>
      <c r="S21" s="2962" t="s">
        <v>1327</v>
      </c>
      <c r="T21" s="2962" t="s">
        <v>1327</v>
      </c>
      <c r="U21" s="2962" t="s">
        <v>1327</v>
      </c>
      <c r="V21" s="2962" t="s">
        <v>1327</v>
      </c>
      <c r="W21" s="2962" t="s">
        <v>3250</v>
      </c>
      <c r="X21" s="2962" t="s">
        <v>3258</v>
      </c>
      <c r="Y21" s="2962" t="s">
        <v>3259</v>
      </c>
      <c r="Z21" s="2962" t="s">
        <v>3259</v>
      </c>
      <c r="AA21" s="2962" t="s">
        <v>3259</v>
      </c>
      <c r="AB21" s="2962" t="s">
        <v>3275</v>
      </c>
      <c r="AC21" s="2962" t="s">
        <v>3152</v>
      </c>
      <c r="AD21" s="2962" t="s">
        <v>3241</v>
      </c>
      <c r="AE21" s="2962">
        <v>18793.740000000002</v>
      </c>
      <c r="AF21" s="2962">
        <v>18793.740000000002</v>
      </c>
      <c r="AG21" s="2962">
        <v>18793.740000000002</v>
      </c>
      <c r="AH21" s="2962">
        <v>72.27</v>
      </c>
      <c r="AI21" s="2962">
        <v>72.27</v>
      </c>
      <c r="AJ21" s="2962">
        <v>1083.99</v>
      </c>
      <c r="AK21" s="2962">
        <v>1084</v>
      </c>
      <c r="AL21" s="2962" t="s">
        <v>1327</v>
      </c>
      <c r="AM21" s="2962" t="s">
        <v>1327</v>
      </c>
      <c r="AN21" s="2962">
        <v>0</v>
      </c>
      <c r="AO21" s="2962" t="s">
        <v>3154</v>
      </c>
      <c r="AP21" s="2962" t="s">
        <v>1327</v>
      </c>
      <c r="AQ21" s="2962" t="s">
        <v>1327</v>
      </c>
      <c r="AR21" s="2962" t="s">
        <v>1327</v>
      </c>
      <c r="AS21" s="2962" t="s">
        <v>3155</v>
      </c>
    </row>
    <row r="22" spans="1:45">
      <c r="A22" s="2962" t="s">
        <v>3267</v>
      </c>
      <c r="B22" s="2962" t="s">
        <v>3140</v>
      </c>
      <c r="C22" s="2962" t="s">
        <v>3141</v>
      </c>
      <c r="D22" s="2962" t="s">
        <v>3142</v>
      </c>
      <c r="E22" s="2962" t="s">
        <v>1327</v>
      </c>
      <c r="F22" s="2962" t="s">
        <v>3267</v>
      </c>
      <c r="G22" s="2962" t="s">
        <v>3143</v>
      </c>
      <c r="H22" s="2962" t="s">
        <v>3276</v>
      </c>
      <c r="I22" s="2962" t="s">
        <v>3158</v>
      </c>
      <c r="J22" s="2962">
        <v>145291</v>
      </c>
      <c r="K22" s="2962">
        <v>145291</v>
      </c>
      <c r="L22" s="2962" t="s">
        <v>3269</v>
      </c>
      <c r="M22" s="2962" t="s">
        <v>1327</v>
      </c>
      <c r="N22" s="2962" t="s">
        <v>3160</v>
      </c>
      <c r="O22" s="2962" t="s">
        <v>1327</v>
      </c>
      <c r="P22" s="2962" t="s">
        <v>1327</v>
      </c>
      <c r="Q22" s="2962" t="s">
        <v>1327</v>
      </c>
      <c r="R22" s="2962" t="s">
        <v>1327</v>
      </c>
      <c r="S22" s="2962" t="s">
        <v>1327</v>
      </c>
      <c r="T22" s="2962" t="s">
        <v>1327</v>
      </c>
      <c r="U22" s="2962" t="s">
        <v>1327</v>
      </c>
      <c r="V22" s="2962" t="s">
        <v>1327</v>
      </c>
      <c r="W22" s="2962" t="s">
        <v>3250</v>
      </c>
      <c r="X22" s="2962" t="s">
        <v>3258</v>
      </c>
      <c r="Y22" s="2962" t="s">
        <v>3259</v>
      </c>
      <c r="Z22" s="2962" t="s">
        <v>3259</v>
      </c>
      <c r="AA22" s="2962" t="s">
        <v>3259</v>
      </c>
      <c r="AB22" s="2962" t="s">
        <v>3277</v>
      </c>
      <c r="AC22" s="2962" t="s">
        <v>3152</v>
      </c>
      <c r="AD22" s="2962" t="s">
        <v>3241</v>
      </c>
      <c r="AE22" s="2962">
        <v>15720.49</v>
      </c>
      <c r="AF22" s="2962">
        <v>15720.48</v>
      </c>
      <c r="AG22" s="2962">
        <v>15720.48</v>
      </c>
      <c r="AH22" s="2962">
        <v>72.13</v>
      </c>
      <c r="AI22" s="2962">
        <v>72.13</v>
      </c>
      <c r="AJ22" s="2962">
        <v>1082</v>
      </c>
      <c r="AK22" s="2962">
        <v>1082</v>
      </c>
      <c r="AL22" s="2962" t="s">
        <v>1327</v>
      </c>
      <c r="AM22" s="2962" t="s">
        <v>1327</v>
      </c>
      <c r="AN22" s="2962">
        <v>0</v>
      </c>
      <c r="AO22" s="2962" t="s">
        <v>3154</v>
      </c>
      <c r="AP22" s="2962" t="s">
        <v>1327</v>
      </c>
      <c r="AQ22" s="2962" t="s">
        <v>1327</v>
      </c>
      <c r="AR22" s="2962" t="s">
        <v>1327</v>
      </c>
      <c r="AS22" s="2962" t="s">
        <v>3155</v>
      </c>
    </row>
    <row r="23" spans="1:45">
      <c r="A23" s="2962" t="s">
        <v>3267</v>
      </c>
      <c r="B23" s="2962" t="s">
        <v>3140</v>
      </c>
      <c r="C23" s="2962" t="s">
        <v>3141</v>
      </c>
      <c r="D23" s="2962" t="s">
        <v>3142</v>
      </c>
      <c r="E23" s="2962" t="s">
        <v>1327</v>
      </c>
      <c r="F23" s="2962" t="s">
        <v>3267</v>
      </c>
      <c r="G23" s="2962" t="s">
        <v>3143</v>
      </c>
      <c r="H23" s="2962" t="s">
        <v>3278</v>
      </c>
      <c r="I23" s="2962" t="s">
        <v>3158</v>
      </c>
      <c r="J23" s="2962">
        <v>118912</v>
      </c>
      <c r="K23" s="2962">
        <v>118912</v>
      </c>
      <c r="L23" s="2962" t="s">
        <v>3269</v>
      </c>
      <c r="M23" s="2962" t="s">
        <v>1327</v>
      </c>
      <c r="N23" s="2962" t="s">
        <v>3160</v>
      </c>
      <c r="O23" s="2962" t="s">
        <v>1327</v>
      </c>
      <c r="P23" s="2962" t="s">
        <v>1327</v>
      </c>
      <c r="Q23" s="2962" t="s">
        <v>1327</v>
      </c>
      <c r="R23" s="2962" t="s">
        <v>1327</v>
      </c>
      <c r="S23" s="2962" t="s">
        <v>1327</v>
      </c>
      <c r="T23" s="2962" t="s">
        <v>1327</v>
      </c>
      <c r="U23" s="2962" t="s">
        <v>1327</v>
      </c>
      <c r="V23" s="2962" t="s">
        <v>1327</v>
      </c>
      <c r="W23" s="2962" t="s">
        <v>3250</v>
      </c>
      <c r="X23" s="2962" t="s">
        <v>3258</v>
      </c>
      <c r="Y23" s="2962" t="s">
        <v>3259</v>
      </c>
      <c r="Z23" s="2962" t="s">
        <v>3259</v>
      </c>
      <c r="AA23" s="2962" t="s">
        <v>3259</v>
      </c>
      <c r="AB23" s="2962" t="s">
        <v>3279</v>
      </c>
      <c r="AC23" s="2962" t="s">
        <v>3152</v>
      </c>
      <c r="AD23" s="2962" t="s">
        <v>3241</v>
      </c>
      <c r="AE23" s="2962">
        <v>12866.28</v>
      </c>
      <c r="AF23" s="2962">
        <v>12866.28</v>
      </c>
      <c r="AG23" s="2962">
        <v>12866.28</v>
      </c>
      <c r="AH23" s="2962">
        <v>72.13</v>
      </c>
      <c r="AI23" s="2962">
        <v>72.13</v>
      </c>
      <c r="AJ23" s="2962">
        <v>1082</v>
      </c>
      <c r="AK23" s="2962">
        <v>1082</v>
      </c>
      <c r="AL23" s="2962" t="s">
        <v>1327</v>
      </c>
      <c r="AM23" s="2962" t="s">
        <v>1327</v>
      </c>
      <c r="AN23" s="2962">
        <v>0</v>
      </c>
      <c r="AO23" s="2962" t="s">
        <v>3154</v>
      </c>
      <c r="AP23" s="2962" t="s">
        <v>1327</v>
      </c>
      <c r="AQ23" s="2962" t="s">
        <v>1327</v>
      </c>
      <c r="AR23" s="2962" t="s">
        <v>1327</v>
      </c>
      <c r="AS23" s="2962" t="s">
        <v>3155</v>
      </c>
    </row>
    <row r="24" spans="1:45">
      <c r="A24" s="2962" t="s">
        <v>3280</v>
      </c>
      <c r="B24" s="2962" t="s">
        <v>3140</v>
      </c>
      <c r="C24" s="2962" t="s">
        <v>3141</v>
      </c>
      <c r="D24" s="2962" t="s">
        <v>3142</v>
      </c>
      <c r="E24" s="2962" t="s">
        <v>1327</v>
      </c>
      <c r="F24" s="2962" t="s">
        <v>3280</v>
      </c>
      <c r="G24" s="2962" t="s">
        <v>3143</v>
      </c>
      <c r="H24" s="2962" t="s">
        <v>3281</v>
      </c>
      <c r="I24" s="2962" t="s">
        <v>3158</v>
      </c>
      <c r="J24" s="2962">
        <v>86336</v>
      </c>
      <c r="K24" s="2962">
        <v>86336</v>
      </c>
      <c r="L24" s="2962" t="s">
        <v>3269</v>
      </c>
      <c r="M24" s="2962" t="s">
        <v>1327</v>
      </c>
      <c r="N24" s="2962" t="s">
        <v>3160</v>
      </c>
      <c r="O24" s="2962" t="s">
        <v>1327</v>
      </c>
      <c r="P24" s="2962" t="s">
        <v>1327</v>
      </c>
      <c r="Q24" s="2962" t="s">
        <v>1327</v>
      </c>
      <c r="R24" s="2962" t="s">
        <v>1327</v>
      </c>
      <c r="S24" s="2962" t="s">
        <v>1327</v>
      </c>
      <c r="T24" s="2962" t="s">
        <v>1327</v>
      </c>
      <c r="U24" s="2962" t="s">
        <v>1327</v>
      </c>
      <c r="V24" s="2962" t="s">
        <v>1327</v>
      </c>
      <c r="W24" s="2962" t="s">
        <v>3250</v>
      </c>
      <c r="X24" s="2962" t="s">
        <v>3258</v>
      </c>
      <c r="Y24" s="2962" t="s">
        <v>3259</v>
      </c>
      <c r="Z24" s="2962" t="s">
        <v>3259</v>
      </c>
      <c r="AA24" s="2962" t="s">
        <v>3259</v>
      </c>
      <c r="AB24" s="2962" t="s">
        <v>3282</v>
      </c>
      <c r="AC24" s="2962" t="s">
        <v>3152</v>
      </c>
      <c r="AD24" s="2962" t="s">
        <v>3241</v>
      </c>
      <c r="AE24" s="2962">
        <v>9358.82</v>
      </c>
      <c r="AF24" s="2962">
        <v>9358.81</v>
      </c>
      <c r="AG24" s="2962">
        <v>9358.81</v>
      </c>
      <c r="AH24" s="2962">
        <v>72.27</v>
      </c>
      <c r="AI24" s="2962">
        <v>72.27</v>
      </c>
      <c r="AJ24" s="2962">
        <v>1083.99</v>
      </c>
      <c r="AK24" s="2962">
        <v>1084</v>
      </c>
      <c r="AL24" s="2962" t="s">
        <v>1327</v>
      </c>
      <c r="AM24" s="2962" t="s">
        <v>1327</v>
      </c>
      <c r="AN24" s="2962">
        <v>0</v>
      </c>
      <c r="AO24" s="2962" t="s">
        <v>3154</v>
      </c>
      <c r="AP24" s="2962" t="s">
        <v>1327</v>
      </c>
      <c r="AQ24" s="2962" t="s">
        <v>1327</v>
      </c>
      <c r="AR24" s="2962" t="s">
        <v>1327</v>
      </c>
      <c r="AS24" s="2962" t="s">
        <v>3155</v>
      </c>
    </row>
    <row r="25" spans="1:45">
      <c r="A25" s="2962" t="s">
        <v>3267</v>
      </c>
      <c r="B25" s="2962" t="s">
        <v>3140</v>
      </c>
      <c r="C25" s="2962" t="s">
        <v>3141</v>
      </c>
      <c r="D25" s="2962" t="s">
        <v>3142</v>
      </c>
      <c r="E25" s="2962" t="s">
        <v>1327</v>
      </c>
      <c r="F25" s="2962" t="s">
        <v>3267</v>
      </c>
      <c r="G25" s="2962" t="s">
        <v>3143</v>
      </c>
      <c r="H25" s="2962" t="s">
        <v>3283</v>
      </c>
      <c r="I25" s="2962" t="s">
        <v>3158</v>
      </c>
      <c r="J25" s="2962">
        <v>73850</v>
      </c>
      <c r="K25" s="2962">
        <v>73850</v>
      </c>
      <c r="L25" s="2962" t="s">
        <v>3269</v>
      </c>
      <c r="M25" s="2962" t="s">
        <v>1327</v>
      </c>
      <c r="N25" s="2962" t="s">
        <v>3160</v>
      </c>
      <c r="O25" s="2962" t="s">
        <v>1327</v>
      </c>
      <c r="P25" s="2962" t="s">
        <v>1327</v>
      </c>
      <c r="Q25" s="2962" t="s">
        <v>1327</v>
      </c>
      <c r="R25" s="2962" t="s">
        <v>1327</v>
      </c>
      <c r="S25" s="2962" t="s">
        <v>1327</v>
      </c>
      <c r="T25" s="2962" t="s">
        <v>1327</v>
      </c>
      <c r="U25" s="2962" t="s">
        <v>1327</v>
      </c>
      <c r="V25" s="2962" t="s">
        <v>1327</v>
      </c>
      <c r="W25" s="2962" t="s">
        <v>3250</v>
      </c>
      <c r="X25" s="2962" t="s">
        <v>3258</v>
      </c>
      <c r="Y25" s="2962" t="s">
        <v>3259</v>
      </c>
      <c r="Z25" s="2962" t="s">
        <v>3259</v>
      </c>
      <c r="AA25" s="2962" t="s">
        <v>3259</v>
      </c>
      <c r="AB25" s="2962" t="s">
        <v>3284</v>
      </c>
      <c r="AC25" s="2962" t="s">
        <v>3152</v>
      </c>
      <c r="AD25" s="2962" t="s">
        <v>3241</v>
      </c>
      <c r="AE25" s="2962">
        <v>7990.57</v>
      </c>
      <c r="AF25" s="2962">
        <v>7990.56</v>
      </c>
      <c r="AG25" s="2962">
        <v>7990.56</v>
      </c>
      <c r="AH25" s="2962">
        <v>72.13</v>
      </c>
      <c r="AI25" s="2962">
        <v>72.13</v>
      </c>
      <c r="AJ25" s="2962">
        <v>1082</v>
      </c>
      <c r="AK25" s="2962">
        <v>1082</v>
      </c>
      <c r="AL25" s="2962" t="s">
        <v>1327</v>
      </c>
      <c r="AM25" s="2962" t="s">
        <v>1327</v>
      </c>
      <c r="AN25" s="2962">
        <v>0</v>
      </c>
      <c r="AO25" s="2962" t="s">
        <v>3154</v>
      </c>
      <c r="AP25" s="2962" t="s">
        <v>1327</v>
      </c>
      <c r="AQ25" s="2962" t="s">
        <v>1327</v>
      </c>
      <c r="AR25" s="2962" t="s">
        <v>1327</v>
      </c>
      <c r="AS25" s="2962" t="s">
        <v>3155</v>
      </c>
    </row>
    <row r="26" spans="1:45">
      <c r="A26" s="2962" t="s">
        <v>3285</v>
      </c>
      <c r="B26" s="2962" t="s">
        <v>3140</v>
      </c>
      <c r="C26" s="2962" t="s">
        <v>3141</v>
      </c>
      <c r="D26" s="2962" t="s">
        <v>3142</v>
      </c>
      <c r="E26" s="2962" t="s">
        <v>1327</v>
      </c>
      <c r="F26" s="2962" t="s">
        <v>3285</v>
      </c>
      <c r="G26" s="2962" t="s">
        <v>3143</v>
      </c>
      <c r="H26" s="2962" t="s">
        <v>3286</v>
      </c>
      <c r="I26" s="2962" t="s">
        <v>3249</v>
      </c>
      <c r="J26" s="2962">
        <v>47284</v>
      </c>
      <c r="K26" s="2962">
        <v>70926</v>
      </c>
      <c r="L26" s="2962" t="s">
        <v>3210</v>
      </c>
      <c r="M26" s="2962" t="s">
        <v>1327</v>
      </c>
      <c r="N26" s="2962" t="s">
        <v>3160</v>
      </c>
      <c r="O26" s="2962" t="s">
        <v>1327</v>
      </c>
      <c r="P26" s="2962" t="s">
        <v>1327</v>
      </c>
      <c r="Q26" s="2962" t="s">
        <v>1327</v>
      </c>
      <c r="R26" s="2962" t="s">
        <v>1327</v>
      </c>
      <c r="S26" s="2962" t="s">
        <v>1327</v>
      </c>
      <c r="T26" s="2962" t="s">
        <v>1327</v>
      </c>
      <c r="U26" s="2962" t="s">
        <v>1327</v>
      </c>
      <c r="V26" s="2962" t="s">
        <v>1327</v>
      </c>
      <c r="W26" s="2962" t="s">
        <v>3250</v>
      </c>
      <c r="X26" s="2962" t="s">
        <v>3258</v>
      </c>
      <c r="Y26" s="2962" t="s">
        <v>3259</v>
      </c>
      <c r="Z26" s="2962" t="s">
        <v>3259</v>
      </c>
      <c r="AA26" s="2962" t="s">
        <v>3259</v>
      </c>
      <c r="AB26" s="2962" t="s">
        <v>3287</v>
      </c>
      <c r="AC26" s="2962" t="s">
        <v>3152</v>
      </c>
      <c r="AD26" s="2962" t="s">
        <v>3241</v>
      </c>
      <c r="AE26" s="2962">
        <v>6652.86</v>
      </c>
      <c r="AF26" s="2962">
        <v>6652.85</v>
      </c>
      <c r="AG26" s="2962">
        <v>6652.85</v>
      </c>
      <c r="AH26" s="2962">
        <v>93.8</v>
      </c>
      <c r="AI26" s="2962">
        <v>93.8</v>
      </c>
      <c r="AJ26" s="2962">
        <v>938</v>
      </c>
      <c r="AK26" s="2962">
        <v>938</v>
      </c>
      <c r="AL26" s="2962" t="s">
        <v>1327</v>
      </c>
      <c r="AM26" s="2962" t="s">
        <v>1327</v>
      </c>
      <c r="AN26" s="2962">
        <v>0</v>
      </c>
      <c r="AO26" s="2962" t="s">
        <v>3154</v>
      </c>
      <c r="AP26" s="2962" t="s">
        <v>1327</v>
      </c>
      <c r="AQ26" s="2962" t="s">
        <v>1327</v>
      </c>
      <c r="AR26" s="2962" t="s">
        <v>1327</v>
      </c>
      <c r="AS26" s="2962" t="s">
        <v>3155</v>
      </c>
    </row>
    <row r="27" spans="1:45">
      <c r="A27" s="2962" t="s">
        <v>3267</v>
      </c>
      <c r="B27" s="2962" t="s">
        <v>3140</v>
      </c>
      <c r="C27" s="2962" t="s">
        <v>3141</v>
      </c>
      <c r="D27" s="2962" t="s">
        <v>3142</v>
      </c>
      <c r="E27" s="2962" t="s">
        <v>1327</v>
      </c>
      <c r="F27" s="2962" t="s">
        <v>3267</v>
      </c>
      <c r="G27" s="2962" t="s">
        <v>3143</v>
      </c>
      <c r="H27" s="2962" t="s">
        <v>3288</v>
      </c>
      <c r="I27" s="2962" t="s">
        <v>3158</v>
      </c>
      <c r="J27" s="2962">
        <v>70290</v>
      </c>
      <c r="K27" s="2962">
        <v>70290</v>
      </c>
      <c r="L27" s="2962" t="s">
        <v>3218</v>
      </c>
      <c r="M27" s="2962" t="s">
        <v>1327</v>
      </c>
      <c r="N27" s="2962" t="s">
        <v>3289</v>
      </c>
      <c r="O27" s="2962" t="s">
        <v>1327</v>
      </c>
      <c r="P27" s="2962" t="s">
        <v>1327</v>
      </c>
      <c r="Q27" s="2962" t="s">
        <v>1327</v>
      </c>
      <c r="R27" s="2962" t="s">
        <v>1327</v>
      </c>
      <c r="S27" s="2962" t="s">
        <v>1327</v>
      </c>
      <c r="T27" s="2962" t="s">
        <v>1327</v>
      </c>
      <c r="U27" s="2962" t="s">
        <v>1327</v>
      </c>
      <c r="V27" s="2962" t="s">
        <v>1327</v>
      </c>
      <c r="W27" s="2962" t="s">
        <v>3250</v>
      </c>
      <c r="X27" s="2962" t="s">
        <v>3290</v>
      </c>
      <c r="Y27" s="2962" t="s">
        <v>3291</v>
      </c>
      <c r="Z27" s="2962" t="s">
        <v>3291</v>
      </c>
      <c r="AA27" s="2962" t="s">
        <v>3291</v>
      </c>
      <c r="AB27" s="2962" t="s">
        <v>3292</v>
      </c>
      <c r="AC27" s="2962" t="s">
        <v>3152</v>
      </c>
      <c r="AD27" s="2962" t="s">
        <v>3241</v>
      </c>
      <c r="AE27" s="2962">
        <v>4245.5200000000004</v>
      </c>
      <c r="AF27" s="2962">
        <v>4245.5200000000004</v>
      </c>
      <c r="AG27" s="2962">
        <v>4245.5200000000004</v>
      </c>
      <c r="AH27" s="2962">
        <v>40.270000000000003</v>
      </c>
      <c r="AI27" s="2962">
        <v>40.270000000000003</v>
      </c>
      <c r="AJ27" s="2962">
        <v>604</v>
      </c>
      <c r="AK27" s="2962">
        <v>604</v>
      </c>
      <c r="AL27" s="2962" t="s">
        <v>1327</v>
      </c>
      <c r="AM27" s="2962" t="s">
        <v>1327</v>
      </c>
      <c r="AN27" s="2962">
        <v>0</v>
      </c>
      <c r="AO27" s="2962" t="s">
        <v>3154</v>
      </c>
      <c r="AP27" s="2962" t="s">
        <v>1327</v>
      </c>
      <c r="AQ27" s="2962" t="s">
        <v>1327</v>
      </c>
      <c r="AR27" s="2962" t="s">
        <v>1327</v>
      </c>
      <c r="AS27" s="2962" t="s">
        <v>3155</v>
      </c>
    </row>
    <row r="28" spans="1:45">
      <c r="A28" s="2962" t="s">
        <v>3238</v>
      </c>
      <c r="B28" s="2962" t="s">
        <v>3140</v>
      </c>
      <c r="C28" s="2962" t="s">
        <v>3141</v>
      </c>
      <c r="D28" s="2962" t="s">
        <v>3142</v>
      </c>
      <c r="E28" s="2962" t="s">
        <v>1327</v>
      </c>
      <c r="F28" s="2962" t="s">
        <v>3238</v>
      </c>
      <c r="G28" s="2962" t="s">
        <v>3143</v>
      </c>
      <c r="H28" s="2962" t="s">
        <v>3293</v>
      </c>
      <c r="I28" s="2962" t="s">
        <v>3232</v>
      </c>
      <c r="J28" s="2962">
        <v>37891</v>
      </c>
      <c r="K28" s="2962">
        <v>22734.6</v>
      </c>
      <c r="L28" s="2962" t="s">
        <v>3184</v>
      </c>
      <c r="M28" s="2962" t="s">
        <v>1327</v>
      </c>
      <c r="N28" s="2962" t="s">
        <v>3289</v>
      </c>
      <c r="O28" s="2962" t="s">
        <v>1327</v>
      </c>
      <c r="P28" s="2962" t="s">
        <v>1327</v>
      </c>
      <c r="Q28" s="2962" t="s">
        <v>1327</v>
      </c>
      <c r="R28" s="2962" t="s">
        <v>1327</v>
      </c>
      <c r="S28" s="2962" t="s">
        <v>1327</v>
      </c>
      <c r="T28" s="2962" t="s">
        <v>1327</v>
      </c>
      <c r="U28" s="2962" t="s">
        <v>1327</v>
      </c>
      <c r="V28" s="2962" t="s">
        <v>1327</v>
      </c>
      <c r="W28" s="2962" t="s">
        <v>3250</v>
      </c>
      <c r="X28" s="2962" t="s">
        <v>3290</v>
      </c>
      <c r="Y28" s="2962" t="s">
        <v>3291</v>
      </c>
      <c r="Z28" s="2962" t="s">
        <v>3291</v>
      </c>
      <c r="AA28" s="2962" t="s">
        <v>3291</v>
      </c>
      <c r="AB28" s="2962" t="s">
        <v>3294</v>
      </c>
      <c r="AC28" s="2962" t="s">
        <v>3152</v>
      </c>
      <c r="AD28" s="2962" t="s">
        <v>3241</v>
      </c>
      <c r="AE28" s="2962">
        <v>2603.11</v>
      </c>
      <c r="AF28" s="2962">
        <v>2603.11</v>
      </c>
      <c r="AG28" s="2962">
        <v>2603.11</v>
      </c>
      <c r="AH28" s="2962">
        <v>45.8</v>
      </c>
      <c r="AI28" s="2962">
        <v>45.8</v>
      </c>
      <c r="AJ28" s="2962">
        <v>1144.99</v>
      </c>
      <c r="AK28" s="2962">
        <v>1145</v>
      </c>
      <c r="AL28" s="2962" t="s">
        <v>1327</v>
      </c>
      <c r="AM28" s="2962" t="s">
        <v>1327</v>
      </c>
      <c r="AN28" s="2962">
        <v>0</v>
      </c>
      <c r="AO28" s="2962" t="s">
        <v>3154</v>
      </c>
      <c r="AP28" s="2962" t="s">
        <v>1327</v>
      </c>
      <c r="AQ28" s="2962" t="s">
        <v>1327</v>
      </c>
      <c r="AR28" s="2962" t="s">
        <v>1327</v>
      </c>
      <c r="AS28" s="2962" t="s">
        <v>3155</v>
      </c>
    </row>
    <row r="29" spans="1:45">
      <c r="A29" s="2962" t="s">
        <v>3238</v>
      </c>
      <c r="B29" s="2962" t="s">
        <v>3140</v>
      </c>
      <c r="C29" s="2962" t="s">
        <v>3141</v>
      </c>
      <c r="D29" s="2962" t="s">
        <v>3142</v>
      </c>
      <c r="E29" s="2962" t="s">
        <v>1327</v>
      </c>
      <c r="F29" s="2962" t="s">
        <v>3238</v>
      </c>
      <c r="G29" s="2962" t="s">
        <v>3143</v>
      </c>
      <c r="H29" s="2962" t="s">
        <v>3295</v>
      </c>
      <c r="I29" s="2962" t="s">
        <v>3232</v>
      </c>
      <c r="J29" s="2962">
        <v>64545</v>
      </c>
      <c r="K29" s="2962">
        <v>38727</v>
      </c>
      <c r="L29" s="2962" t="s">
        <v>3184</v>
      </c>
      <c r="M29" s="2962" t="s">
        <v>1327</v>
      </c>
      <c r="N29" s="2962" t="s">
        <v>3289</v>
      </c>
      <c r="O29" s="2962" t="s">
        <v>1327</v>
      </c>
      <c r="P29" s="2962" t="s">
        <v>1327</v>
      </c>
      <c r="Q29" s="2962" t="s">
        <v>1327</v>
      </c>
      <c r="R29" s="2962" t="s">
        <v>1327</v>
      </c>
      <c r="S29" s="2962" t="s">
        <v>1327</v>
      </c>
      <c r="T29" s="2962" t="s">
        <v>1327</v>
      </c>
      <c r="U29" s="2962" t="s">
        <v>1327</v>
      </c>
      <c r="V29" s="2962" t="s">
        <v>1327</v>
      </c>
      <c r="W29" s="2962" t="s">
        <v>3250</v>
      </c>
      <c r="X29" s="2962" t="s">
        <v>3290</v>
      </c>
      <c r="Y29" s="2962" t="s">
        <v>3291</v>
      </c>
      <c r="Z29" s="2962" t="s">
        <v>3291</v>
      </c>
      <c r="AA29" s="2962" t="s">
        <v>3291</v>
      </c>
      <c r="AB29" s="2962" t="s">
        <v>3296</v>
      </c>
      <c r="AC29" s="2962" t="s">
        <v>3152</v>
      </c>
      <c r="AD29" s="2962" t="s">
        <v>3241</v>
      </c>
      <c r="AE29" s="2962">
        <v>4488.46</v>
      </c>
      <c r="AF29" s="2962">
        <v>4488.46</v>
      </c>
      <c r="AG29" s="2962">
        <v>4488.46</v>
      </c>
      <c r="AH29" s="2962">
        <v>46.36</v>
      </c>
      <c r="AI29" s="2962">
        <v>46.36</v>
      </c>
      <c r="AJ29" s="2962">
        <v>1159</v>
      </c>
      <c r="AK29" s="2962">
        <v>1159</v>
      </c>
      <c r="AL29" s="2962" t="s">
        <v>1327</v>
      </c>
      <c r="AM29" s="2962" t="s">
        <v>1327</v>
      </c>
      <c r="AN29" s="2962">
        <v>0</v>
      </c>
      <c r="AO29" s="2962" t="s">
        <v>3154</v>
      </c>
      <c r="AP29" s="2962" t="s">
        <v>1327</v>
      </c>
      <c r="AQ29" s="2962" t="s">
        <v>1327</v>
      </c>
      <c r="AR29" s="2962" t="s">
        <v>1327</v>
      </c>
      <c r="AS29" s="2962" t="s">
        <v>3155</v>
      </c>
    </row>
    <row r="30" spans="1:45">
      <c r="A30" s="2962" t="s">
        <v>3238</v>
      </c>
      <c r="B30" s="2962" t="s">
        <v>3140</v>
      </c>
      <c r="C30" s="2962" t="s">
        <v>3141</v>
      </c>
      <c r="D30" s="2962" t="s">
        <v>3142</v>
      </c>
      <c r="E30" s="2962" t="s">
        <v>1327</v>
      </c>
      <c r="F30" s="2962" t="s">
        <v>3238</v>
      </c>
      <c r="G30" s="2962" t="s">
        <v>3143</v>
      </c>
      <c r="H30" s="2962" t="s">
        <v>3297</v>
      </c>
      <c r="I30" s="2962" t="s">
        <v>3232</v>
      </c>
      <c r="J30" s="2962">
        <v>48280</v>
      </c>
      <c r="K30" s="2962">
        <v>28968</v>
      </c>
      <c r="L30" s="2962" t="s">
        <v>3184</v>
      </c>
      <c r="M30" s="2962" t="s">
        <v>1327</v>
      </c>
      <c r="N30" s="2962" t="s">
        <v>3289</v>
      </c>
      <c r="O30" s="2962" t="s">
        <v>1327</v>
      </c>
      <c r="P30" s="2962" t="s">
        <v>1327</v>
      </c>
      <c r="Q30" s="2962" t="s">
        <v>1327</v>
      </c>
      <c r="R30" s="2962" t="s">
        <v>1327</v>
      </c>
      <c r="S30" s="2962" t="s">
        <v>1327</v>
      </c>
      <c r="T30" s="2962" t="s">
        <v>1327</v>
      </c>
      <c r="U30" s="2962" t="s">
        <v>1327</v>
      </c>
      <c r="V30" s="2962" t="s">
        <v>1327</v>
      </c>
      <c r="W30" s="2962" t="s">
        <v>3250</v>
      </c>
      <c r="X30" s="2962" t="s">
        <v>3290</v>
      </c>
      <c r="Y30" s="2962" t="s">
        <v>3291</v>
      </c>
      <c r="Z30" s="2962" t="s">
        <v>3291</v>
      </c>
      <c r="AA30" s="2962" t="s">
        <v>3291</v>
      </c>
      <c r="AB30" s="2962" t="s">
        <v>3298</v>
      </c>
      <c r="AC30" s="2962" t="s">
        <v>3152</v>
      </c>
      <c r="AD30" s="2962" t="s">
        <v>3241</v>
      </c>
      <c r="AE30" s="2962">
        <v>3316.84</v>
      </c>
      <c r="AF30" s="2962">
        <v>3316.84</v>
      </c>
      <c r="AG30" s="2962">
        <v>3316.84</v>
      </c>
      <c r="AH30" s="2962">
        <v>45.8</v>
      </c>
      <c r="AI30" s="2962">
        <v>45.8</v>
      </c>
      <c r="AJ30" s="2962">
        <v>1145</v>
      </c>
      <c r="AK30" s="2962">
        <v>1145</v>
      </c>
      <c r="AL30" s="2962" t="s">
        <v>1327</v>
      </c>
      <c r="AM30" s="2962" t="s">
        <v>1327</v>
      </c>
      <c r="AN30" s="2962">
        <v>0</v>
      </c>
      <c r="AO30" s="2962" t="s">
        <v>3154</v>
      </c>
      <c r="AP30" s="2962" t="s">
        <v>1327</v>
      </c>
      <c r="AQ30" s="2962" t="s">
        <v>1327</v>
      </c>
      <c r="AR30" s="2962" t="s">
        <v>1327</v>
      </c>
      <c r="AS30" s="2962" t="s">
        <v>3155</v>
      </c>
    </row>
    <row r="31" spans="1:45">
      <c r="A31" s="2962" t="s">
        <v>3299</v>
      </c>
      <c r="B31" s="2962" t="s">
        <v>3140</v>
      </c>
      <c r="C31" s="2962" t="s">
        <v>3141</v>
      </c>
      <c r="D31" s="2962" t="s">
        <v>3142</v>
      </c>
      <c r="E31" s="2962" t="s">
        <v>1327</v>
      </c>
      <c r="F31" s="2962" t="s">
        <v>3299</v>
      </c>
      <c r="G31" s="2962" t="s">
        <v>3143</v>
      </c>
      <c r="H31" s="2962" t="s">
        <v>3300</v>
      </c>
      <c r="I31" s="2962" t="s">
        <v>3158</v>
      </c>
      <c r="J31" s="2962">
        <v>14155</v>
      </c>
      <c r="K31" s="2962">
        <v>14155</v>
      </c>
      <c r="L31" s="2962" t="s">
        <v>3218</v>
      </c>
      <c r="M31" s="2962" t="s">
        <v>1327</v>
      </c>
      <c r="N31" s="2962" t="s">
        <v>3289</v>
      </c>
      <c r="O31" s="2962" t="s">
        <v>1327</v>
      </c>
      <c r="P31" s="2962" t="s">
        <v>1327</v>
      </c>
      <c r="Q31" s="2962" t="s">
        <v>1327</v>
      </c>
      <c r="R31" s="2962" t="s">
        <v>1327</v>
      </c>
      <c r="S31" s="2962" t="s">
        <v>1327</v>
      </c>
      <c r="T31" s="2962" t="s">
        <v>1327</v>
      </c>
      <c r="U31" s="2962" t="s">
        <v>1327</v>
      </c>
      <c r="V31" s="2962" t="s">
        <v>1327</v>
      </c>
      <c r="W31" s="2962" t="s">
        <v>3250</v>
      </c>
      <c r="X31" s="2962" t="s">
        <v>3290</v>
      </c>
      <c r="Y31" s="2962" t="s">
        <v>3291</v>
      </c>
      <c r="Z31" s="2962" t="s">
        <v>3291</v>
      </c>
      <c r="AA31" s="2962" t="s">
        <v>3291</v>
      </c>
      <c r="AB31" s="2962" t="s">
        <v>3301</v>
      </c>
      <c r="AC31" s="2962" t="s">
        <v>3152</v>
      </c>
      <c r="AD31" s="2962" t="s">
        <v>3241</v>
      </c>
      <c r="AE31" s="2962">
        <v>854.96</v>
      </c>
      <c r="AF31" s="2962">
        <v>854.96</v>
      </c>
      <c r="AG31" s="2962">
        <v>854.96</v>
      </c>
      <c r="AH31" s="2962">
        <v>40.270000000000003</v>
      </c>
      <c r="AI31" s="2962">
        <v>40.270000000000003</v>
      </c>
      <c r="AJ31" s="2962">
        <v>603.99</v>
      </c>
      <c r="AK31" s="2962">
        <v>604</v>
      </c>
      <c r="AL31" s="2962" t="s">
        <v>1327</v>
      </c>
      <c r="AM31" s="2962" t="s">
        <v>1327</v>
      </c>
      <c r="AN31" s="2962">
        <v>0</v>
      </c>
      <c r="AO31" s="2962" t="s">
        <v>3154</v>
      </c>
      <c r="AP31" s="2962" t="s">
        <v>1327</v>
      </c>
      <c r="AQ31" s="2962" t="s">
        <v>1327</v>
      </c>
      <c r="AR31" s="2962" t="s">
        <v>1327</v>
      </c>
      <c r="AS31" s="2962" t="s">
        <v>3155</v>
      </c>
    </row>
    <row r="32" spans="1:45">
      <c r="A32" s="2962" t="s">
        <v>3302</v>
      </c>
      <c r="B32" s="2962" t="s">
        <v>3140</v>
      </c>
      <c r="C32" s="2962" t="s">
        <v>3141</v>
      </c>
      <c r="D32" s="2962" t="s">
        <v>3142</v>
      </c>
      <c r="E32" s="2962" t="s">
        <v>1327</v>
      </c>
      <c r="F32" s="2962" t="s">
        <v>3302</v>
      </c>
      <c r="G32" s="2962" t="s">
        <v>3143</v>
      </c>
      <c r="H32" s="2962" t="s">
        <v>3303</v>
      </c>
      <c r="I32" s="2962" t="s">
        <v>3158</v>
      </c>
      <c r="J32" s="2962">
        <v>20040</v>
      </c>
      <c r="K32" s="2962">
        <v>20040</v>
      </c>
      <c r="L32" s="2962" t="s">
        <v>3218</v>
      </c>
      <c r="M32" s="2962" t="s">
        <v>1327</v>
      </c>
      <c r="N32" s="2962" t="s">
        <v>3289</v>
      </c>
      <c r="O32" s="2962" t="s">
        <v>1327</v>
      </c>
      <c r="P32" s="2962" t="s">
        <v>1327</v>
      </c>
      <c r="Q32" s="2962" t="s">
        <v>1327</v>
      </c>
      <c r="R32" s="2962" t="s">
        <v>1327</v>
      </c>
      <c r="S32" s="2962" t="s">
        <v>1327</v>
      </c>
      <c r="T32" s="2962" t="s">
        <v>1327</v>
      </c>
      <c r="U32" s="2962" t="s">
        <v>1327</v>
      </c>
      <c r="V32" s="2962" t="s">
        <v>1327</v>
      </c>
      <c r="W32" s="2962" t="s">
        <v>3250</v>
      </c>
      <c r="X32" s="2962" t="s">
        <v>3290</v>
      </c>
      <c r="Y32" s="2962" t="s">
        <v>3291</v>
      </c>
      <c r="Z32" s="2962" t="s">
        <v>3291</v>
      </c>
      <c r="AA32" s="2962" t="s">
        <v>3291</v>
      </c>
      <c r="AB32" s="2962" t="s">
        <v>3304</v>
      </c>
      <c r="AC32" s="2962" t="s">
        <v>3152</v>
      </c>
      <c r="AD32" s="2962" t="s">
        <v>3241</v>
      </c>
      <c r="AE32" s="2962">
        <v>1226.45</v>
      </c>
      <c r="AF32" s="2962">
        <v>1226.45</v>
      </c>
      <c r="AG32" s="2962">
        <v>1226.45</v>
      </c>
      <c r="AH32" s="2962">
        <v>40.799999999999997</v>
      </c>
      <c r="AI32" s="2962">
        <v>40.799999999999997</v>
      </c>
      <c r="AJ32" s="2962">
        <v>612</v>
      </c>
      <c r="AK32" s="2962">
        <v>612</v>
      </c>
      <c r="AL32" s="2962" t="s">
        <v>1327</v>
      </c>
      <c r="AM32" s="2962" t="s">
        <v>1327</v>
      </c>
      <c r="AN32" s="2962">
        <v>0</v>
      </c>
      <c r="AO32" s="2962" t="s">
        <v>3154</v>
      </c>
      <c r="AP32" s="2962" t="s">
        <v>1327</v>
      </c>
      <c r="AQ32" s="2962" t="s">
        <v>1327</v>
      </c>
      <c r="AR32" s="2962" t="s">
        <v>1327</v>
      </c>
      <c r="AS32" s="2962" t="s">
        <v>3155</v>
      </c>
    </row>
    <row r="33" spans="1:45">
      <c r="A33" s="2962" t="s">
        <v>3238</v>
      </c>
      <c r="B33" s="2962" t="s">
        <v>3140</v>
      </c>
      <c r="C33" s="2962" t="s">
        <v>3141</v>
      </c>
      <c r="D33" s="2962" t="s">
        <v>3142</v>
      </c>
      <c r="E33" s="2962" t="s">
        <v>1327</v>
      </c>
      <c r="F33" s="2962" t="s">
        <v>3238</v>
      </c>
      <c r="G33" s="2962" t="s">
        <v>3143</v>
      </c>
      <c r="H33" s="2962" t="s">
        <v>3305</v>
      </c>
      <c r="I33" s="2962" t="s">
        <v>3232</v>
      </c>
      <c r="J33" s="2962">
        <v>50313</v>
      </c>
      <c r="K33" s="2962">
        <v>30187.8</v>
      </c>
      <c r="L33" s="2962" t="s">
        <v>3184</v>
      </c>
      <c r="M33" s="2962" t="s">
        <v>1327</v>
      </c>
      <c r="N33" s="2962" t="s">
        <v>3289</v>
      </c>
      <c r="O33" s="2962" t="s">
        <v>1327</v>
      </c>
      <c r="P33" s="2962" t="s">
        <v>1327</v>
      </c>
      <c r="Q33" s="2962" t="s">
        <v>1327</v>
      </c>
      <c r="R33" s="2962" t="s">
        <v>1327</v>
      </c>
      <c r="S33" s="2962" t="s">
        <v>1327</v>
      </c>
      <c r="T33" s="2962" t="s">
        <v>1327</v>
      </c>
      <c r="U33" s="2962" t="s">
        <v>1327</v>
      </c>
      <c r="V33" s="2962" t="s">
        <v>1327</v>
      </c>
      <c r="W33" s="2962" t="s">
        <v>3250</v>
      </c>
      <c r="X33" s="2962" t="s">
        <v>3290</v>
      </c>
      <c r="Y33" s="2962" t="s">
        <v>3291</v>
      </c>
      <c r="Z33" s="2962" t="s">
        <v>3291</v>
      </c>
      <c r="AA33" s="2962" t="s">
        <v>3291</v>
      </c>
      <c r="AB33" s="2962" t="s">
        <v>3306</v>
      </c>
      <c r="AC33" s="2962" t="s">
        <v>3152</v>
      </c>
      <c r="AD33" s="2962" t="s">
        <v>3241</v>
      </c>
      <c r="AE33" s="2962">
        <v>3456.5</v>
      </c>
      <c r="AF33" s="2962">
        <v>3456.5</v>
      </c>
      <c r="AG33" s="2962">
        <v>3456.5</v>
      </c>
      <c r="AH33" s="2962">
        <v>45.8</v>
      </c>
      <c r="AI33" s="2962">
        <v>45.8</v>
      </c>
      <c r="AJ33" s="2962">
        <v>1144.99</v>
      </c>
      <c r="AK33" s="2962">
        <v>1145</v>
      </c>
      <c r="AL33" s="2962" t="s">
        <v>1327</v>
      </c>
      <c r="AM33" s="2962" t="s">
        <v>1327</v>
      </c>
      <c r="AN33" s="2962">
        <v>0</v>
      </c>
      <c r="AO33" s="2962" t="s">
        <v>3154</v>
      </c>
      <c r="AP33" s="2962" t="s">
        <v>1327</v>
      </c>
      <c r="AQ33" s="2962" t="s">
        <v>1327</v>
      </c>
      <c r="AR33" s="2962" t="s">
        <v>1327</v>
      </c>
      <c r="AS33" s="2962" t="s">
        <v>3155</v>
      </c>
    </row>
    <row r="34" spans="1:45">
      <c r="A34" s="2962" t="s">
        <v>3285</v>
      </c>
      <c r="B34" s="2962" t="s">
        <v>3140</v>
      </c>
      <c r="C34" s="2962" t="s">
        <v>3141</v>
      </c>
      <c r="D34" s="2962" t="s">
        <v>3142</v>
      </c>
      <c r="E34" s="2962" t="s">
        <v>1327</v>
      </c>
      <c r="F34" s="2962" t="s">
        <v>3285</v>
      </c>
      <c r="G34" s="2962" t="s">
        <v>3143</v>
      </c>
      <c r="H34" s="2962" t="s">
        <v>3307</v>
      </c>
      <c r="I34" s="2962" t="s">
        <v>3158</v>
      </c>
      <c r="J34" s="2962">
        <v>42042</v>
      </c>
      <c r="K34" s="2962">
        <v>42042</v>
      </c>
      <c r="L34" s="2962" t="s">
        <v>3218</v>
      </c>
      <c r="M34" s="2962" t="s">
        <v>1327</v>
      </c>
      <c r="N34" s="2962" t="s">
        <v>3289</v>
      </c>
      <c r="O34" s="2962" t="s">
        <v>1327</v>
      </c>
      <c r="P34" s="2962" t="s">
        <v>1327</v>
      </c>
      <c r="Q34" s="2962" t="s">
        <v>1327</v>
      </c>
      <c r="R34" s="2962" t="s">
        <v>1327</v>
      </c>
      <c r="S34" s="2962" t="s">
        <v>1327</v>
      </c>
      <c r="T34" s="2962" t="s">
        <v>1327</v>
      </c>
      <c r="U34" s="2962" t="s">
        <v>1327</v>
      </c>
      <c r="V34" s="2962" t="s">
        <v>1327</v>
      </c>
      <c r="W34" s="2962" t="s">
        <v>3250</v>
      </c>
      <c r="X34" s="2962" t="s">
        <v>3290</v>
      </c>
      <c r="Y34" s="2962" t="s">
        <v>3291</v>
      </c>
      <c r="Z34" s="2962" t="s">
        <v>3291</v>
      </c>
      <c r="AA34" s="2962" t="s">
        <v>3291</v>
      </c>
      <c r="AB34" s="2962" t="s">
        <v>3308</v>
      </c>
      <c r="AC34" s="2962" t="s">
        <v>3152</v>
      </c>
      <c r="AD34" s="2962" t="s">
        <v>3241</v>
      </c>
      <c r="AE34" s="2962">
        <v>2539.34</v>
      </c>
      <c r="AF34" s="2962">
        <v>2539.34</v>
      </c>
      <c r="AG34" s="2962">
        <v>2539.34</v>
      </c>
      <c r="AH34" s="2962">
        <v>40.270000000000003</v>
      </c>
      <c r="AI34" s="2962">
        <v>40.270000000000003</v>
      </c>
      <c r="AJ34" s="2962">
        <v>604</v>
      </c>
      <c r="AK34" s="2962">
        <v>604</v>
      </c>
      <c r="AL34" s="2962" t="s">
        <v>1327</v>
      </c>
      <c r="AM34" s="2962" t="s">
        <v>1327</v>
      </c>
      <c r="AN34" s="2962">
        <v>0</v>
      </c>
      <c r="AO34" s="2962" t="s">
        <v>3154</v>
      </c>
      <c r="AP34" s="2962" t="s">
        <v>1327</v>
      </c>
      <c r="AQ34" s="2962" t="s">
        <v>1327</v>
      </c>
      <c r="AR34" s="2962" t="s">
        <v>1327</v>
      </c>
      <c r="AS34" s="2962" t="s">
        <v>3155</v>
      </c>
    </row>
    <row r="35" spans="1:45">
      <c r="A35" s="2962" t="s">
        <v>3285</v>
      </c>
      <c r="B35" s="2962" t="s">
        <v>3140</v>
      </c>
      <c r="C35" s="2962" t="s">
        <v>3141</v>
      </c>
      <c r="D35" s="2962" t="s">
        <v>3142</v>
      </c>
      <c r="E35" s="2962" t="s">
        <v>1327</v>
      </c>
      <c r="F35" s="2962" t="s">
        <v>3285</v>
      </c>
      <c r="G35" s="2962" t="s">
        <v>3143</v>
      </c>
      <c r="H35" s="2962" t="s">
        <v>3309</v>
      </c>
      <c r="I35" s="2962" t="s">
        <v>3158</v>
      </c>
      <c r="J35" s="2962">
        <v>13329</v>
      </c>
      <c r="K35" s="2962">
        <v>13329</v>
      </c>
      <c r="L35" s="2962" t="s">
        <v>3218</v>
      </c>
      <c r="M35" s="2962" t="s">
        <v>1327</v>
      </c>
      <c r="N35" s="2962" t="s">
        <v>3289</v>
      </c>
      <c r="O35" s="2962" t="s">
        <v>1327</v>
      </c>
      <c r="P35" s="2962" t="s">
        <v>1327</v>
      </c>
      <c r="Q35" s="2962" t="s">
        <v>1327</v>
      </c>
      <c r="R35" s="2962" t="s">
        <v>1327</v>
      </c>
      <c r="S35" s="2962" t="s">
        <v>1327</v>
      </c>
      <c r="T35" s="2962" t="s">
        <v>1327</v>
      </c>
      <c r="U35" s="2962" t="s">
        <v>1327</v>
      </c>
      <c r="V35" s="2962" t="s">
        <v>1327</v>
      </c>
      <c r="W35" s="2962" t="s">
        <v>3250</v>
      </c>
      <c r="X35" s="2962" t="s">
        <v>3290</v>
      </c>
      <c r="Y35" s="2962" t="s">
        <v>3291</v>
      </c>
      <c r="Z35" s="2962" t="s">
        <v>3291</v>
      </c>
      <c r="AA35" s="2962" t="s">
        <v>3291</v>
      </c>
      <c r="AB35" s="2962" t="s">
        <v>3310</v>
      </c>
      <c r="AC35" s="2962" t="s">
        <v>3152</v>
      </c>
      <c r="AD35" s="2962" t="s">
        <v>3241</v>
      </c>
      <c r="AE35" s="2962">
        <v>805.07</v>
      </c>
      <c r="AF35" s="2962">
        <v>805.07</v>
      </c>
      <c r="AG35" s="2962">
        <v>805.07</v>
      </c>
      <c r="AH35" s="2962">
        <v>40.270000000000003</v>
      </c>
      <c r="AI35" s="2962">
        <v>40.270000000000003</v>
      </c>
      <c r="AJ35" s="2962">
        <v>603.99</v>
      </c>
      <c r="AK35" s="2962">
        <v>604</v>
      </c>
      <c r="AL35" s="2962" t="s">
        <v>1327</v>
      </c>
      <c r="AM35" s="2962" t="s">
        <v>1327</v>
      </c>
      <c r="AN35" s="2962">
        <v>0</v>
      </c>
      <c r="AO35" s="2962" t="s">
        <v>3154</v>
      </c>
      <c r="AP35" s="2962" t="s">
        <v>1327</v>
      </c>
      <c r="AQ35" s="2962" t="s">
        <v>1327</v>
      </c>
      <c r="AR35" s="2962" t="s">
        <v>1327</v>
      </c>
      <c r="AS35" s="2962" t="s">
        <v>3155</v>
      </c>
    </row>
    <row r="36" spans="1:45">
      <c r="A36" s="2962" t="s">
        <v>3267</v>
      </c>
      <c r="B36" s="2962" t="s">
        <v>3140</v>
      </c>
      <c r="C36" s="2962" t="s">
        <v>3141</v>
      </c>
      <c r="D36" s="2962" t="s">
        <v>3142</v>
      </c>
      <c r="E36" s="2962" t="s">
        <v>1327</v>
      </c>
      <c r="F36" s="2962" t="s">
        <v>3267</v>
      </c>
      <c r="G36" s="2962" t="s">
        <v>3143</v>
      </c>
      <c r="H36" s="2962" t="s">
        <v>3311</v>
      </c>
      <c r="I36" s="2962" t="s">
        <v>3158</v>
      </c>
      <c r="J36" s="2962">
        <v>31022</v>
      </c>
      <c r="K36" s="2962">
        <v>31022</v>
      </c>
      <c r="L36" s="2962" t="s">
        <v>3218</v>
      </c>
      <c r="M36" s="2962" t="s">
        <v>1327</v>
      </c>
      <c r="N36" s="2962" t="s">
        <v>3289</v>
      </c>
      <c r="O36" s="2962" t="s">
        <v>1327</v>
      </c>
      <c r="P36" s="2962" t="s">
        <v>1327</v>
      </c>
      <c r="Q36" s="2962" t="s">
        <v>1327</v>
      </c>
      <c r="R36" s="2962" t="s">
        <v>1327</v>
      </c>
      <c r="S36" s="2962" t="s">
        <v>1327</v>
      </c>
      <c r="T36" s="2962" t="s">
        <v>1327</v>
      </c>
      <c r="U36" s="2962" t="s">
        <v>1327</v>
      </c>
      <c r="V36" s="2962" t="s">
        <v>1327</v>
      </c>
      <c r="W36" s="2962" t="s">
        <v>3250</v>
      </c>
      <c r="X36" s="2962" t="s">
        <v>3290</v>
      </c>
      <c r="Y36" s="2962" t="s">
        <v>3291</v>
      </c>
      <c r="Z36" s="2962" t="s">
        <v>3291</v>
      </c>
      <c r="AA36" s="2962" t="s">
        <v>3291</v>
      </c>
      <c r="AB36" s="2962" t="s">
        <v>3312</v>
      </c>
      <c r="AC36" s="2962" t="s">
        <v>3152</v>
      </c>
      <c r="AD36" s="2962" t="s">
        <v>3241</v>
      </c>
      <c r="AE36" s="2962">
        <v>1867.52</v>
      </c>
      <c r="AF36" s="2962">
        <v>1867.51</v>
      </c>
      <c r="AG36" s="2962">
        <v>1867.51</v>
      </c>
      <c r="AH36" s="2962">
        <v>40.130000000000003</v>
      </c>
      <c r="AI36" s="2962">
        <v>40.130000000000003</v>
      </c>
      <c r="AJ36" s="2962">
        <v>601.99</v>
      </c>
      <c r="AK36" s="2962">
        <v>602</v>
      </c>
      <c r="AL36" s="2962" t="s">
        <v>1327</v>
      </c>
      <c r="AM36" s="2962" t="s">
        <v>1327</v>
      </c>
      <c r="AN36" s="2962">
        <v>0</v>
      </c>
      <c r="AO36" s="2962" t="s">
        <v>3154</v>
      </c>
      <c r="AP36" s="2962" t="s">
        <v>1327</v>
      </c>
      <c r="AQ36" s="2962" t="s">
        <v>1327</v>
      </c>
      <c r="AR36" s="2962" t="s">
        <v>1327</v>
      </c>
      <c r="AS36" s="2962" t="s">
        <v>3155</v>
      </c>
    </row>
    <row r="37" spans="1:45">
      <c r="A37" s="2962" t="s">
        <v>3313</v>
      </c>
      <c r="B37" s="2962" t="s">
        <v>3140</v>
      </c>
      <c r="C37" s="2962" t="s">
        <v>3141</v>
      </c>
      <c r="D37" s="2962" t="s">
        <v>3142</v>
      </c>
      <c r="E37" s="2962" t="s">
        <v>1327</v>
      </c>
      <c r="F37" s="2962" t="s">
        <v>3313</v>
      </c>
      <c r="G37" s="2962" t="s">
        <v>3143</v>
      </c>
      <c r="H37" s="2962" t="s">
        <v>3314</v>
      </c>
      <c r="I37" s="2962" t="s">
        <v>3158</v>
      </c>
      <c r="J37" s="2962">
        <v>33766</v>
      </c>
      <c r="K37" s="2962">
        <v>33766</v>
      </c>
      <c r="L37" s="2962" t="s">
        <v>3218</v>
      </c>
      <c r="M37" s="2962" t="s">
        <v>1327</v>
      </c>
      <c r="N37" s="2962" t="s">
        <v>3289</v>
      </c>
      <c r="O37" s="2962" t="s">
        <v>1327</v>
      </c>
      <c r="P37" s="2962" t="s">
        <v>1327</v>
      </c>
      <c r="Q37" s="2962" t="s">
        <v>1327</v>
      </c>
      <c r="R37" s="2962" t="s">
        <v>1327</v>
      </c>
      <c r="S37" s="2962" t="s">
        <v>1327</v>
      </c>
      <c r="T37" s="2962" t="s">
        <v>1327</v>
      </c>
      <c r="U37" s="2962" t="s">
        <v>1327</v>
      </c>
      <c r="V37" s="2962" t="s">
        <v>1327</v>
      </c>
      <c r="W37" s="2962" t="s">
        <v>3250</v>
      </c>
      <c r="X37" s="2962" t="s">
        <v>3290</v>
      </c>
      <c r="Y37" s="2962" t="s">
        <v>3291</v>
      </c>
      <c r="Z37" s="2962" t="s">
        <v>3291</v>
      </c>
      <c r="AA37" s="2962" t="s">
        <v>3291</v>
      </c>
      <c r="AB37" s="2962" t="s">
        <v>3315</v>
      </c>
      <c r="AC37" s="2962" t="s">
        <v>3152</v>
      </c>
      <c r="AD37" s="2962" t="s">
        <v>3241</v>
      </c>
      <c r="AE37" s="2962">
        <v>2039.47</v>
      </c>
      <c r="AF37" s="2962">
        <v>2039.47</v>
      </c>
      <c r="AG37" s="2962">
        <v>2039.47</v>
      </c>
      <c r="AH37" s="2962">
        <v>40.270000000000003</v>
      </c>
      <c r="AI37" s="2962">
        <v>40.270000000000003</v>
      </c>
      <c r="AJ37" s="2962">
        <v>604</v>
      </c>
      <c r="AK37" s="2962">
        <v>604</v>
      </c>
      <c r="AL37" s="2962" t="s">
        <v>1327</v>
      </c>
      <c r="AM37" s="2962" t="s">
        <v>1327</v>
      </c>
      <c r="AN37" s="2962">
        <v>0</v>
      </c>
      <c r="AO37" s="2962" t="s">
        <v>3154</v>
      </c>
      <c r="AP37" s="2962" t="s">
        <v>1327</v>
      </c>
      <c r="AQ37" s="2962" t="s">
        <v>1327</v>
      </c>
      <c r="AR37" s="2962" t="s">
        <v>1327</v>
      </c>
      <c r="AS37" s="2962" t="s">
        <v>3155</v>
      </c>
    </row>
    <row r="38" spans="1:45">
      <c r="A38" s="2962" t="s">
        <v>3271</v>
      </c>
      <c r="B38" s="2962" t="s">
        <v>3140</v>
      </c>
      <c r="C38" s="2962" t="s">
        <v>3141</v>
      </c>
      <c r="D38" s="2962" t="s">
        <v>3142</v>
      </c>
      <c r="E38" s="2962" t="s">
        <v>1327</v>
      </c>
      <c r="F38" s="2962" t="s">
        <v>3271</v>
      </c>
      <c r="G38" s="2962" t="s">
        <v>3143</v>
      </c>
      <c r="H38" s="2962" t="s">
        <v>3316</v>
      </c>
      <c r="I38" s="2962" t="s">
        <v>3158</v>
      </c>
      <c r="J38" s="2962">
        <v>66941</v>
      </c>
      <c r="K38" s="2962">
        <v>66941</v>
      </c>
      <c r="L38" s="2962" t="s">
        <v>3218</v>
      </c>
      <c r="M38" s="2962" t="s">
        <v>1327</v>
      </c>
      <c r="N38" s="2962" t="s">
        <v>3289</v>
      </c>
      <c r="O38" s="2962" t="s">
        <v>1327</v>
      </c>
      <c r="P38" s="2962" t="s">
        <v>1327</v>
      </c>
      <c r="Q38" s="2962" t="s">
        <v>1327</v>
      </c>
      <c r="R38" s="2962" t="s">
        <v>1327</v>
      </c>
      <c r="S38" s="2962" t="s">
        <v>1327</v>
      </c>
      <c r="T38" s="2962" t="s">
        <v>1327</v>
      </c>
      <c r="U38" s="2962" t="s">
        <v>1327</v>
      </c>
      <c r="V38" s="2962" t="s">
        <v>1327</v>
      </c>
      <c r="W38" s="2962" t="s">
        <v>3250</v>
      </c>
      <c r="X38" s="2962" t="s">
        <v>3290</v>
      </c>
      <c r="Y38" s="2962" t="s">
        <v>3291</v>
      </c>
      <c r="Z38" s="2962" t="s">
        <v>3291</v>
      </c>
      <c r="AA38" s="2962" t="s">
        <v>3291</v>
      </c>
      <c r="AB38" s="2962" t="s">
        <v>3317</v>
      </c>
      <c r="AC38" s="2962" t="s">
        <v>3152</v>
      </c>
      <c r="AD38" s="2962" t="s">
        <v>3241</v>
      </c>
      <c r="AE38" s="2962">
        <v>4096.79</v>
      </c>
      <c r="AF38" s="2962">
        <v>4096.78</v>
      </c>
      <c r="AG38" s="2962">
        <v>4096.78</v>
      </c>
      <c r="AH38" s="2962">
        <v>40.799999999999997</v>
      </c>
      <c r="AI38" s="2962">
        <v>40.799999999999997</v>
      </c>
      <c r="AJ38" s="2962">
        <v>612</v>
      </c>
      <c r="AK38" s="2962">
        <v>612</v>
      </c>
      <c r="AL38" s="2962" t="s">
        <v>1327</v>
      </c>
      <c r="AM38" s="2962" t="s">
        <v>1327</v>
      </c>
      <c r="AN38" s="2962">
        <v>0</v>
      </c>
      <c r="AO38" s="2962" t="s">
        <v>3154</v>
      </c>
      <c r="AP38" s="2962" t="s">
        <v>1327</v>
      </c>
      <c r="AQ38" s="2962" t="s">
        <v>1327</v>
      </c>
      <c r="AR38" s="2962" t="s">
        <v>1327</v>
      </c>
      <c r="AS38" s="2962" t="s">
        <v>3155</v>
      </c>
    </row>
    <row r="39" spans="1:45">
      <c r="A39" s="2962" t="s">
        <v>3238</v>
      </c>
      <c r="B39" s="2962" t="s">
        <v>3140</v>
      </c>
      <c r="C39" s="2962" t="s">
        <v>3141</v>
      </c>
      <c r="D39" s="2962" t="s">
        <v>3142</v>
      </c>
      <c r="E39" s="2962" t="s">
        <v>1327</v>
      </c>
      <c r="F39" s="2962" t="s">
        <v>3238</v>
      </c>
      <c r="G39" s="2962" t="s">
        <v>3143</v>
      </c>
      <c r="H39" s="2962" t="s">
        <v>3318</v>
      </c>
      <c r="I39" s="2962" t="s">
        <v>3232</v>
      </c>
      <c r="J39" s="2962">
        <v>46995</v>
      </c>
      <c r="K39" s="2962">
        <v>28197</v>
      </c>
      <c r="L39" s="2962" t="s">
        <v>3184</v>
      </c>
      <c r="M39" s="2962" t="s">
        <v>1327</v>
      </c>
      <c r="N39" s="2962" t="s">
        <v>3289</v>
      </c>
      <c r="O39" s="2962" t="s">
        <v>1327</v>
      </c>
      <c r="P39" s="2962" t="s">
        <v>1327</v>
      </c>
      <c r="Q39" s="2962" t="s">
        <v>1327</v>
      </c>
      <c r="R39" s="2962" t="s">
        <v>1327</v>
      </c>
      <c r="S39" s="2962" t="s">
        <v>1327</v>
      </c>
      <c r="T39" s="2962" t="s">
        <v>1327</v>
      </c>
      <c r="U39" s="2962" t="s">
        <v>1327</v>
      </c>
      <c r="V39" s="2962" t="s">
        <v>1327</v>
      </c>
      <c r="W39" s="2962" t="s">
        <v>3250</v>
      </c>
      <c r="X39" s="2962" t="s">
        <v>3290</v>
      </c>
      <c r="Y39" s="2962" t="s">
        <v>3291</v>
      </c>
      <c r="Z39" s="2962" t="s">
        <v>3291</v>
      </c>
      <c r="AA39" s="2962" t="s">
        <v>3291</v>
      </c>
      <c r="AB39" s="2962" t="s">
        <v>3319</v>
      </c>
      <c r="AC39" s="2962" t="s">
        <v>3152</v>
      </c>
      <c r="AD39" s="2962" t="s">
        <v>3241</v>
      </c>
      <c r="AE39" s="2962">
        <v>3268.03</v>
      </c>
      <c r="AF39" s="2962">
        <v>3268.03</v>
      </c>
      <c r="AG39" s="2962">
        <v>3268.03</v>
      </c>
      <c r="AH39" s="2962">
        <v>46.36</v>
      </c>
      <c r="AI39" s="2962">
        <v>46.36</v>
      </c>
      <c r="AJ39" s="2962">
        <v>1158.99</v>
      </c>
      <c r="AK39" s="2962">
        <v>1159</v>
      </c>
      <c r="AL39" s="2962" t="s">
        <v>1327</v>
      </c>
      <c r="AM39" s="2962" t="s">
        <v>1327</v>
      </c>
      <c r="AN39" s="2962">
        <v>0</v>
      </c>
      <c r="AO39" s="2962" t="s">
        <v>3154</v>
      </c>
      <c r="AP39" s="2962" t="s">
        <v>1327</v>
      </c>
      <c r="AQ39" s="2962" t="s">
        <v>1327</v>
      </c>
      <c r="AR39" s="2962" t="s">
        <v>1327</v>
      </c>
      <c r="AS39" s="2962" t="s">
        <v>3155</v>
      </c>
    </row>
    <row r="40" spans="1:45">
      <c r="A40" s="2962" t="s">
        <v>3320</v>
      </c>
      <c r="B40" s="2962" t="s">
        <v>3140</v>
      </c>
      <c r="C40" s="2962" t="s">
        <v>3141</v>
      </c>
      <c r="D40" s="2962" t="s">
        <v>3142</v>
      </c>
      <c r="E40" s="2962" t="s">
        <v>1327</v>
      </c>
      <c r="F40" s="2962" t="s">
        <v>3320</v>
      </c>
      <c r="G40" s="2962" t="s">
        <v>3143</v>
      </c>
      <c r="H40" s="2962" t="s">
        <v>3321</v>
      </c>
      <c r="I40" s="2962" t="s">
        <v>3158</v>
      </c>
      <c r="J40" s="2962">
        <v>12076</v>
      </c>
      <c r="K40" s="2962">
        <v>28982.400000000001</v>
      </c>
      <c r="L40" s="2962" t="s">
        <v>3322</v>
      </c>
      <c r="M40" s="2962" t="s">
        <v>1327</v>
      </c>
      <c r="N40" s="2962" t="s">
        <v>3323</v>
      </c>
      <c r="O40" s="2962" t="s">
        <v>1327</v>
      </c>
      <c r="P40" s="2962" t="s">
        <v>1327</v>
      </c>
      <c r="Q40" s="2962" t="s">
        <v>1327</v>
      </c>
      <c r="R40" s="2962" t="s">
        <v>1327</v>
      </c>
      <c r="S40" s="2962" t="s">
        <v>1327</v>
      </c>
      <c r="T40" s="2962" t="s">
        <v>3324</v>
      </c>
      <c r="U40" s="2962" t="s">
        <v>3202</v>
      </c>
      <c r="V40" s="2962" t="s">
        <v>1327</v>
      </c>
      <c r="W40" s="2962" t="s">
        <v>3250</v>
      </c>
      <c r="X40" s="2962" t="s">
        <v>3325</v>
      </c>
      <c r="Y40" s="2962" t="s">
        <v>3326</v>
      </c>
      <c r="Z40" s="2962" t="s">
        <v>3326</v>
      </c>
      <c r="AA40" s="2962" t="s">
        <v>3326</v>
      </c>
      <c r="AB40" s="2962" t="s">
        <v>3327</v>
      </c>
      <c r="AC40" s="2962" t="s">
        <v>3152</v>
      </c>
      <c r="AD40" s="2962" t="s">
        <v>3328</v>
      </c>
      <c r="AE40" s="2962">
        <v>5379.13</v>
      </c>
      <c r="AF40" s="2962">
        <v>5379.13</v>
      </c>
      <c r="AG40" s="2962">
        <v>5379.13</v>
      </c>
      <c r="AH40" s="2962">
        <v>296.95999999999998</v>
      </c>
      <c r="AI40" s="2962">
        <v>296.95999999999998</v>
      </c>
      <c r="AJ40" s="2962">
        <v>1855.99</v>
      </c>
      <c r="AK40" s="2962">
        <v>1856</v>
      </c>
      <c r="AL40" s="2962" t="s">
        <v>1327</v>
      </c>
      <c r="AM40" s="2962" t="s">
        <v>1327</v>
      </c>
      <c r="AN40" s="2962">
        <v>0</v>
      </c>
      <c r="AO40" s="2962" t="s">
        <v>3154</v>
      </c>
      <c r="AP40" s="2962" t="s">
        <v>1327</v>
      </c>
      <c r="AQ40" s="2962" t="s">
        <v>1327</v>
      </c>
      <c r="AR40" s="2962" t="s">
        <v>1327</v>
      </c>
      <c r="AS40" s="2962" t="s">
        <v>3165</v>
      </c>
    </row>
    <row r="41" spans="1:45">
      <c r="A41" s="2962" t="s">
        <v>3329</v>
      </c>
      <c r="B41" s="2962" t="s">
        <v>3140</v>
      </c>
      <c r="C41" s="2962" t="s">
        <v>3141</v>
      </c>
      <c r="D41" s="2962" t="s">
        <v>3142</v>
      </c>
      <c r="E41" s="2962" t="s">
        <v>1327</v>
      </c>
      <c r="F41" s="2962" t="s">
        <v>3329</v>
      </c>
      <c r="G41" s="2962" t="s">
        <v>3143</v>
      </c>
      <c r="H41" s="2962" t="s">
        <v>3330</v>
      </c>
      <c r="I41" s="2962" t="s">
        <v>3158</v>
      </c>
      <c r="J41" s="2962">
        <v>2677</v>
      </c>
      <c r="K41" s="2962">
        <v>6424.8</v>
      </c>
      <c r="L41" s="2962" t="s">
        <v>3322</v>
      </c>
      <c r="M41" s="2962" t="s">
        <v>1327</v>
      </c>
      <c r="N41" s="2962" t="s">
        <v>3289</v>
      </c>
      <c r="O41" s="2962" t="s">
        <v>1327</v>
      </c>
      <c r="P41" s="2962" t="s">
        <v>1327</v>
      </c>
      <c r="Q41" s="2962" t="s">
        <v>1327</v>
      </c>
      <c r="R41" s="2962" t="s">
        <v>1327</v>
      </c>
      <c r="S41" s="2962" t="s">
        <v>1327</v>
      </c>
      <c r="T41" s="2962" t="s">
        <v>3324</v>
      </c>
      <c r="U41" s="2962" t="s">
        <v>3202</v>
      </c>
      <c r="V41" s="2962" t="s">
        <v>1327</v>
      </c>
      <c r="W41" s="2962" t="s">
        <v>3250</v>
      </c>
      <c r="X41" s="2962" t="s">
        <v>3325</v>
      </c>
      <c r="Y41" s="2962" t="s">
        <v>3326</v>
      </c>
      <c r="Z41" s="2962" t="s">
        <v>3326</v>
      </c>
      <c r="AA41" s="2962" t="s">
        <v>3326</v>
      </c>
      <c r="AB41" s="2962" t="s">
        <v>3331</v>
      </c>
      <c r="AC41" s="2962" t="s">
        <v>3152</v>
      </c>
      <c r="AD41" s="2962" t="s">
        <v>3332</v>
      </c>
      <c r="AE41" s="2962">
        <v>3601.74</v>
      </c>
      <c r="AF41" s="2962">
        <v>3601.73</v>
      </c>
      <c r="AG41" s="2962">
        <v>3601.73</v>
      </c>
      <c r="AH41" s="2962">
        <v>896.96</v>
      </c>
      <c r="AI41" s="2962">
        <v>896.96</v>
      </c>
      <c r="AJ41" s="2962">
        <v>5605.99</v>
      </c>
      <c r="AK41" s="2962">
        <v>5606</v>
      </c>
      <c r="AL41" s="2962" t="s">
        <v>1327</v>
      </c>
      <c r="AM41" s="2962" t="s">
        <v>1327</v>
      </c>
      <c r="AN41" s="2962">
        <v>0</v>
      </c>
      <c r="AO41" s="2962" t="s">
        <v>3154</v>
      </c>
      <c r="AP41" s="2962" t="s">
        <v>1327</v>
      </c>
      <c r="AQ41" s="2962" t="s">
        <v>1327</v>
      </c>
      <c r="AR41" s="2962" t="s">
        <v>1327</v>
      </c>
      <c r="AS41" s="2962" t="s">
        <v>3180</v>
      </c>
    </row>
    <row r="42" spans="1:45">
      <c r="A42" s="2962" t="s">
        <v>3333</v>
      </c>
      <c r="B42" s="2962" t="s">
        <v>3140</v>
      </c>
      <c r="C42" s="2962" t="s">
        <v>3141</v>
      </c>
      <c r="D42" s="2962" t="s">
        <v>3142</v>
      </c>
      <c r="E42" s="2962" t="s">
        <v>1327</v>
      </c>
      <c r="F42" s="2962" t="s">
        <v>3333</v>
      </c>
      <c r="G42" s="2962" t="s">
        <v>3143</v>
      </c>
      <c r="H42" s="2962" t="s">
        <v>3334</v>
      </c>
      <c r="I42" s="2962" t="s">
        <v>3158</v>
      </c>
      <c r="J42" s="2962">
        <v>13508</v>
      </c>
      <c r="K42" s="2962">
        <v>24314.400000000001</v>
      </c>
      <c r="L42" s="2962" t="s">
        <v>3335</v>
      </c>
      <c r="M42" s="2962" t="s">
        <v>1327</v>
      </c>
      <c r="N42" s="2962" t="s">
        <v>3336</v>
      </c>
      <c r="O42" s="2962" t="s">
        <v>1327</v>
      </c>
      <c r="P42" s="2962" t="s">
        <v>1327</v>
      </c>
      <c r="Q42" s="2962" t="s">
        <v>1327</v>
      </c>
      <c r="R42" s="2962" t="s">
        <v>1327</v>
      </c>
      <c r="S42" s="2962" t="s">
        <v>1327</v>
      </c>
      <c r="T42" s="2962" t="s">
        <v>1327</v>
      </c>
      <c r="U42" s="2962" t="s">
        <v>1327</v>
      </c>
      <c r="V42" s="2962" t="s">
        <v>1327</v>
      </c>
      <c r="W42" s="2962" t="s">
        <v>3250</v>
      </c>
      <c r="X42" s="2962" t="s">
        <v>3337</v>
      </c>
      <c r="Y42" s="2962" t="s">
        <v>3338</v>
      </c>
      <c r="Z42" s="2962" t="s">
        <v>3338</v>
      </c>
      <c r="AA42" s="2962" t="s">
        <v>3338</v>
      </c>
      <c r="AB42" s="2962" t="s">
        <v>3339</v>
      </c>
      <c r="AC42" s="2962" t="s">
        <v>3152</v>
      </c>
      <c r="AD42" s="2962" t="s">
        <v>3340</v>
      </c>
      <c r="AE42" s="2962">
        <v>6559.48</v>
      </c>
      <c r="AF42" s="2962">
        <v>6559.47</v>
      </c>
      <c r="AG42" s="2962">
        <v>6559.47</v>
      </c>
      <c r="AH42" s="2962">
        <v>323.73</v>
      </c>
      <c r="AI42" s="2962">
        <v>323.73</v>
      </c>
      <c r="AJ42" s="2962">
        <v>2697.77</v>
      </c>
      <c r="AK42" s="2962">
        <v>2697.78</v>
      </c>
      <c r="AL42" s="2962" t="s">
        <v>1327</v>
      </c>
      <c r="AM42" s="2962" t="s">
        <v>1327</v>
      </c>
      <c r="AN42" s="2962">
        <v>0</v>
      </c>
      <c r="AO42" s="2962" t="s">
        <v>3154</v>
      </c>
      <c r="AP42" s="2962" t="s">
        <v>1327</v>
      </c>
      <c r="AQ42" s="2962" t="s">
        <v>1327</v>
      </c>
      <c r="AR42" s="2962" t="s">
        <v>1327</v>
      </c>
      <c r="AS42" s="2962" t="s">
        <v>3341</v>
      </c>
    </row>
    <row r="43" spans="1:45">
      <c r="A43" s="2962" t="s">
        <v>3342</v>
      </c>
      <c r="B43" s="2962" t="s">
        <v>3140</v>
      </c>
      <c r="C43" s="2962" t="s">
        <v>3141</v>
      </c>
      <c r="D43" s="2962" t="s">
        <v>3142</v>
      </c>
      <c r="E43" s="2962" t="s">
        <v>1327</v>
      </c>
      <c r="F43" s="2962" t="s">
        <v>3342</v>
      </c>
      <c r="G43" s="2962" t="s">
        <v>3143</v>
      </c>
      <c r="H43" s="2962" t="s">
        <v>3343</v>
      </c>
      <c r="I43" s="2962" t="s">
        <v>3158</v>
      </c>
      <c r="J43" s="2962">
        <v>40543</v>
      </c>
      <c r="K43" s="2962">
        <v>81086</v>
      </c>
      <c r="L43" s="2962" t="s">
        <v>3159</v>
      </c>
      <c r="M43" s="2962" t="s">
        <v>1327</v>
      </c>
      <c r="N43" s="2962" t="s">
        <v>3336</v>
      </c>
      <c r="O43" s="2962" t="s">
        <v>1327</v>
      </c>
      <c r="P43" s="2962" t="s">
        <v>1327</v>
      </c>
      <c r="Q43" s="2962" t="s">
        <v>1327</v>
      </c>
      <c r="R43" s="2962" t="s">
        <v>1327</v>
      </c>
      <c r="S43" s="2962" t="s">
        <v>1327</v>
      </c>
      <c r="T43" s="2962" t="s">
        <v>1327</v>
      </c>
      <c r="U43" s="2962" t="s">
        <v>1327</v>
      </c>
      <c r="V43" s="2962" t="s">
        <v>1327</v>
      </c>
      <c r="W43" s="2962" t="s">
        <v>3250</v>
      </c>
      <c r="X43" s="2962" t="s">
        <v>3344</v>
      </c>
      <c r="Y43" s="2962" t="s">
        <v>3345</v>
      </c>
      <c r="Z43" s="2962" t="s">
        <v>3345</v>
      </c>
      <c r="AA43" s="2962" t="s">
        <v>3345</v>
      </c>
      <c r="AB43" s="2962" t="s">
        <v>3346</v>
      </c>
      <c r="AC43" s="2962" t="s">
        <v>3152</v>
      </c>
      <c r="AD43" s="2962" t="s">
        <v>3347</v>
      </c>
      <c r="AE43" s="2962">
        <v>15852.31</v>
      </c>
      <c r="AF43" s="2962">
        <v>15852.3</v>
      </c>
      <c r="AG43" s="2962">
        <v>15852.3</v>
      </c>
      <c r="AH43" s="2962">
        <v>260.67</v>
      </c>
      <c r="AI43" s="2962">
        <v>260.67</v>
      </c>
      <c r="AJ43" s="2962">
        <v>1954.99</v>
      </c>
      <c r="AK43" s="2962">
        <v>1955</v>
      </c>
      <c r="AL43" s="2962" t="s">
        <v>1327</v>
      </c>
      <c r="AM43" s="2962" t="s">
        <v>1327</v>
      </c>
      <c r="AN43" s="2962">
        <v>0</v>
      </c>
      <c r="AO43" s="2962" t="s">
        <v>3154</v>
      </c>
      <c r="AP43" s="2962" t="s">
        <v>1327</v>
      </c>
      <c r="AQ43" s="2962" t="s">
        <v>1327</v>
      </c>
      <c r="AR43" s="2962" t="s">
        <v>1327</v>
      </c>
      <c r="AS43" s="2962" t="s">
        <v>3180</v>
      </c>
    </row>
    <row r="44" spans="1:45">
      <c r="A44" s="2962" t="s">
        <v>3348</v>
      </c>
      <c r="B44" s="2962" t="s">
        <v>3140</v>
      </c>
      <c r="C44" s="2962" t="s">
        <v>3141</v>
      </c>
      <c r="D44" s="2962" t="s">
        <v>3142</v>
      </c>
      <c r="E44" s="2962" t="s">
        <v>1327</v>
      </c>
      <c r="F44" s="2962" t="s">
        <v>3348</v>
      </c>
      <c r="G44" s="2962" t="s">
        <v>3143</v>
      </c>
      <c r="H44" s="2962" t="s">
        <v>3349</v>
      </c>
      <c r="I44" s="2962" t="s">
        <v>3264</v>
      </c>
      <c r="J44" s="2962">
        <v>3651</v>
      </c>
      <c r="K44" s="2962">
        <v>3651</v>
      </c>
      <c r="L44" s="2962" t="s">
        <v>3269</v>
      </c>
      <c r="M44" s="2962" t="s">
        <v>1327</v>
      </c>
      <c r="N44" s="2962" t="s">
        <v>3289</v>
      </c>
      <c r="O44" s="2962" t="s">
        <v>1327</v>
      </c>
      <c r="P44" s="2962" t="s">
        <v>1327</v>
      </c>
      <c r="Q44" s="2962" t="s">
        <v>1327</v>
      </c>
      <c r="R44" s="2962" t="s">
        <v>1327</v>
      </c>
      <c r="S44" s="2962" t="s">
        <v>1327</v>
      </c>
      <c r="T44" s="2962" t="s">
        <v>1327</v>
      </c>
      <c r="U44" s="2962" t="s">
        <v>1327</v>
      </c>
      <c r="V44" s="2962" t="s">
        <v>1327</v>
      </c>
      <c r="W44" s="2962" t="s">
        <v>3250</v>
      </c>
      <c r="X44" s="2962" t="s">
        <v>3344</v>
      </c>
      <c r="Y44" s="2962" t="s">
        <v>3345</v>
      </c>
      <c r="Z44" s="2962" t="s">
        <v>3345</v>
      </c>
      <c r="AA44" s="2962" t="s">
        <v>3345</v>
      </c>
      <c r="AB44" s="2962" t="s">
        <v>3350</v>
      </c>
      <c r="AC44" s="2962" t="s">
        <v>3152</v>
      </c>
      <c r="AD44" s="2962" t="s">
        <v>3347</v>
      </c>
      <c r="AE44" s="2962">
        <v>2273.11</v>
      </c>
      <c r="AF44" s="2962">
        <v>2273.11</v>
      </c>
      <c r="AG44" s="2962">
        <v>2273.11</v>
      </c>
      <c r="AH44" s="2962">
        <v>415.07</v>
      </c>
      <c r="AI44" s="2962">
        <v>415.07</v>
      </c>
      <c r="AJ44" s="2962">
        <v>6225.99</v>
      </c>
      <c r="AK44" s="2962">
        <v>6225.98</v>
      </c>
      <c r="AL44" s="2962" t="s">
        <v>1327</v>
      </c>
      <c r="AM44" s="2962" t="s">
        <v>1327</v>
      </c>
      <c r="AN44" s="2962">
        <v>0</v>
      </c>
      <c r="AO44" s="2962" t="s">
        <v>3154</v>
      </c>
      <c r="AP44" s="2962" t="s">
        <v>1327</v>
      </c>
      <c r="AQ44" s="2962" t="s">
        <v>1327</v>
      </c>
      <c r="AR44" s="2962" t="s">
        <v>1327</v>
      </c>
      <c r="AS44" s="2962" t="s">
        <v>3180</v>
      </c>
    </row>
    <row r="45" spans="1:45">
      <c r="A45" s="2962" t="s">
        <v>3351</v>
      </c>
      <c r="B45" s="2962" t="s">
        <v>3140</v>
      </c>
      <c r="C45" s="2962" t="s">
        <v>3141</v>
      </c>
      <c r="D45" s="2962" t="s">
        <v>3142</v>
      </c>
      <c r="E45" s="2962" t="s">
        <v>1327</v>
      </c>
      <c r="F45" s="2962" t="s">
        <v>3351</v>
      </c>
      <c r="G45" s="2962" t="s">
        <v>3143</v>
      </c>
      <c r="H45" s="2962" t="s">
        <v>3352</v>
      </c>
      <c r="I45" s="2962" t="s">
        <v>3264</v>
      </c>
      <c r="J45" s="2962">
        <v>54369</v>
      </c>
      <c r="K45" s="2962">
        <v>54369</v>
      </c>
      <c r="L45" s="2962" t="s">
        <v>3269</v>
      </c>
      <c r="M45" s="2962" t="s">
        <v>1327</v>
      </c>
      <c r="N45" s="2962" t="s">
        <v>3353</v>
      </c>
      <c r="O45" s="2962" t="s">
        <v>1327</v>
      </c>
      <c r="P45" s="2962" t="s">
        <v>1327</v>
      </c>
      <c r="Q45" s="2962" t="s">
        <v>1327</v>
      </c>
      <c r="R45" s="2962" t="s">
        <v>1327</v>
      </c>
      <c r="S45" s="2962" t="s">
        <v>1327</v>
      </c>
      <c r="T45" s="2962" t="s">
        <v>1327</v>
      </c>
      <c r="U45" s="2962" t="s">
        <v>1327</v>
      </c>
      <c r="V45" s="2962" t="s">
        <v>1327</v>
      </c>
      <c r="W45" s="2962" t="s">
        <v>3250</v>
      </c>
      <c r="X45" s="2962" t="s">
        <v>3354</v>
      </c>
      <c r="Y45" s="2962" t="s">
        <v>3355</v>
      </c>
      <c r="Z45" s="2962" t="s">
        <v>3355</v>
      </c>
      <c r="AA45" s="2962" t="s">
        <v>3355</v>
      </c>
      <c r="AB45" s="2962" t="s">
        <v>3356</v>
      </c>
      <c r="AC45" s="2962" t="s">
        <v>3152</v>
      </c>
      <c r="AD45" s="2962" t="s">
        <v>3357</v>
      </c>
      <c r="AE45" s="2962">
        <v>13728.17</v>
      </c>
      <c r="AF45" s="2962">
        <v>13728.17</v>
      </c>
      <c r="AG45" s="2962">
        <v>13728.17</v>
      </c>
      <c r="AH45" s="2962">
        <v>168.33</v>
      </c>
      <c r="AI45" s="2962">
        <v>168.33</v>
      </c>
      <c r="AJ45" s="2962">
        <v>2524.9899999999998</v>
      </c>
      <c r="AK45" s="2962">
        <v>2525</v>
      </c>
      <c r="AL45" s="2962" t="s">
        <v>1327</v>
      </c>
      <c r="AM45" s="2962" t="s">
        <v>1327</v>
      </c>
      <c r="AN45" s="2962">
        <v>0</v>
      </c>
      <c r="AO45" s="2962" t="s">
        <v>3154</v>
      </c>
      <c r="AP45" s="2962" t="s">
        <v>1327</v>
      </c>
      <c r="AQ45" s="2962" t="s">
        <v>1327</v>
      </c>
      <c r="AR45" s="2962" t="s">
        <v>1327</v>
      </c>
      <c r="AS45" s="2962" t="s">
        <v>3254</v>
      </c>
    </row>
    <row r="46" spans="1:45">
      <c r="A46" s="2962" t="s">
        <v>3358</v>
      </c>
      <c r="B46" s="2962" t="s">
        <v>3140</v>
      </c>
      <c r="C46" s="2962" t="s">
        <v>3141</v>
      </c>
      <c r="D46" s="2962" t="s">
        <v>3142</v>
      </c>
      <c r="E46" s="2962" t="s">
        <v>1327</v>
      </c>
      <c r="F46" s="2962" t="s">
        <v>3358</v>
      </c>
      <c r="G46" s="2962" t="s">
        <v>3143</v>
      </c>
      <c r="H46" s="2962" t="s">
        <v>3359</v>
      </c>
      <c r="I46" s="2962" t="s">
        <v>3158</v>
      </c>
      <c r="J46" s="2962">
        <v>19478</v>
      </c>
      <c r="K46" s="2962">
        <v>38956</v>
      </c>
      <c r="L46" s="2962" t="s">
        <v>3159</v>
      </c>
      <c r="M46" s="2962" t="s">
        <v>1327</v>
      </c>
      <c r="N46" s="2962" t="s">
        <v>3353</v>
      </c>
      <c r="O46" s="2962" t="s">
        <v>1327</v>
      </c>
      <c r="P46" s="2962" t="s">
        <v>1327</v>
      </c>
      <c r="Q46" s="2962" t="s">
        <v>1327</v>
      </c>
      <c r="R46" s="2962" t="s">
        <v>1327</v>
      </c>
      <c r="S46" s="2962" t="s">
        <v>1327</v>
      </c>
      <c r="T46" s="2962" t="s">
        <v>1327</v>
      </c>
      <c r="U46" s="2962" t="s">
        <v>1327</v>
      </c>
      <c r="V46" s="2962" t="s">
        <v>1327</v>
      </c>
      <c r="W46" s="2962" t="s">
        <v>3250</v>
      </c>
      <c r="X46" s="2962" t="s">
        <v>3360</v>
      </c>
      <c r="Y46" s="2962" t="s">
        <v>3361</v>
      </c>
      <c r="Z46" s="2962" t="s">
        <v>3361</v>
      </c>
      <c r="AA46" s="2962" t="s">
        <v>3361</v>
      </c>
      <c r="AB46" s="2962" t="s">
        <v>3362</v>
      </c>
      <c r="AC46" s="2962" t="s">
        <v>3152</v>
      </c>
      <c r="AD46" s="2962" t="s">
        <v>3363</v>
      </c>
      <c r="AE46" s="2962">
        <v>8917.0300000000007</v>
      </c>
      <c r="AF46" s="2962">
        <v>8917.0300000000007</v>
      </c>
      <c r="AG46" s="2962">
        <v>8917.0300000000007</v>
      </c>
      <c r="AH46" s="2962">
        <v>305.2</v>
      </c>
      <c r="AI46" s="2962">
        <v>305.2</v>
      </c>
      <c r="AJ46" s="2962">
        <v>2289</v>
      </c>
      <c r="AK46" s="2962">
        <v>2289</v>
      </c>
      <c r="AL46" s="2962" t="s">
        <v>1327</v>
      </c>
      <c r="AM46" s="2962" t="s">
        <v>1327</v>
      </c>
      <c r="AN46" s="2962">
        <v>0</v>
      </c>
      <c r="AO46" s="2962" t="s">
        <v>3154</v>
      </c>
      <c r="AP46" s="2962" t="s">
        <v>1327</v>
      </c>
      <c r="AQ46" s="2962" t="s">
        <v>1327</v>
      </c>
      <c r="AR46" s="2962" t="s">
        <v>1327</v>
      </c>
      <c r="AS46" s="2962" t="s">
        <v>3180</v>
      </c>
    </row>
    <row r="47" spans="1:45">
      <c r="A47" s="2962" t="s">
        <v>3364</v>
      </c>
      <c r="B47" s="2962" t="s">
        <v>3140</v>
      </c>
      <c r="C47" s="2962" t="s">
        <v>3141</v>
      </c>
      <c r="D47" s="2962" t="s">
        <v>3142</v>
      </c>
      <c r="E47" s="2962" t="s">
        <v>1327</v>
      </c>
      <c r="F47" s="2962" t="s">
        <v>3364</v>
      </c>
      <c r="G47" s="2962" t="s">
        <v>3143</v>
      </c>
      <c r="H47" s="2962" t="s">
        <v>3365</v>
      </c>
      <c r="I47" s="2962" t="s">
        <v>3264</v>
      </c>
      <c r="J47" s="2962">
        <v>9188.4</v>
      </c>
      <c r="K47" s="2962">
        <v>9188.4</v>
      </c>
      <c r="L47" s="2962" t="s">
        <v>3269</v>
      </c>
      <c r="M47" s="2962" t="s">
        <v>1327</v>
      </c>
      <c r="N47" s="2962" t="s">
        <v>3289</v>
      </c>
      <c r="O47" s="2962" t="s">
        <v>1327</v>
      </c>
      <c r="P47" s="2962" t="s">
        <v>1327</v>
      </c>
      <c r="Q47" s="2962" t="s">
        <v>1327</v>
      </c>
      <c r="R47" s="2962" t="s">
        <v>1327</v>
      </c>
      <c r="S47" s="2962" t="s">
        <v>1327</v>
      </c>
      <c r="T47" s="2962" t="s">
        <v>1327</v>
      </c>
      <c r="U47" s="2962" t="s">
        <v>1327</v>
      </c>
      <c r="V47" s="2962" t="s">
        <v>1327</v>
      </c>
      <c r="W47" s="2962" t="s">
        <v>3250</v>
      </c>
      <c r="X47" s="2962" t="s">
        <v>3366</v>
      </c>
      <c r="Y47" s="2962" t="s">
        <v>3367</v>
      </c>
      <c r="Z47" s="2962" t="s">
        <v>3367</v>
      </c>
      <c r="AA47" s="2962" t="s">
        <v>3367</v>
      </c>
      <c r="AB47" s="2962" t="s">
        <v>3368</v>
      </c>
      <c r="AC47" s="2962" t="s">
        <v>3152</v>
      </c>
      <c r="AD47" s="2962" t="s">
        <v>3369</v>
      </c>
      <c r="AE47" s="2962">
        <v>599.08000000000004</v>
      </c>
      <c r="AF47" s="2962">
        <v>599.08000000000004</v>
      </c>
      <c r="AG47" s="2962">
        <v>599.08000000000004</v>
      </c>
      <c r="AH47" s="2962">
        <v>43.47</v>
      </c>
      <c r="AI47" s="2962">
        <v>43.47</v>
      </c>
      <c r="AJ47" s="2962">
        <v>651.99</v>
      </c>
      <c r="AK47" s="2962">
        <v>652</v>
      </c>
      <c r="AL47" s="2962" t="s">
        <v>1327</v>
      </c>
      <c r="AM47" s="2962" t="s">
        <v>1327</v>
      </c>
      <c r="AN47" s="2962">
        <v>0</v>
      </c>
      <c r="AO47" s="2962" t="s">
        <v>3154</v>
      </c>
      <c r="AP47" s="2962" t="s">
        <v>1327</v>
      </c>
      <c r="AQ47" s="2962" t="s">
        <v>1327</v>
      </c>
      <c r="AR47" s="2962" t="s">
        <v>1327</v>
      </c>
      <c r="AS47" s="2962" t="s">
        <v>3155</v>
      </c>
    </row>
    <row r="48" spans="1:45" hidden="1">
      <c r="A48" s="2962" t="s">
        <v>3370</v>
      </c>
      <c r="B48" s="2962" t="s">
        <v>3140</v>
      </c>
      <c r="C48" s="2962" t="s">
        <v>3141</v>
      </c>
      <c r="D48" s="2962" t="s">
        <v>3142</v>
      </c>
      <c r="E48" s="2962" t="s">
        <v>1327</v>
      </c>
      <c r="F48" s="2962" t="s">
        <v>3370</v>
      </c>
      <c r="G48" s="2962" t="s">
        <v>3143</v>
      </c>
      <c r="H48" s="2962" t="s">
        <v>3371</v>
      </c>
      <c r="I48" s="2962" t="s">
        <v>3264</v>
      </c>
      <c r="J48" s="2962">
        <v>7972</v>
      </c>
      <c r="K48" s="2962">
        <v>11958</v>
      </c>
      <c r="L48" s="2962" t="s">
        <v>3210</v>
      </c>
      <c r="M48" s="2962" t="s">
        <v>1327</v>
      </c>
      <c r="N48" s="2962" t="s">
        <v>3289</v>
      </c>
      <c r="O48" s="2962" t="s">
        <v>1327</v>
      </c>
      <c r="P48" s="2962" t="s">
        <v>1327</v>
      </c>
      <c r="Q48" s="2962" t="s">
        <v>1327</v>
      </c>
      <c r="R48" s="2962" t="s">
        <v>1327</v>
      </c>
      <c r="S48" s="2962" t="s">
        <v>1327</v>
      </c>
      <c r="T48" s="2962" t="s">
        <v>3372</v>
      </c>
      <c r="U48" s="2962" t="s">
        <v>3373</v>
      </c>
      <c r="V48" s="2962" t="s">
        <v>1327</v>
      </c>
      <c r="W48" s="2962" t="s">
        <v>3250</v>
      </c>
      <c r="X48" s="2962" t="s">
        <v>3374</v>
      </c>
      <c r="Y48" s="2962" t="s">
        <v>3375</v>
      </c>
      <c r="Z48" s="2962" t="s">
        <v>3375</v>
      </c>
      <c r="AA48" s="2962" t="s">
        <v>3375</v>
      </c>
      <c r="AB48" s="2962" t="s">
        <v>3376</v>
      </c>
      <c r="AC48" s="2962" t="s">
        <v>3152</v>
      </c>
      <c r="AD48" s="2962" t="s">
        <v>3377</v>
      </c>
      <c r="AE48" s="2962">
        <v>3038.53</v>
      </c>
      <c r="AF48" s="2962">
        <v>3038.53</v>
      </c>
      <c r="AG48" s="2962">
        <v>3038.53</v>
      </c>
      <c r="AH48" s="2962">
        <v>254.1</v>
      </c>
      <c r="AI48" s="2962">
        <v>254.1</v>
      </c>
      <c r="AJ48" s="2962">
        <v>2541</v>
      </c>
      <c r="AK48" s="2962">
        <v>2541</v>
      </c>
      <c r="AL48" s="2962" t="s">
        <v>1327</v>
      </c>
      <c r="AM48" s="2962" t="s">
        <v>1327</v>
      </c>
      <c r="AN48" s="2962">
        <v>0</v>
      </c>
      <c r="AO48" s="2962" t="s">
        <v>3154</v>
      </c>
      <c r="AP48" s="2962" t="s">
        <v>1327</v>
      </c>
      <c r="AQ48" s="2962" t="s">
        <v>1327</v>
      </c>
      <c r="AR48" s="2962" t="s">
        <v>1327</v>
      </c>
      <c r="AS48" s="2962" t="s">
        <v>3180</v>
      </c>
    </row>
    <row r="49" spans="1:45">
      <c r="A49" s="2962" t="s">
        <v>3378</v>
      </c>
      <c r="B49" s="2962" t="s">
        <v>3140</v>
      </c>
      <c r="C49" s="2962" t="s">
        <v>3141</v>
      </c>
      <c r="D49" s="2962" t="s">
        <v>3142</v>
      </c>
      <c r="E49" s="2962" t="s">
        <v>1327</v>
      </c>
      <c r="F49" s="2962" t="s">
        <v>3378</v>
      </c>
      <c r="G49" s="2962" t="s">
        <v>3143</v>
      </c>
      <c r="H49" s="2962" t="s">
        <v>3379</v>
      </c>
      <c r="I49" s="2962" t="s">
        <v>3264</v>
      </c>
      <c r="J49" s="2962">
        <v>5366</v>
      </c>
      <c r="K49" s="2962">
        <v>5366</v>
      </c>
      <c r="L49" s="2962" t="s">
        <v>3269</v>
      </c>
      <c r="M49" s="2962" t="s">
        <v>1327</v>
      </c>
      <c r="N49" s="2962" t="s">
        <v>1327</v>
      </c>
      <c r="O49" s="2962" t="s">
        <v>1327</v>
      </c>
      <c r="P49" s="2962" t="s">
        <v>1327</v>
      </c>
      <c r="Q49" s="2962" t="s">
        <v>1327</v>
      </c>
      <c r="R49" s="2962" t="s">
        <v>1327</v>
      </c>
      <c r="S49" s="2962" t="s">
        <v>1327</v>
      </c>
      <c r="T49" s="2962" t="s">
        <v>1327</v>
      </c>
      <c r="U49" s="2962" t="s">
        <v>1327</v>
      </c>
      <c r="V49" s="2962" t="s">
        <v>1327</v>
      </c>
      <c r="W49" s="2962" t="s">
        <v>3250</v>
      </c>
      <c r="X49" s="2962" t="s">
        <v>3380</v>
      </c>
      <c r="Y49" s="2962" t="s">
        <v>3375</v>
      </c>
      <c r="Z49" s="2962" t="s">
        <v>3375</v>
      </c>
      <c r="AA49" s="2962" t="s">
        <v>3375</v>
      </c>
      <c r="AB49" s="2962" t="s">
        <v>3381</v>
      </c>
      <c r="AC49" s="2962" t="s">
        <v>3152</v>
      </c>
      <c r="AD49" s="2962" t="s">
        <v>3382</v>
      </c>
      <c r="AE49" s="2962">
        <v>945.49</v>
      </c>
      <c r="AF49" s="2962">
        <v>945.49</v>
      </c>
      <c r="AG49" s="2962">
        <v>945.49</v>
      </c>
      <c r="AH49" s="2962">
        <v>117.47</v>
      </c>
      <c r="AI49" s="2962">
        <v>117.47</v>
      </c>
      <c r="AJ49" s="2962">
        <v>1762</v>
      </c>
      <c r="AK49" s="2962">
        <v>1762</v>
      </c>
      <c r="AL49" s="2962" t="s">
        <v>1327</v>
      </c>
      <c r="AM49" s="2962" t="s">
        <v>1327</v>
      </c>
      <c r="AN49" s="2962">
        <v>0</v>
      </c>
      <c r="AO49" s="2962" t="s">
        <v>3154</v>
      </c>
      <c r="AP49" s="2962" t="s">
        <v>1327</v>
      </c>
      <c r="AQ49" s="2962" t="s">
        <v>1327</v>
      </c>
      <c r="AR49" s="2962" t="s">
        <v>1327</v>
      </c>
      <c r="AS49" s="2962" t="s">
        <v>3180</v>
      </c>
    </row>
    <row r="50" spans="1:45">
      <c r="A50" s="2962" t="s">
        <v>3383</v>
      </c>
      <c r="B50" s="2962" t="s">
        <v>3140</v>
      </c>
      <c r="C50" s="2962" t="s">
        <v>3141</v>
      </c>
      <c r="D50" s="2962" t="s">
        <v>3142</v>
      </c>
      <c r="E50" s="2962" t="s">
        <v>1327</v>
      </c>
      <c r="F50" s="2962" t="s">
        <v>3383</v>
      </c>
      <c r="G50" s="2962" t="s">
        <v>3143</v>
      </c>
      <c r="H50" s="2962" t="s">
        <v>3384</v>
      </c>
      <c r="I50" s="2962" t="s">
        <v>3385</v>
      </c>
      <c r="J50" s="2962">
        <v>5338</v>
      </c>
      <c r="K50" s="2962">
        <v>1067.5999999999999</v>
      </c>
      <c r="L50" s="2962" t="s">
        <v>3386</v>
      </c>
      <c r="M50" s="2962" t="s">
        <v>1327</v>
      </c>
      <c r="N50" s="2962" t="s">
        <v>3387</v>
      </c>
      <c r="O50" s="2962" t="s">
        <v>1327</v>
      </c>
      <c r="P50" s="2962" t="s">
        <v>1327</v>
      </c>
      <c r="Q50" s="2962" t="s">
        <v>1327</v>
      </c>
      <c r="R50" s="2962" t="s">
        <v>1327</v>
      </c>
      <c r="S50" s="2962" t="s">
        <v>1327</v>
      </c>
      <c r="T50" s="2962" t="s">
        <v>1327</v>
      </c>
      <c r="U50" s="2962" t="s">
        <v>1327</v>
      </c>
      <c r="V50" s="2962" t="s">
        <v>1327</v>
      </c>
      <c r="W50" s="2962" t="s">
        <v>3250</v>
      </c>
      <c r="X50" s="2962" t="s">
        <v>3388</v>
      </c>
      <c r="Y50" s="2962" t="s">
        <v>3389</v>
      </c>
      <c r="Z50" s="2962" t="s">
        <v>3389</v>
      </c>
      <c r="AA50" s="2962" t="s">
        <v>3389</v>
      </c>
      <c r="AB50" s="2962" t="s">
        <v>3390</v>
      </c>
      <c r="AC50" s="2962" t="s">
        <v>3152</v>
      </c>
      <c r="AD50" s="2962" t="s">
        <v>3391</v>
      </c>
      <c r="AE50" s="2962">
        <v>659.46</v>
      </c>
      <c r="AF50" s="2962">
        <v>659.46</v>
      </c>
      <c r="AG50" s="2962">
        <v>659.46</v>
      </c>
      <c r="AH50" s="2962">
        <v>82.36</v>
      </c>
      <c r="AI50" s="2962">
        <v>82.36</v>
      </c>
      <c r="AJ50" s="2962">
        <v>6177.03</v>
      </c>
      <c r="AK50" s="2962">
        <v>6177.02</v>
      </c>
      <c r="AL50" s="2962" t="s">
        <v>1327</v>
      </c>
      <c r="AM50" s="2962" t="s">
        <v>1327</v>
      </c>
      <c r="AN50" s="2962">
        <v>0</v>
      </c>
      <c r="AO50" s="2962" t="s">
        <v>3154</v>
      </c>
      <c r="AP50" s="2962" t="s">
        <v>1327</v>
      </c>
      <c r="AQ50" s="2962" t="s">
        <v>1327</v>
      </c>
      <c r="AR50" s="2962" t="s">
        <v>1327</v>
      </c>
      <c r="AS50" s="2962" t="s">
        <v>3165</v>
      </c>
    </row>
    <row r="51" spans="1:45">
      <c r="A51" s="2962" t="s">
        <v>3392</v>
      </c>
      <c r="B51" s="2962" t="s">
        <v>3140</v>
      </c>
      <c r="C51" s="2962" t="s">
        <v>3141</v>
      </c>
      <c r="D51" s="2962" t="s">
        <v>3142</v>
      </c>
      <c r="E51" s="2962" t="s">
        <v>1327</v>
      </c>
      <c r="F51" s="2962" t="s">
        <v>3392</v>
      </c>
      <c r="G51" s="2962" t="s">
        <v>3143</v>
      </c>
      <c r="H51" s="2962" t="s">
        <v>3393</v>
      </c>
      <c r="I51" s="2962" t="s">
        <v>3264</v>
      </c>
      <c r="J51" s="2962">
        <v>5209.54</v>
      </c>
      <c r="K51" s="2962">
        <v>20838.16</v>
      </c>
      <c r="L51" s="2962" t="s">
        <v>3394</v>
      </c>
      <c r="M51" s="2962" t="s">
        <v>1327</v>
      </c>
      <c r="N51" s="2962" t="s">
        <v>3289</v>
      </c>
      <c r="O51" s="2962" t="s">
        <v>1327</v>
      </c>
      <c r="P51" s="2962" t="s">
        <v>1327</v>
      </c>
      <c r="Q51" s="2962" t="s">
        <v>1327</v>
      </c>
      <c r="R51" s="2962" t="s">
        <v>1327</v>
      </c>
      <c r="S51" s="2962" t="s">
        <v>1327</v>
      </c>
      <c r="T51" s="2962" t="s">
        <v>1327</v>
      </c>
      <c r="U51" s="2962" t="s">
        <v>1327</v>
      </c>
      <c r="V51" s="2962" t="s">
        <v>1327</v>
      </c>
      <c r="W51" s="2962" t="s">
        <v>3250</v>
      </c>
      <c r="X51" s="2962" t="s">
        <v>3395</v>
      </c>
      <c r="Y51" s="2962" t="s">
        <v>3396</v>
      </c>
      <c r="Z51" s="2962" t="s">
        <v>3397</v>
      </c>
      <c r="AA51" s="2962" t="s">
        <v>3397</v>
      </c>
      <c r="AB51" s="2962" t="s">
        <v>3398</v>
      </c>
      <c r="AC51" s="2962" t="s">
        <v>3152</v>
      </c>
      <c r="AD51" s="2962" t="s">
        <v>3399</v>
      </c>
      <c r="AE51" s="2962">
        <v>8253.4</v>
      </c>
      <c r="AF51" s="2962">
        <v>8253.39</v>
      </c>
      <c r="AG51" s="2962">
        <v>8253.39</v>
      </c>
      <c r="AH51" s="2962">
        <v>1056.19</v>
      </c>
      <c r="AI51" s="2962">
        <v>1056.19</v>
      </c>
      <c r="AJ51" s="2962">
        <v>3960.71</v>
      </c>
      <c r="AK51" s="2962">
        <v>3960.71</v>
      </c>
      <c r="AL51" s="2962" t="s">
        <v>1327</v>
      </c>
      <c r="AM51" s="2962" t="s">
        <v>1327</v>
      </c>
      <c r="AN51" s="2962">
        <v>0</v>
      </c>
      <c r="AO51" s="2962" t="s">
        <v>3154</v>
      </c>
      <c r="AP51" s="2962" t="s">
        <v>1327</v>
      </c>
      <c r="AQ51" s="2962" t="s">
        <v>1327</v>
      </c>
      <c r="AR51" s="2962" t="s">
        <v>1327</v>
      </c>
      <c r="AS51" s="2962" t="s">
        <v>3180</v>
      </c>
    </row>
  </sheetData>
  <phoneticPr fontId="143"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2740</v>
      </c>
      <c r="B1" s="395"/>
      <c r="C1" s="396" t="s">
        <v>2792</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5"/>
      <c r="D2" s="1125"/>
      <c r="E2" s="1125"/>
      <c r="F2" s="1126"/>
      <c r="G2" s="1125"/>
      <c r="H2" s="1125"/>
      <c r="I2" s="1125"/>
      <c r="J2" s="1125"/>
      <c r="K2" s="1127"/>
      <c r="L2" s="1128"/>
      <c r="M2" s="1129"/>
      <c r="N2" s="1129"/>
      <c r="O2" s="1129"/>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83"/>
      <c r="E3" s="1125"/>
      <c r="F3" s="1126"/>
      <c r="G3" s="1125"/>
      <c r="H3" s="1125"/>
      <c r="I3" s="1125"/>
      <c r="J3" s="1125"/>
      <c r="K3" s="1127"/>
      <c r="L3" s="1128"/>
      <c r="M3" s="1129"/>
      <c r="N3" s="1129"/>
      <c r="O3" s="1129"/>
      <c r="P3" s="768"/>
      <c r="Q3" s="768"/>
      <c r="R3" s="768"/>
      <c r="S3" s="768"/>
      <c r="T3" s="768"/>
      <c r="U3" s="768"/>
      <c r="V3" s="768"/>
      <c r="W3" s="768"/>
      <c r="X3" s="768"/>
      <c r="Y3" s="768"/>
      <c r="Z3" s="768"/>
      <c r="AA3" s="768"/>
      <c r="AB3" s="786"/>
      <c r="AC3" s="782"/>
    </row>
    <row r="4" spans="1:29" ht="14.4">
      <c r="A4" s="401" t="s">
        <v>2641</v>
      </c>
      <c r="B4" s="402"/>
      <c r="C4" s="3200" t="s">
        <v>2642</v>
      </c>
      <c r="D4" s="3201"/>
      <c r="E4" s="3202" t="s">
        <v>2643</v>
      </c>
      <c r="F4" s="3203"/>
      <c r="G4" s="3200" t="s">
        <v>2644</v>
      </c>
      <c r="H4" s="3201"/>
      <c r="I4" s="3200" t="s">
        <v>2645</v>
      </c>
      <c r="J4" s="3201"/>
      <c r="K4" s="610" t="s">
        <v>2646</v>
      </c>
      <c r="L4" s="1130"/>
      <c r="M4" s="1131"/>
      <c r="N4" s="1131"/>
      <c r="O4" s="1131"/>
      <c r="P4" s="3204" t="s">
        <v>2647</v>
      </c>
      <c r="Q4" s="3205"/>
      <c r="R4" s="3187" t="s">
        <v>2643</v>
      </c>
      <c r="S4" s="3188"/>
      <c r="T4" s="3187" t="s">
        <v>2644</v>
      </c>
      <c r="U4" s="3188"/>
      <c r="V4" s="3212" t="s">
        <v>2645</v>
      </c>
      <c r="W4" s="3212"/>
      <c r="X4" s="1813"/>
      <c r="Y4" s="3187" t="s">
        <v>2647</v>
      </c>
      <c r="Z4" s="3188"/>
      <c r="AA4" s="3182" t="s">
        <v>2643</v>
      </c>
      <c r="AB4" s="3183" t="s">
        <v>2644</v>
      </c>
      <c r="AC4" s="3182" t="s">
        <v>2645</v>
      </c>
    </row>
    <row r="5" spans="1:29">
      <c r="A5" s="404"/>
      <c r="B5" s="405"/>
      <c r="C5" s="3193" t="s">
        <v>2538</v>
      </c>
      <c r="D5" s="3194"/>
      <c r="E5" s="3191" t="s">
        <v>2539</v>
      </c>
      <c r="F5" s="3192"/>
      <c r="G5" s="3193" t="s">
        <v>2540</v>
      </c>
      <c r="H5" s="3194"/>
      <c r="I5" s="3193" t="s">
        <v>2541</v>
      </c>
      <c r="J5" s="3194"/>
      <c r="K5" s="610"/>
      <c r="L5" s="1130"/>
      <c r="M5" s="1131"/>
      <c r="N5" s="1131"/>
      <c r="O5" s="1131"/>
      <c r="P5" s="3206"/>
      <c r="Q5" s="3207"/>
      <c r="R5" s="3189"/>
      <c r="S5" s="3190"/>
      <c r="T5" s="3189"/>
      <c r="U5" s="3190"/>
      <c r="V5" s="3212"/>
      <c r="W5" s="3212"/>
      <c r="X5" s="1813"/>
      <c r="Y5" s="3189"/>
      <c r="Z5" s="3190"/>
      <c r="AA5" s="3183"/>
      <c r="AB5" s="3183"/>
      <c r="AC5" s="3183"/>
    </row>
    <row r="6" spans="1:29" ht="15" thickBot="1">
      <c r="A6" s="406"/>
      <c r="B6" s="407"/>
      <c r="C6" s="3250" t="s">
        <v>2793</v>
      </c>
      <c r="D6" s="3251"/>
      <c r="E6" s="3252" t="s">
        <v>2793</v>
      </c>
      <c r="F6" s="3253"/>
      <c r="G6" s="3250" t="s">
        <v>2793</v>
      </c>
      <c r="H6" s="3251"/>
      <c r="I6" s="3250" t="s">
        <v>2793</v>
      </c>
      <c r="J6" s="3251"/>
      <c r="K6" s="610" t="s">
        <v>2543</v>
      </c>
      <c r="L6" s="1130"/>
      <c r="M6" s="1131"/>
      <c r="N6" s="1131"/>
      <c r="O6" s="1131"/>
      <c r="P6" s="3208"/>
      <c r="Q6" s="3209"/>
      <c r="R6" s="3189"/>
      <c r="S6" s="3190"/>
      <c r="T6" s="3210"/>
      <c r="U6" s="3211"/>
      <c r="V6" s="3212"/>
      <c r="W6" s="3212"/>
      <c r="X6" s="1813"/>
      <c r="Y6" s="3210"/>
      <c r="Z6" s="3211"/>
      <c r="AA6" s="3184"/>
      <c r="AB6" s="3184"/>
      <c r="AC6" s="3184"/>
    </row>
    <row r="7" spans="1:29" s="117" customFormat="1" ht="15" thickBot="1">
      <c r="A7" s="408" t="s">
        <v>2544</v>
      </c>
      <c r="B7" s="409"/>
      <c r="C7" s="410">
        <f>'数据-取费表'!B2</f>
        <v>43692</v>
      </c>
      <c r="D7" s="411">
        <v>100</v>
      </c>
      <c r="E7" s="412"/>
      <c r="F7" s="413">
        <f>SUMIF(65:65,YEAR(E7)&amp;"-"&amp;INT((MONTH(E7)+2)/3),66:66)</f>
        <v>0</v>
      </c>
      <c r="G7" s="2695"/>
      <c r="H7" s="411">
        <f>SUMIF(65:65,YEAR(G7)&amp;"-"&amp;INT((MONTH(G7)+2)/3),66:66)</f>
        <v>0</v>
      </c>
      <c r="I7" s="2695"/>
      <c r="J7" s="411">
        <f>SUMIF(65:65,YEAR(I7)&amp;"-"&amp;INT((MONTH(I7)+2)/3),66:66)</f>
        <v>0</v>
      </c>
      <c r="K7" s="611"/>
      <c r="L7" s="1132"/>
      <c r="M7" s="1133"/>
      <c r="N7" s="1133"/>
      <c r="O7" s="1133"/>
      <c r="P7" s="3185" t="s">
        <v>2545</v>
      </c>
      <c r="Q7" s="3213"/>
      <c r="R7" s="770" t="s">
        <v>17</v>
      </c>
      <c r="S7" s="771">
        <f t="shared" ref="S7:S15" si="0">F7</f>
        <v>0</v>
      </c>
      <c r="T7" s="770" t="s">
        <v>17</v>
      </c>
      <c r="U7" s="771">
        <f t="shared" ref="U7:U15" si="1">H7</f>
        <v>0</v>
      </c>
      <c r="V7" s="770" t="s">
        <v>17</v>
      </c>
      <c r="W7" s="771">
        <f t="shared" ref="W7:W15" si="2">J7</f>
        <v>0</v>
      </c>
      <c r="X7" s="772"/>
      <c r="Y7" s="3185" t="s">
        <v>2545</v>
      </c>
      <c r="Z7" s="3186"/>
      <c r="AA7" s="773" t="e">
        <f>D7/F7</f>
        <v>#DIV/0!</v>
      </c>
      <c r="AB7" s="773" t="e">
        <f>D7/H7</f>
        <v>#DIV/0!</v>
      </c>
      <c r="AC7" s="773" t="e">
        <f>D7/J7</f>
        <v>#DIV/0!</v>
      </c>
    </row>
    <row r="8" spans="1:29" s="117" customFormat="1" ht="1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185" t="s">
        <v>2548</v>
      </c>
      <c r="Q8" s="3186"/>
      <c r="R8" s="770" t="s">
        <v>17</v>
      </c>
      <c r="S8" s="771">
        <f t="shared" si="0"/>
        <v>0</v>
      </c>
      <c r="T8" s="770" t="s">
        <v>17</v>
      </c>
      <c r="U8" s="771">
        <f t="shared" si="1"/>
        <v>0</v>
      </c>
      <c r="V8" s="770" t="s">
        <v>17</v>
      </c>
      <c r="W8" s="771">
        <f t="shared" si="2"/>
        <v>0</v>
      </c>
      <c r="X8" s="772"/>
      <c r="Y8" s="3185" t="s">
        <v>2548</v>
      </c>
      <c r="Z8" s="3186"/>
      <c r="AA8" s="773" t="e">
        <f t="shared" ref="AA8:AA40" si="3">D8/F8</f>
        <v>#DIV/0!</v>
      </c>
      <c r="AB8" s="773" t="e">
        <f t="shared" ref="AB8:AB40" si="4">D8/H8</f>
        <v>#DIV/0!</v>
      </c>
      <c r="AC8" s="773" t="e">
        <f t="shared" ref="AC8:AC40" si="5">D8/J8</f>
        <v>#DIV/0!</v>
      </c>
    </row>
    <row r="9" spans="1:29" s="117" customFormat="1" ht="14.4">
      <c r="A9" s="415" t="s">
        <v>2549</v>
      </c>
      <c r="B9" s="71" t="s">
        <v>2550</v>
      </c>
      <c r="C9" s="2698"/>
      <c r="D9" s="135">
        <v>100</v>
      </c>
      <c r="E9" s="2698"/>
      <c r="F9" s="135">
        <f>SUMIF(70:70,E9,71:71)-SUMIF(70:70,C9,71:71)+100</f>
        <v>100</v>
      </c>
      <c r="G9" s="2698"/>
      <c r="H9" s="135">
        <f>SUMIF(70:70,G9,71:71)-SUMIF(70:70,C9,71:71)+100</f>
        <v>100</v>
      </c>
      <c r="I9" s="2698"/>
      <c r="J9" s="135">
        <f>SUMIF(70:70,I9,71:71)-SUMIF(70:70,C9,71:71)+100</f>
        <v>100</v>
      </c>
      <c r="K9" s="611"/>
      <c r="L9" s="1132"/>
      <c r="M9" s="1133"/>
      <c r="N9" s="1133"/>
      <c r="O9" s="1134"/>
      <c r="P9" s="3217" t="s">
        <v>2551</v>
      </c>
      <c r="Q9" s="1795" t="str">
        <f t="shared" ref="Q9:Q15" si="6">B9</f>
        <v>用途</v>
      </c>
      <c r="R9" s="770" t="s">
        <v>17</v>
      </c>
      <c r="S9" s="771">
        <f t="shared" si="0"/>
        <v>100</v>
      </c>
      <c r="T9" s="770" t="s">
        <v>17</v>
      </c>
      <c r="U9" s="771">
        <f t="shared" si="1"/>
        <v>100</v>
      </c>
      <c r="V9" s="770" t="s">
        <v>17</v>
      </c>
      <c r="W9" s="771">
        <f t="shared" si="2"/>
        <v>100</v>
      </c>
      <c r="X9" s="772"/>
      <c r="Y9" s="3032" t="s">
        <v>2552</v>
      </c>
      <c r="Z9" s="55" t="str">
        <f t="shared" ref="Z9:Z15" si="7">Q9</f>
        <v>用途</v>
      </c>
      <c r="AA9" s="773">
        <f t="shared" si="3"/>
        <v>1</v>
      </c>
      <c r="AB9" s="773">
        <f t="shared" si="4"/>
        <v>1</v>
      </c>
      <c r="AC9" s="773">
        <f t="shared" si="5"/>
        <v>1</v>
      </c>
    </row>
    <row r="10" spans="1:29" s="427" customFormat="1" ht="28.8">
      <c r="A10" s="421"/>
      <c r="B10" s="422" t="s">
        <v>2553</v>
      </c>
      <c r="C10" s="432"/>
      <c r="D10" s="136">
        <v>100</v>
      </c>
      <c r="E10" s="432"/>
      <c r="F10" s="136">
        <f>ROUND(100/'数据-取费表'!G16,0)</f>
        <v>106</v>
      </c>
      <c r="G10" s="432"/>
      <c r="H10" s="136">
        <f>ROUND(100/'数据-取费表'!G16,0)</f>
        <v>106</v>
      </c>
      <c r="I10" s="432"/>
      <c r="J10" s="136">
        <f>ROUND(100/'数据-取费表'!G16,0)</f>
        <v>106</v>
      </c>
      <c r="K10" s="672"/>
      <c r="L10" s="1135"/>
      <c r="M10" s="1136"/>
      <c r="N10" s="1136"/>
      <c r="O10" s="1137"/>
      <c r="P10" s="3217"/>
      <c r="Q10" s="1795" t="str">
        <f t="shared" si="6"/>
        <v>土地使用年限（年）</v>
      </c>
      <c r="R10" s="770" t="s">
        <v>17</v>
      </c>
      <c r="S10" s="771">
        <f t="shared" si="0"/>
        <v>106</v>
      </c>
      <c r="T10" s="770" t="s">
        <v>17</v>
      </c>
      <c r="U10" s="771">
        <f t="shared" si="1"/>
        <v>106</v>
      </c>
      <c r="V10" s="770" t="s">
        <v>17</v>
      </c>
      <c r="W10" s="771">
        <f t="shared" si="2"/>
        <v>106</v>
      </c>
      <c r="X10" s="772"/>
      <c r="Y10" s="3032"/>
      <c r="Z10" s="55" t="str">
        <f t="shared" si="7"/>
        <v>土地使用年限（年）</v>
      </c>
      <c r="AA10" s="773">
        <f t="shared" si="3"/>
        <v>0.94339622641509435</v>
      </c>
      <c r="AB10" s="773">
        <f t="shared" si="4"/>
        <v>0.94339622641509435</v>
      </c>
      <c r="AC10" s="773">
        <f t="shared" si="5"/>
        <v>0.94339622641509435</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217"/>
      <c r="Q11" s="1795" t="str">
        <f t="shared" si="6"/>
        <v>容积率</v>
      </c>
      <c r="R11" s="770" t="s">
        <v>17</v>
      </c>
      <c r="S11" s="771" t="e">
        <f t="shared" si="0"/>
        <v>#N/A</v>
      </c>
      <c r="T11" s="770" t="s">
        <v>17</v>
      </c>
      <c r="U11" s="771" t="e">
        <f t="shared" si="1"/>
        <v>#N/A</v>
      </c>
      <c r="V11" s="770" t="s">
        <v>17</v>
      </c>
      <c r="W11" s="771" t="e">
        <f t="shared" si="2"/>
        <v>#N/A</v>
      </c>
      <c r="X11" s="772"/>
      <c r="Y11" s="3032"/>
      <c r="Z11" s="55" t="str">
        <f t="shared" si="7"/>
        <v>容积率</v>
      </c>
      <c r="AA11" s="773" t="e">
        <f t="shared" si="3"/>
        <v>#N/A</v>
      </c>
      <c r="AB11" s="773" t="e">
        <f t="shared" si="4"/>
        <v>#N/A</v>
      </c>
      <c r="AC11" s="773" t="e">
        <f t="shared" si="5"/>
        <v>#N/A</v>
      </c>
    </row>
    <row r="12" spans="1:29" s="117" customFormat="1" ht="15">
      <c r="A12" s="431"/>
      <c r="B12" s="2599">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217"/>
      <c r="Q12" s="1795">
        <f t="shared" si="6"/>
        <v>111</v>
      </c>
      <c r="R12" s="770" t="s">
        <v>17</v>
      </c>
      <c r="S12" s="771">
        <f t="shared" si="0"/>
        <v>100</v>
      </c>
      <c r="T12" s="770" t="s">
        <v>17</v>
      </c>
      <c r="U12" s="771">
        <f t="shared" si="1"/>
        <v>100</v>
      </c>
      <c r="V12" s="770" t="s">
        <v>17</v>
      </c>
      <c r="W12" s="771">
        <f t="shared" si="2"/>
        <v>100</v>
      </c>
      <c r="X12" s="772"/>
      <c r="Y12" s="3032"/>
      <c r="Z12" s="55">
        <f t="shared" si="7"/>
        <v>111</v>
      </c>
      <c r="AA12" s="773">
        <f>D12/F12</f>
        <v>1</v>
      </c>
      <c r="AB12" s="773">
        <f>D12/H12</f>
        <v>1</v>
      </c>
      <c r="AC12" s="773">
        <f>D12/J12</f>
        <v>1</v>
      </c>
    </row>
    <row r="13" spans="1:29" ht="15">
      <c r="A13" s="428"/>
      <c r="B13" s="2599">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217"/>
      <c r="Q13" s="1795">
        <f t="shared" si="6"/>
        <v>111</v>
      </c>
      <c r="R13" s="770" t="s">
        <v>17</v>
      </c>
      <c r="S13" s="771">
        <f t="shared" si="0"/>
        <v>100</v>
      </c>
      <c r="T13" s="770" t="s">
        <v>17</v>
      </c>
      <c r="U13" s="771">
        <f t="shared" si="1"/>
        <v>100</v>
      </c>
      <c r="V13" s="770" t="s">
        <v>17</v>
      </c>
      <c r="W13" s="771">
        <f t="shared" si="2"/>
        <v>100</v>
      </c>
      <c r="X13" s="772"/>
      <c r="Y13" s="3032"/>
      <c r="Z13" s="55">
        <f t="shared" si="7"/>
        <v>111</v>
      </c>
      <c r="AA13" s="773">
        <f t="shared" si="3"/>
        <v>1</v>
      </c>
      <c r="AB13" s="773">
        <f t="shared" si="4"/>
        <v>1</v>
      </c>
      <c r="AC13" s="773">
        <f t="shared" si="5"/>
        <v>1</v>
      </c>
    </row>
    <row r="14" spans="1:29" ht="15.6" thickBot="1">
      <c r="A14" s="436"/>
      <c r="B14" s="2601">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217"/>
      <c r="Q14" s="1795">
        <f t="shared" si="6"/>
        <v>111</v>
      </c>
      <c r="R14" s="770" t="s">
        <v>17</v>
      </c>
      <c r="S14" s="771">
        <f t="shared" si="0"/>
        <v>100</v>
      </c>
      <c r="T14" s="770" t="s">
        <v>17</v>
      </c>
      <c r="U14" s="771">
        <f t="shared" si="1"/>
        <v>100</v>
      </c>
      <c r="V14" s="770" t="s">
        <v>17</v>
      </c>
      <c r="W14" s="771">
        <f t="shared" si="2"/>
        <v>100</v>
      </c>
      <c r="X14" s="772"/>
      <c r="Y14" s="3032"/>
      <c r="Z14" s="55">
        <f t="shared" si="7"/>
        <v>111</v>
      </c>
      <c r="AA14" s="773">
        <f t="shared" si="3"/>
        <v>1</v>
      </c>
      <c r="AB14" s="773">
        <f t="shared" si="4"/>
        <v>1</v>
      </c>
      <c r="AC14" s="773">
        <f t="shared" si="5"/>
        <v>1</v>
      </c>
    </row>
    <row r="15" spans="1:29" ht="69">
      <c r="A15" s="440" t="s">
        <v>2555</v>
      </c>
      <c r="B15" s="629" t="s">
        <v>2794</v>
      </c>
      <c r="C15" s="2692"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219" t="s">
        <v>2556</v>
      </c>
      <c r="Q15" s="1810" t="str">
        <f t="shared" si="6"/>
        <v>产业集聚程度</v>
      </c>
      <c r="R15" s="774" t="s">
        <v>17</v>
      </c>
      <c r="S15" s="775">
        <f t="shared" si="0"/>
        <v>100</v>
      </c>
      <c r="T15" s="774" t="s">
        <v>17</v>
      </c>
      <c r="U15" s="775">
        <f t="shared" si="1"/>
        <v>100</v>
      </c>
      <c r="V15" s="774" t="s">
        <v>17</v>
      </c>
      <c r="W15" s="775">
        <f t="shared" si="2"/>
        <v>100</v>
      </c>
      <c r="X15" s="1813"/>
      <c r="Y15" s="3219" t="s">
        <v>2556</v>
      </c>
      <c r="Z15" s="1814" t="str">
        <f t="shared" si="7"/>
        <v>产业集聚程度</v>
      </c>
      <c r="AA15" s="1811">
        <f t="shared" si="3"/>
        <v>1</v>
      </c>
      <c r="AB15" s="1811">
        <f t="shared" si="4"/>
        <v>1</v>
      </c>
      <c r="AC15" s="1811">
        <f t="shared" si="5"/>
        <v>1</v>
      </c>
    </row>
    <row r="16" spans="1:29" ht="15">
      <c r="A16" s="428"/>
      <c r="B16" s="630"/>
      <c r="C16" s="447"/>
      <c r="D16" s="448"/>
      <c r="E16" s="2610"/>
      <c r="F16" s="448"/>
      <c r="G16" s="2610"/>
      <c r="H16" s="450"/>
      <c r="I16" s="2610"/>
      <c r="J16" s="448"/>
      <c r="K16" s="672"/>
      <c r="L16" s="1140"/>
      <c r="M16" s="1131"/>
      <c r="N16" s="1131"/>
      <c r="O16" s="1139"/>
      <c r="P16" s="3220"/>
      <c r="Q16" s="1810"/>
      <c r="R16" s="774"/>
      <c r="S16" s="775"/>
      <c r="T16" s="774"/>
      <c r="U16" s="775"/>
      <c r="V16" s="774"/>
      <c r="W16" s="775"/>
      <c r="X16" s="1813"/>
      <c r="Y16" s="3220"/>
      <c r="Z16" s="1814"/>
      <c r="AA16" s="1811">
        <v>1</v>
      </c>
      <c r="AB16" s="1811">
        <v>1</v>
      </c>
      <c r="AC16" s="1811">
        <v>1</v>
      </c>
    </row>
    <row r="17" spans="1:29" ht="96.6">
      <c r="A17" s="428"/>
      <c r="B17" s="631" t="s">
        <v>2705</v>
      </c>
      <c r="C17" s="2606"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220"/>
      <c r="Q17" s="1810" t="str">
        <f>B17</f>
        <v>交通便捷度</v>
      </c>
      <c r="R17" s="774" t="s">
        <v>17</v>
      </c>
      <c r="S17" s="775">
        <f>F17</f>
        <v>100</v>
      </c>
      <c r="T17" s="774" t="s">
        <v>17</v>
      </c>
      <c r="U17" s="775">
        <f>H17</f>
        <v>100</v>
      </c>
      <c r="V17" s="774" t="s">
        <v>17</v>
      </c>
      <c r="W17" s="775">
        <f>J17</f>
        <v>100</v>
      </c>
      <c r="X17" s="1813"/>
      <c r="Y17" s="3220"/>
      <c r="Z17" s="1814" t="str">
        <f>Q17</f>
        <v>交通便捷度</v>
      </c>
      <c r="AA17" s="1811">
        <f t="shared" si="3"/>
        <v>1</v>
      </c>
      <c r="AB17" s="1811">
        <f t="shared" si="4"/>
        <v>1</v>
      </c>
      <c r="AC17" s="1811">
        <f t="shared" si="5"/>
        <v>1</v>
      </c>
    </row>
    <row r="18" spans="1:29" ht="15">
      <c r="A18" s="428"/>
      <c r="B18" s="632"/>
      <c r="C18" s="447"/>
      <c r="D18" s="448"/>
      <c r="E18" s="2604"/>
      <c r="F18" s="448"/>
      <c r="G18" s="2604"/>
      <c r="H18" s="448"/>
      <c r="I18" s="2603"/>
      <c r="J18" s="448"/>
      <c r="K18" s="672"/>
      <c r="L18" s="1140"/>
      <c r="M18" s="1131"/>
      <c r="N18" s="1131"/>
      <c r="O18" s="1139"/>
      <c r="P18" s="3220"/>
      <c r="Q18" s="1810"/>
      <c r="R18" s="774"/>
      <c r="S18" s="775"/>
      <c r="T18" s="774"/>
      <c r="U18" s="775"/>
      <c r="V18" s="774"/>
      <c r="W18" s="775"/>
      <c r="X18" s="1813"/>
      <c r="Y18" s="3220"/>
      <c r="Z18" s="1814"/>
      <c r="AA18" s="1811">
        <v>1</v>
      </c>
      <c r="AB18" s="1811">
        <v>1</v>
      </c>
      <c r="AC18" s="1811">
        <v>1</v>
      </c>
    </row>
    <row r="19" spans="1:29" ht="28.8">
      <c r="A19" s="428"/>
      <c r="B19" s="631" t="s">
        <v>2744</v>
      </c>
      <c r="C19" s="2606">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220"/>
      <c r="Q19" s="1810" t="str">
        <f t="shared" ref="Q19:Q33" si="8">B19</f>
        <v>区域土地利用方向</v>
      </c>
      <c r="R19" s="774" t="s">
        <v>17</v>
      </c>
      <c r="S19" s="775">
        <f>F19</f>
        <v>100</v>
      </c>
      <c r="T19" s="774" t="s">
        <v>17</v>
      </c>
      <c r="U19" s="775">
        <f>H19</f>
        <v>100</v>
      </c>
      <c r="V19" s="774" t="s">
        <v>17</v>
      </c>
      <c r="W19" s="775">
        <f>J19</f>
        <v>100</v>
      </c>
      <c r="X19" s="1813"/>
      <c r="Y19" s="3220"/>
      <c r="Z19" s="1814" t="str">
        <f>Q19</f>
        <v>区域土地利用方向</v>
      </c>
      <c r="AA19" s="1811">
        <f t="shared" si="3"/>
        <v>1</v>
      </c>
      <c r="AB19" s="1811">
        <f t="shared" si="4"/>
        <v>1</v>
      </c>
      <c r="AC19" s="1811">
        <f t="shared" si="5"/>
        <v>1</v>
      </c>
    </row>
    <row r="20" spans="1:29" ht="15">
      <c r="A20" s="404"/>
      <c r="B20" s="632"/>
      <c r="C20" s="447"/>
      <c r="D20" s="448"/>
      <c r="E20" s="2604"/>
      <c r="F20" s="448"/>
      <c r="G20" s="2604"/>
      <c r="H20" s="448"/>
      <c r="I20" s="2604"/>
      <c r="J20" s="448"/>
      <c r="K20" s="812"/>
      <c r="L20" s="1140"/>
      <c r="M20" s="1131"/>
      <c r="N20" s="1131"/>
      <c r="O20" s="1139"/>
      <c r="P20" s="3220"/>
      <c r="Q20" s="1810"/>
      <c r="R20" s="774"/>
      <c r="S20" s="775"/>
      <c r="T20" s="774"/>
      <c r="U20" s="775"/>
      <c r="V20" s="774"/>
      <c r="W20" s="775"/>
      <c r="X20" s="1813"/>
      <c r="Y20" s="3220"/>
      <c r="Z20" s="1814"/>
      <c r="AA20" s="1811"/>
      <c r="AB20" s="1811"/>
      <c r="AC20" s="1811"/>
    </row>
    <row r="21" spans="1:29" ht="82.8">
      <c r="A21" s="404"/>
      <c r="B21" s="631" t="s">
        <v>2795</v>
      </c>
      <c r="C21" s="2606"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220"/>
      <c r="Q21" s="1810" t="str">
        <f t="shared" si="8"/>
        <v>环境状况</v>
      </c>
      <c r="R21" s="774" t="s">
        <v>17</v>
      </c>
      <c r="S21" s="775">
        <f>F21</f>
        <v>100</v>
      </c>
      <c r="T21" s="774" t="s">
        <v>17</v>
      </c>
      <c r="U21" s="775">
        <f>H21</f>
        <v>100</v>
      </c>
      <c r="V21" s="774" t="s">
        <v>17</v>
      </c>
      <c r="W21" s="775">
        <f>J21</f>
        <v>100</v>
      </c>
      <c r="X21" s="1813"/>
      <c r="Y21" s="3220"/>
      <c r="Z21" s="1814" t="str">
        <f>Q21</f>
        <v>环境状况</v>
      </c>
      <c r="AA21" s="1811">
        <f t="shared" si="3"/>
        <v>1</v>
      </c>
      <c r="AB21" s="1811">
        <f t="shared" si="4"/>
        <v>1</v>
      </c>
      <c r="AC21" s="1811">
        <f t="shared" si="5"/>
        <v>1</v>
      </c>
    </row>
    <row r="22" spans="1:29" ht="15">
      <c r="A22" s="404"/>
      <c r="B22" s="632"/>
      <c r="C22" s="447"/>
      <c r="D22" s="448"/>
      <c r="E22" s="2610"/>
      <c r="F22" s="448"/>
      <c r="G22" s="2610"/>
      <c r="H22" s="448"/>
      <c r="I22" s="447"/>
      <c r="J22" s="448"/>
      <c r="K22" s="672"/>
      <c r="L22" s="1140"/>
      <c r="M22" s="1131"/>
      <c r="N22" s="1131"/>
      <c r="O22" s="1139"/>
      <c r="P22" s="3220"/>
      <c r="Q22" s="1810"/>
      <c r="R22" s="774"/>
      <c r="S22" s="775"/>
      <c r="T22" s="774"/>
      <c r="U22" s="775"/>
      <c r="V22" s="774"/>
      <c r="W22" s="775"/>
      <c r="X22" s="1813"/>
      <c r="Y22" s="3220"/>
      <c r="Z22" s="1814"/>
      <c r="AA22" s="1811">
        <v>1</v>
      </c>
      <c r="AB22" s="1811">
        <v>1</v>
      </c>
      <c r="AC22" s="1811">
        <v>1</v>
      </c>
    </row>
    <row r="23" spans="1:29" s="117" customFormat="1" ht="41.4">
      <c r="A23" s="649"/>
      <c r="B23" s="633" t="s">
        <v>2650</v>
      </c>
      <c r="C23" s="2606"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220"/>
      <c r="Q23" s="1795" t="str">
        <f t="shared" si="8"/>
        <v>公共配套设施</v>
      </c>
      <c r="R23" s="770" t="s">
        <v>17</v>
      </c>
      <c r="S23" s="771">
        <f>F23</f>
        <v>100</v>
      </c>
      <c r="T23" s="770" t="s">
        <v>17</v>
      </c>
      <c r="U23" s="771">
        <f>H23</f>
        <v>100</v>
      </c>
      <c r="V23" s="770" t="s">
        <v>17</v>
      </c>
      <c r="W23" s="771">
        <f>J23</f>
        <v>100</v>
      </c>
      <c r="X23" s="772"/>
      <c r="Y23" s="3220"/>
      <c r="Z23" s="55" t="str">
        <f>Q23</f>
        <v>公共配套设施</v>
      </c>
      <c r="AA23" s="1811">
        <f>D23/F23</f>
        <v>1</v>
      </c>
      <c r="AB23" s="1811">
        <f>D23/H23</f>
        <v>1</v>
      </c>
      <c r="AC23" s="1811">
        <f>D23/J23</f>
        <v>1</v>
      </c>
    </row>
    <row r="24" spans="1:29" s="117" customFormat="1" ht="15">
      <c r="A24" s="649"/>
      <c r="B24" s="632"/>
      <c r="C24" s="2699"/>
      <c r="D24" s="448"/>
      <c r="E24" s="2610"/>
      <c r="F24" s="448"/>
      <c r="G24" s="2610"/>
      <c r="H24" s="448"/>
      <c r="I24" s="447"/>
      <c r="J24" s="448"/>
      <c r="K24" s="672"/>
      <c r="L24" s="1132"/>
      <c r="M24" s="1133"/>
      <c r="N24" s="1133"/>
      <c r="O24" s="1134"/>
      <c r="P24" s="3220"/>
      <c r="Q24" s="1795"/>
      <c r="R24" s="770"/>
      <c r="S24" s="771"/>
      <c r="T24" s="770"/>
      <c r="U24" s="771"/>
      <c r="V24" s="770"/>
      <c r="W24" s="771"/>
      <c r="X24" s="772"/>
      <c r="Y24" s="3220"/>
      <c r="Z24" s="55"/>
      <c r="AA24" s="773">
        <v>1</v>
      </c>
      <c r="AB24" s="773">
        <v>1</v>
      </c>
      <c r="AC24" s="773">
        <v>1</v>
      </c>
    </row>
    <row r="25" spans="1:29" s="117" customFormat="1" ht="41.4">
      <c r="A25" s="649"/>
      <c r="B25" s="633" t="s">
        <v>2651</v>
      </c>
      <c r="C25" s="2606"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220"/>
      <c r="Q25" s="1795" t="str">
        <f t="shared" ref="Q25" si="9">B25</f>
        <v>基础设施水平</v>
      </c>
      <c r="R25" s="770" t="s">
        <v>17</v>
      </c>
      <c r="S25" s="771">
        <f>F25</f>
        <v>100</v>
      </c>
      <c r="T25" s="770" t="s">
        <v>17</v>
      </c>
      <c r="U25" s="771">
        <f>H25</f>
        <v>100</v>
      </c>
      <c r="V25" s="770" t="s">
        <v>17</v>
      </c>
      <c r="W25" s="771">
        <f>J25</f>
        <v>100</v>
      </c>
      <c r="X25" s="772"/>
      <c r="Y25" s="3220"/>
      <c r="Z25" s="55" t="str">
        <f>Q25</f>
        <v>基础设施水平</v>
      </c>
      <c r="AA25" s="1811">
        <f>D25/F25</f>
        <v>1</v>
      </c>
      <c r="AB25" s="1811">
        <f>D25/H25</f>
        <v>1</v>
      </c>
      <c r="AC25" s="1811">
        <f>D25/J25</f>
        <v>1</v>
      </c>
    </row>
    <row r="26" spans="1:29" s="117" customFormat="1" ht="15">
      <c r="A26" s="649"/>
      <c r="B26" s="632"/>
      <c r="C26" s="2699"/>
      <c r="D26" s="448"/>
      <c r="E26" s="2700"/>
      <c r="F26" s="448"/>
      <c r="G26" s="2700"/>
      <c r="H26" s="448"/>
      <c r="I26" s="2700"/>
      <c r="J26" s="448"/>
      <c r="K26" s="672"/>
      <c r="L26" s="1132"/>
      <c r="M26" s="1133"/>
      <c r="N26" s="1133"/>
      <c r="O26" s="1134"/>
      <c r="P26" s="3220"/>
      <c r="Q26" s="1795"/>
      <c r="R26" s="770"/>
      <c r="S26" s="771"/>
      <c r="T26" s="770"/>
      <c r="U26" s="771"/>
      <c r="V26" s="770"/>
      <c r="W26" s="771"/>
      <c r="X26" s="772"/>
      <c r="Y26" s="3220"/>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220"/>
      <c r="Q27" s="1810" t="str">
        <f t="shared" si="8"/>
        <v>临街状况</v>
      </c>
      <c r="R27" s="774" t="s">
        <v>17</v>
      </c>
      <c r="S27" s="775">
        <f t="shared" ref="S27:S40" si="10">F27</f>
        <v>100</v>
      </c>
      <c r="T27" s="774" t="s">
        <v>17</v>
      </c>
      <c r="U27" s="775">
        <f t="shared" ref="U27:U40" si="11">H27</f>
        <v>100</v>
      </c>
      <c r="V27" s="774" t="s">
        <v>17</v>
      </c>
      <c r="W27" s="775">
        <f t="shared" ref="W27:W40" si="12">J27</f>
        <v>100</v>
      </c>
      <c r="X27" s="1813"/>
      <c r="Y27" s="3220"/>
      <c r="Z27" s="1814" t="str">
        <f t="shared" ref="Z27:Z40" si="13">Q27</f>
        <v>临街状况</v>
      </c>
      <c r="AA27" s="1811">
        <f t="shared" si="3"/>
        <v>1</v>
      </c>
      <c r="AB27" s="1811">
        <f t="shared" si="4"/>
        <v>1</v>
      </c>
      <c r="AC27" s="1811">
        <f t="shared" si="5"/>
        <v>1</v>
      </c>
    </row>
    <row r="28" spans="1:29" ht="28.8">
      <c r="A28" s="428"/>
      <c r="B28" s="633" t="s">
        <v>2687</v>
      </c>
      <c r="C28" s="2712">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220"/>
      <c r="Q28" s="1810" t="str">
        <f t="shared" si="8"/>
        <v>毗邻道路的类型与等级</v>
      </c>
      <c r="R28" s="774" t="s">
        <v>17</v>
      </c>
      <c r="S28" s="775">
        <f t="shared" si="10"/>
        <v>100</v>
      </c>
      <c r="T28" s="774" t="s">
        <v>17</v>
      </c>
      <c r="U28" s="775">
        <f t="shared" si="11"/>
        <v>100</v>
      </c>
      <c r="V28" s="774" t="s">
        <v>17</v>
      </c>
      <c r="W28" s="775">
        <f t="shared" si="12"/>
        <v>100</v>
      </c>
      <c r="X28" s="1813"/>
      <c r="Y28" s="3220"/>
      <c r="Z28" s="1814" t="str">
        <f t="shared" si="13"/>
        <v>毗邻道路的类型与等级</v>
      </c>
      <c r="AA28" s="1811">
        <f t="shared" si="3"/>
        <v>1</v>
      </c>
      <c r="AB28" s="1811">
        <f t="shared" si="4"/>
        <v>1</v>
      </c>
      <c r="AC28" s="1811">
        <f t="shared" si="5"/>
        <v>1</v>
      </c>
    </row>
    <row r="29" spans="1:29" ht="15">
      <c r="A29" s="428"/>
      <c r="B29" s="632"/>
      <c r="C29" s="447"/>
      <c r="D29" s="448"/>
      <c r="E29" s="2610"/>
      <c r="F29" s="448"/>
      <c r="G29" s="2610"/>
      <c r="H29" s="448"/>
      <c r="I29" s="2610"/>
      <c r="J29" s="448"/>
      <c r="K29" s="613"/>
      <c r="L29" s="1140"/>
      <c r="M29" s="1131"/>
      <c r="N29" s="1131"/>
      <c r="O29" s="1139"/>
      <c r="P29" s="3220"/>
      <c r="Q29" s="1810"/>
      <c r="R29" s="774"/>
      <c r="S29" s="775"/>
      <c r="T29" s="774"/>
      <c r="U29" s="775"/>
      <c r="V29" s="774"/>
      <c r="W29" s="775"/>
      <c r="X29" s="1813"/>
      <c r="Y29" s="3220"/>
      <c r="Z29" s="1814"/>
      <c r="AA29" s="1811">
        <v>1</v>
      </c>
      <c r="AB29" s="1811">
        <v>1</v>
      </c>
      <c r="AC29" s="1811">
        <v>1</v>
      </c>
    </row>
    <row r="30" spans="1:29" ht="15">
      <c r="A30" s="428"/>
      <c r="B30" s="654" t="s">
        <v>2746</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220"/>
      <c r="Q30" s="1810" t="str">
        <f t="shared" si="8"/>
        <v>土地级别</v>
      </c>
      <c r="R30" s="774" t="s">
        <v>17</v>
      </c>
      <c r="S30" s="775">
        <f t="shared" si="10"/>
        <v>100</v>
      </c>
      <c r="T30" s="774" t="s">
        <v>17</v>
      </c>
      <c r="U30" s="775">
        <f t="shared" si="11"/>
        <v>100</v>
      </c>
      <c r="V30" s="774" t="s">
        <v>17</v>
      </c>
      <c r="W30" s="775">
        <f t="shared" si="12"/>
        <v>100</v>
      </c>
      <c r="X30" s="1813"/>
      <c r="Y30" s="3220"/>
      <c r="Z30" s="1814" t="str">
        <f t="shared" si="13"/>
        <v>土地级别</v>
      </c>
      <c r="AA30" s="1811">
        <f t="shared" si="3"/>
        <v>1</v>
      </c>
      <c r="AB30" s="1811">
        <f t="shared" si="4"/>
        <v>1</v>
      </c>
      <c r="AC30" s="1811">
        <f t="shared" si="5"/>
        <v>1</v>
      </c>
    </row>
    <row r="31" spans="1:29" ht="15">
      <c r="A31" s="404"/>
      <c r="B31" s="2677">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220"/>
      <c r="Q31" s="1810">
        <f t="shared" si="8"/>
        <v>111</v>
      </c>
      <c r="R31" s="774" t="s">
        <v>17</v>
      </c>
      <c r="S31" s="775">
        <f t="shared" si="10"/>
        <v>100</v>
      </c>
      <c r="T31" s="774" t="s">
        <v>17</v>
      </c>
      <c r="U31" s="775">
        <f t="shared" si="11"/>
        <v>100</v>
      </c>
      <c r="V31" s="774" t="s">
        <v>17</v>
      </c>
      <c r="W31" s="775">
        <f t="shared" si="12"/>
        <v>100</v>
      </c>
      <c r="X31" s="1813"/>
      <c r="Y31" s="3220"/>
      <c r="Z31" s="1814">
        <f t="shared" si="13"/>
        <v>111</v>
      </c>
      <c r="AA31" s="1811">
        <f t="shared" si="3"/>
        <v>1</v>
      </c>
      <c r="AB31" s="1811">
        <f t="shared" si="4"/>
        <v>1</v>
      </c>
      <c r="AC31" s="1811">
        <f t="shared" si="5"/>
        <v>1</v>
      </c>
    </row>
    <row r="32" spans="1:29" ht="15">
      <c r="A32" s="675"/>
      <c r="B32" s="2713">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243" t="s">
        <v>2561</v>
      </c>
      <c r="Q32" s="1810">
        <f t="shared" si="8"/>
        <v>111</v>
      </c>
      <c r="R32" s="774" t="s">
        <v>17</v>
      </c>
      <c r="S32" s="775">
        <f t="shared" si="10"/>
        <v>100</v>
      </c>
      <c r="T32" s="774" t="s">
        <v>17</v>
      </c>
      <c r="U32" s="775">
        <f t="shared" si="11"/>
        <v>100</v>
      </c>
      <c r="V32" s="774" t="s">
        <v>17</v>
      </c>
      <c r="W32" s="775">
        <f t="shared" si="12"/>
        <v>100</v>
      </c>
      <c r="X32" s="1813"/>
      <c r="Y32" s="3224" t="s">
        <v>2561</v>
      </c>
      <c r="Z32" s="1814">
        <f t="shared" si="13"/>
        <v>111</v>
      </c>
      <c r="AA32" s="1811">
        <f t="shared" si="3"/>
        <v>1</v>
      </c>
      <c r="AB32" s="1811">
        <f t="shared" si="4"/>
        <v>1</v>
      </c>
      <c r="AC32" s="1811">
        <f t="shared" si="5"/>
        <v>1</v>
      </c>
    </row>
    <row r="33" spans="1:29" s="471" customFormat="1" ht="15.6" thickBot="1">
      <c r="A33" s="676"/>
      <c r="B33" s="2714">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224"/>
      <c r="Q33" s="1810">
        <f t="shared" si="8"/>
        <v>111</v>
      </c>
      <c r="R33" s="777" t="s">
        <v>17</v>
      </c>
      <c r="S33" s="778">
        <f t="shared" si="10"/>
        <v>100</v>
      </c>
      <c r="T33" s="777" t="s">
        <v>17</v>
      </c>
      <c r="U33" s="778">
        <f t="shared" si="11"/>
        <v>100</v>
      </c>
      <c r="V33" s="777" t="s">
        <v>17</v>
      </c>
      <c r="W33" s="778">
        <f t="shared" si="12"/>
        <v>100</v>
      </c>
      <c r="X33" s="779"/>
      <c r="Y33" s="3224"/>
      <c r="Z33" s="780">
        <f t="shared" si="13"/>
        <v>111</v>
      </c>
      <c r="AA33" s="1811">
        <f t="shared" si="3"/>
        <v>1</v>
      </c>
      <c r="AB33" s="1811">
        <f t="shared" si="4"/>
        <v>1</v>
      </c>
      <c r="AC33" s="1811">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224"/>
      <c r="Q34" s="1810" t="str">
        <f>B34</f>
        <v>宗地面积</v>
      </c>
      <c r="R34" s="774" t="s">
        <v>17</v>
      </c>
      <c r="S34" s="775" t="e">
        <f t="shared" si="10"/>
        <v>#N/A</v>
      </c>
      <c r="T34" s="774" t="s">
        <v>17</v>
      </c>
      <c r="U34" s="775" t="e">
        <f t="shared" si="11"/>
        <v>#N/A</v>
      </c>
      <c r="V34" s="774" t="s">
        <v>17</v>
      </c>
      <c r="W34" s="775" t="e">
        <f t="shared" si="12"/>
        <v>#N/A</v>
      </c>
      <c r="X34" s="1813"/>
      <c r="Y34" s="3224"/>
      <c r="Z34" s="1814" t="str">
        <f t="shared" si="13"/>
        <v>宗地面积</v>
      </c>
      <c r="AA34" s="1811" t="e">
        <f t="shared" si="3"/>
        <v>#N/A</v>
      </c>
      <c r="AB34" s="1811" t="e">
        <f t="shared" si="4"/>
        <v>#N/A</v>
      </c>
      <c r="AC34" s="1811" t="e">
        <f t="shared" si="5"/>
        <v>#N/A</v>
      </c>
    </row>
    <row r="35" spans="1:29" ht="15">
      <c r="A35" s="472"/>
      <c r="B35" s="422" t="s">
        <v>2748</v>
      </c>
      <c r="C35" s="2612"/>
      <c r="D35" s="435">
        <v>100</v>
      </c>
      <c r="E35" s="2612"/>
      <c r="F35" s="435">
        <f>SUMIF(110:110,E35,111:111)-SUMIF(110:110,C35,111:111)+100</f>
        <v>100</v>
      </c>
      <c r="G35" s="2612"/>
      <c r="H35" s="435">
        <f>SUMIF(110:110,G35,111:111)-SUMIF(110:110,C35,111:111)+100</f>
        <v>100</v>
      </c>
      <c r="I35" s="2612"/>
      <c r="J35" s="435">
        <f>SUMIF(110:110,I35,111:111)-SUMIF(110:110,C35,111:111)+100</f>
        <v>100</v>
      </c>
      <c r="K35" s="612"/>
      <c r="L35" s="1140"/>
      <c r="M35" s="1131"/>
      <c r="N35" s="1131"/>
      <c r="O35" s="1139"/>
      <c r="P35" s="3224"/>
      <c r="Q35" s="1810" t="str">
        <f t="shared" ref="Q35:Q40" si="14">B35</f>
        <v>宗地形状</v>
      </c>
      <c r="R35" s="774" t="s">
        <v>17</v>
      </c>
      <c r="S35" s="775">
        <f t="shared" si="10"/>
        <v>100</v>
      </c>
      <c r="T35" s="774" t="s">
        <v>17</v>
      </c>
      <c r="U35" s="775">
        <f t="shared" si="11"/>
        <v>100</v>
      </c>
      <c r="V35" s="774" t="s">
        <v>17</v>
      </c>
      <c r="W35" s="775">
        <f t="shared" si="12"/>
        <v>100</v>
      </c>
      <c r="X35" s="1813"/>
      <c r="Y35" s="3224"/>
      <c r="Z35" s="1814" t="str">
        <f t="shared" si="13"/>
        <v>宗地形状</v>
      </c>
      <c r="AA35" s="1811">
        <f t="shared" si="3"/>
        <v>1</v>
      </c>
      <c r="AB35" s="1811">
        <f t="shared" si="4"/>
        <v>1</v>
      </c>
      <c r="AC35" s="1811">
        <f t="shared" si="5"/>
        <v>1</v>
      </c>
    </row>
    <row r="36" spans="1:29" s="117" customFormat="1" ht="15">
      <c r="A36" s="473"/>
      <c r="B36" s="422" t="s">
        <v>2750</v>
      </c>
      <c r="C36" s="2701"/>
      <c r="D36" s="136">
        <v>100</v>
      </c>
      <c r="E36" s="2701"/>
      <c r="F36" s="435">
        <f>SUMIF(112:112,E36,113:113)-SUMIF(112:112,C36,113:113)+100</f>
        <v>100</v>
      </c>
      <c r="G36" s="2701"/>
      <c r="H36" s="435">
        <f>SUMIF(112:112,G36,113:113)-SUMIF(112:112,C36,113:113)+100</f>
        <v>100</v>
      </c>
      <c r="I36" s="2701"/>
      <c r="J36" s="435">
        <f>SUMIF(112:112,I36,113:113)-SUMIF(112:112,C36,113:113)+100</f>
        <v>100</v>
      </c>
      <c r="K36" s="612"/>
      <c r="L36" s="1132"/>
      <c r="M36" s="1133"/>
      <c r="N36" s="1133"/>
      <c r="O36" s="1134"/>
      <c r="P36" s="3224"/>
      <c r="Q36" s="1810" t="str">
        <f t="shared" si="14"/>
        <v>宗地开发程度</v>
      </c>
      <c r="R36" s="770" t="s">
        <v>17</v>
      </c>
      <c r="S36" s="771">
        <f t="shared" si="10"/>
        <v>100</v>
      </c>
      <c r="T36" s="770" t="s">
        <v>17</v>
      </c>
      <c r="U36" s="771">
        <f t="shared" si="11"/>
        <v>100</v>
      </c>
      <c r="V36" s="770" t="s">
        <v>17</v>
      </c>
      <c r="W36" s="771">
        <f t="shared" si="12"/>
        <v>100</v>
      </c>
      <c r="X36" s="772"/>
      <c r="Y36" s="3224"/>
      <c r="Z36" s="55" t="str">
        <f t="shared" si="13"/>
        <v>宗地开发程度</v>
      </c>
      <c r="AA36" s="773">
        <f t="shared" si="3"/>
        <v>1</v>
      </c>
      <c r="AB36" s="773">
        <f t="shared" si="4"/>
        <v>1</v>
      </c>
      <c r="AC36" s="773">
        <f t="shared" si="5"/>
        <v>1</v>
      </c>
    </row>
    <row r="37" spans="1:29" ht="15">
      <c r="A37" s="472"/>
      <c r="B37" s="422" t="s">
        <v>2751</v>
      </c>
      <c r="C37" s="2612"/>
      <c r="D37" s="435">
        <v>100</v>
      </c>
      <c r="E37" s="2612"/>
      <c r="F37" s="435">
        <f>SUMIF(114:114,E37,115:115)-SUMIF(114:114,C37,115:115)+100</f>
        <v>100</v>
      </c>
      <c r="G37" s="2612"/>
      <c r="H37" s="435">
        <f>SUMIF(114:114,G37,115:115)-SUMIF(114:114,C37,115:115)+100</f>
        <v>100</v>
      </c>
      <c r="I37" s="2612"/>
      <c r="J37" s="435">
        <f>SUMIF(114:114,I37,115:115)-SUMIF(114:114,C37,115:115)+100</f>
        <v>100</v>
      </c>
      <c r="K37" s="612"/>
      <c r="L37" s="1140"/>
      <c r="M37" s="1131"/>
      <c r="N37" s="1131"/>
      <c r="O37" s="1139"/>
      <c r="P37" s="3224" t="s">
        <v>2561</v>
      </c>
      <c r="Q37" s="1810" t="str">
        <f t="shared" si="14"/>
        <v>工程地质条件</v>
      </c>
      <c r="R37" s="774" t="s">
        <v>17</v>
      </c>
      <c r="S37" s="775">
        <f t="shared" si="10"/>
        <v>100</v>
      </c>
      <c r="T37" s="774" t="s">
        <v>17</v>
      </c>
      <c r="U37" s="775">
        <f t="shared" si="11"/>
        <v>100</v>
      </c>
      <c r="V37" s="774" t="s">
        <v>17</v>
      </c>
      <c r="W37" s="775">
        <f t="shared" si="12"/>
        <v>100</v>
      </c>
      <c r="X37" s="1813"/>
      <c r="Y37" s="3224" t="s">
        <v>2561</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224"/>
      <c r="Q38" s="1810">
        <f t="shared" si="14"/>
        <v>111</v>
      </c>
      <c r="R38" s="774" t="s">
        <v>17</v>
      </c>
      <c r="S38" s="775">
        <f t="shared" si="10"/>
        <v>100</v>
      </c>
      <c r="T38" s="774" t="s">
        <v>17</v>
      </c>
      <c r="U38" s="775">
        <f t="shared" si="11"/>
        <v>100</v>
      </c>
      <c r="V38" s="774" t="s">
        <v>17</v>
      </c>
      <c r="W38" s="775">
        <f t="shared" si="12"/>
        <v>100</v>
      </c>
      <c r="X38" s="1813"/>
      <c r="Y38" s="3224"/>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224"/>
      <c r="Q39" s="1810">
        <f t="shared" si="14"/>
        <v>111</v>
      </c>
      <c r="R39" s="774" t="s">
        <v>17</v>
      </c>
      <c r="S39" s="775">
        <f t="shared" si="10"/>
        <v>100</v>
      </c>
      <c r="T39" s="774" t="s">
        <v>17</v>
      </c>
      <c r="U39" s="775">
        <f t="shared" si="11"/>
        <v>100</v>
      </c>
      <c r="V39" s="774" t="s">
        <v>17</v>
      </c>
      <c r="W39" s="775">
        <f t="shared" si="12"/>
        <v>100</v>
      </c>
      <c r="X39" s="1813"/>
      <c r="Y39" s="3224"/>
      <c r="Z39" s="1814">
        <f t="shared" si="13"/>
        <v>111</v>
      </c>
      <c r="AA39" s="1811">
        <f t="shared" si="3"/>
        <v>1</v>
      </c>
      <c r="AB39" s="1811">
        <f t="shared" si="4"/>
        <v>1</v>
      </c>
      <c r="AC39" s="1811">
        <f t="shared" si="5"/>
        <v>1</v>
      </c>
    </row>
    <row r="40" spans="1:29" s="471" customFormat="1" ht="15.6" thickBot="1">
      <c r="A40" s="468"/>
      <c r="B40" s="1387">
        <v>111</v>
      </c>
      <c r="C40" s="2702"/>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224"/>
      <c r="Q40" s="1810">
        <f t="shared" si="14"/>
        <v>111</v>
      </c>
      <c r="R40" s="777" t="s">
        <v>17</v>
      </c>
      <c r="S40" s="778">
        <f t="shared" si="10"/>
        <v>100</v>
      </c>
      <c r="T40" s="777" t="s">
        <v>17</v>
      </c>
      <c r="U40" s="778">
        <f t="shared" si="11"/>
        <v>100</v>
      </c>
      <c r="V40" s="777" t="s">
        <v>17</v>
      </c>
      <c r="W40" s="778">
        <f t="shared" si="12"/>
        <v>100</v>
      </c>
      <c r="X40" s="779"/>
      <c r="Y40" s="3224"/>
      <c r="Z40" s="780">
        <f t="shared" si="13"/>
        <v>111</v>
      </c>
      <c r="AA40" s="1811">
        <f t="shared" si="3"/>
        <v>1</v>
      </c>
      <c r="AB40" s="1811">
        <f t="shared" si="4"/>
        <v>1</v>
      </c>
      <c r="AC40" s="1811">
        <f t="shared" si="5"/>
        <v>1</v>
      </c>
    </row>
    <row r="41" spans="1:29" ht="14.4">
      <c r="A41" s="479" t="s">
        <v>2716</v>
      </c>
      <c r="B41" s="2703" t="s">
        <v>2796</v>
      </c>
      <c r="C41" s="682" t="s">
        <v>1</v>
      </c>
      <c r="D41" s="481"/>
      <c r="E41" s="482"/>
      <c r="F41" s="483"/>
      <c r="G41" s="484"/>
      <c r="H41" s="485"/>
      <c r="I41" s="482"/>
      <c r="J41" s="485"/>
      <c r="K41" s="783"/>
      <c r="L41" s="1143"/>
      <c r="M41" s="1131"/>
      <c r="N41" s="1131"/>
      <c r="O41" s="1144"/>
      <c r="P41" s="3217" t="str">
        <f>A41</f>
        <v>成交单价</v>
      </c>
      <c r="Q41" s="3217"/>
      <c r="R41" s="3212">
        <f>E41</f>
        <v>0</v>
      </c>
      <c r="S41" s="3212"/>
      <c r="T41" s="3212">
        <f>G41</f>
        <v>0</v>
      </c>
      <c r="U41" s="3212"/>
      <c r="V41" s="3212">
        <f>I41</f>
        <v>0</v>
      </c>
      <c r="W41" s="3212"/>
      <c r="X41" s="759"/>
      <c r="Y41" s="781"/>
      <c r="Z41" s="759"/>
      <c r="AA41" s="759"/>
      <c r="AB41" s="759"/>
      <c r="AC41" s="759"/>
    </row>
    <row r="42" spans="1:29" ht="15" thickBot="1">
      <c r="A42" s="486" t="s">
        <v>2665</v>
      </c>
      <c r="B42" s="683"/>
      <c r="C42" s="490" t="e">
        <f>R43</f>
        <v>#DIV/0!</v>
      </c>
      <c r="D42" s="489"/>
      <c r="E42" s="490" t="e">
        <f>R42</f>
        <v>#DIV/0!</v>
      </c>
      <c r="F42" s="491"/>
      <c r="G42" s="488" t="e">
        <f>T42</f>
        <v>#DIV/0!</v>
      </c>
      <c r="H42" s="489"/>
      <c r="I42" s="490" t="e">
        <f>V42</f>
        <v>#DIV/0!</v>
      </c>
      <c r="J42" s="489"/>
      <c r="K42" s="784"/>
      <c r="L42" s="1143"/>
      <c r="M42" s="1131"/>
      <c r="N42" s="1131"/>
      <c r="O42" s="1144"/>
      <c r="P42" s="3217" t="str">
        <f>A42</f>
        <v>比较价值（元/平方米）</v>
      </c>
      <c r="Q42" s="3217"/>
      <c r="R42" s="3246" t="e">
        <f>ROUND(PRODUCT(R41,AA7:AA40),0)</f>
        <v>#DIV/0!</v>
      </c>
      <c r="S42" s="3246"/>
      <c r="T42" s="3246" t="e">
        <f>ROUND(PRODUCT(T41,AB7:AB40),0)</f>
        <v>#DIV/0!</v>
      </c>
      <c r="U42" s="3246"/>
      <c r="V42" s="3246" t="e">
        <f>ROUND(PRODUCT(V41,AC7:AC40),0)</f>
        <v>#DIV/0!</v>
      </c>
      <c r="W42" s="3246"/>
      <c r="X42" s="759"/>
      <c r="Y42" s="759"/>
      <c r="Z42" s="759"/>
      <c r="AA42" s="759"/>
      <c r="AB42" s="759"/>
      <c r="AC42" s="759"/>
    </row>
    <row r="43" spans="1:29" ht="15" thickBot="1">
      <c r="A43" s="492" t="s">
        <v>2666</v>
      </c>
      <c r="B43" s="493"/>
      <c r="C43" s="494" t="e">
        <f>R43</f>
        <v>#DIV/0!</v>
      </c>
      <c r="D43" s="494"/>
      <c r="E43" s="494"/>
      <c r="F43" s="494"/>
      <c r="G43" s="494"/>
      <c r="H43" s="494"/>
      <c r="I43" s="494"/>
      <c r="J43" s="494"/>
      <c r="K43" s="785"/>
      <c r="L43" s="1143"/>
      <c r="M43" s="1131"/>
      <c r="N43" s="1131"/>
      <c r="O43" s="1144"/>
      <c r="P43" s="3214" t="str">
        <f>A43</f>
        <v>估价对象XX用房的比较价值（楼面单价，元/平方米）</v>
      </c>
      <c r="Q43" s="3215"/>
      <c r="R43" s="3247" t="e">
        <f>ROUND(AVERAGE(R42:V42),0)</f>
        <v>#DIV/0!</v>
      </c>
      <c r="S43" s="3247"/>
      <c r="T43" s="3247"/>
      <c r="U43" s="3247"/>
      <c r="V43" s="3247"/>
      <c r="W43" s="3247"/>
      <c r="X43" s="759"/>
      <c r="Y43" s="759"/>
      <c r="Z43" s="759"/>
      <c r="AA43" s="759"/>
      <c r="AB43" s="759"/>
      <c r="AC43" s="759"/>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62"/>
      <c r="D49" s="760"/>
      <c r="E49" s="760"/>
      <c r="F49" s="760"/>
      <c r="G49" s="760"/>
      <c r="H49" s="760"/>
      <c r="I49" s="760"/>
      <c r="J49" s="760"/>
      <c r="K49" s="1148"/>
      <c r="L49" s="1149"/>
      <c r="M49" s="1145"/>
      <c r="N49" s="1145"/>
      <c r="O49" s="1145"/>
    </row>
    <row r="50" spans="1:17" ht="28.8">
      <c r="A50" s="684" t="s">
        <v>2754</v>
      </c>
      <c r="B50" s="685" t="s">
        <v>2755</v>
      </c>
      <c r="C50" s="2704" t="s">
        <v>2756</v>
      </c>
      <c r="D50" s="2705" t="s">
        <v>2757</v>
      </c>
      <c r="E50" s="686" t="s">
        <v>2758</v>
      </c>
      <c r="F50" s="687" t="s">
        <v>2759</v>
      </c>
      <c r="G50" s="3200" t="s">
        <v>2760</v>
      </c>
      <c r="H50" s="3248"/>
      <c r="I50" s="1814" t="s">
        <v>2797</v>
      </c>
      <c r="J50" s="1814" t="str">
        <f>项目基本情况!F35</f>
        <v>山东省</v>
      </c>
      <c r="K50" s="2707" t="s">
        <v>2762</v>
      </c>
      <c r="L50" s="1106"/>
      <c r="M50" s="1144"/>
      <c r="N50" s="1144"/>
      <c r="O50" s="1144"/>
    </row>
    <row r="51" spans="1:17" s="692" customFormat="1">
      <c r="A51" s="688" t="s">
        <v>2763</v>
      </c>
      <c r="B51" s="689" t="e">
        <f>C43</f>
        <v>#DIV/0!</v>
      </c>
      <c r="C51" s="690">
        <v>1</v>
      </c>
      <c r="D51" s="1163">
        <v>1</v>
      </c>
      <c r="E51" s="690">
        <f>'数据-汇总表'!E8+'数据-汇总表'!E9</f>
        <v>57392.160000000003</v>
      </c>
      <c r="F51" s="691" t="e">
        <f t="shared" ref="F51:F60" si="15">ROUND(B51*E51/10000,0)</f>
        <v>#DIV/0!</v>
      </c>
      <c r="G51" s="3199"/>
      <c r="H51" s="3217"/>
      <c r="I51" s="942">
        <v>1</v>
      </c>
      <c r="J51" s="942">
        <v>1</v>
      </c>
      <c r="K51" s="1145"/>
      <c r="L51" s="941"/>
      <c r="M51" s="941"/>
      <c r="N51" s="941"/>
      <c r="O51" s="941"/>
    </row>
    <row r="52" spans="1:17" s="692" customFormat="1">
      <c r="A52" s="693" t="s">
        <v>2764</v>
      </c>
      <c r="B52" s="262" t="e">
        <f>ROUND($C$43*C52*D52,0)</f>
        <v>#DIV/0!</v>
      </c>
      <c r="C52" s="200">
        <f t="shared" ref="C52:C60" si="16">IF($C$50="北京市系数",I52,J52)</f>
        <v>0</v>
      </c>
      <c r="D52" s="1164">
        <v>0.25</v>
      </c>
      <c r="E52" s="694"/>
      <c r="F52" s="691" t="e">
        <f t="shared" si="15"/>
        <v>#DIV/0!</v>
      </c>
      <c r="G52" s="3249" t="s">
        <v>2765</v>
      </c>
      <c r="H52" s="1104">
        <f>项目基本情况!B37</f>
        <v>0</v>
      </c>
      <c r="I52" s="942">
        <f>SUMIF(修正!A45:A56,H52,修正!B45:B56)</f>
        <v>0</v>
      </c>
      <c r="J52" s="943"/>
      <c r="K52" s="1144"/>
      <c r="L52" s="941"/>
      <c r="M52" s="941"/>
      <c r="N52" s="941"/>
      <c r="O52" s="941"/>
    </row>
    <row r="53" spans="1:17" s="692" customFormat="1">
      <c r="A53" s="693" t="s">
        <v>2766</v>
      </c>
      <c r="B53" s="262" t="e">
        <f t="shared" ref="B53:B60" si="17">ROUND($C$43*C53*D53,0)</f>
        <v>#DIV/0!</v>
      </c>
      <c r="C53" s="200">
        <f t="shared" si="16"/>
        <v>0</v>
      </c>
      <c r="D53" s="1164">
        <v>0.25</v>
      </c>
      <c r="E53" s="694"/>
      <c r="F53" s="691" t="e">
        <f t="shared" si="15"/>
        <v>#DIV/0!</v>
      </c>
      <c r="G53" s="3249"/>
      <c r="H53" s="1104">
        <f>项目基本情况!B37</f>
        <v>0</v>
      </c>
      <c r="I53" s="942">
        <f>SUMIF(修正!A45:A56,H53,修正!C45:C56)</f>
        <v>0</v>
      </c>
      <c r="J53" s="943"/>
      <c r="K53" s="1145"/>
      <c r="L53" s="941"/>
      <c r="M53" s="941"/>
      <c r="N53" s="941"/>
      <c r="O53" s="941"/>
    </row>
    <row r="54" spans="1:17" s="692" customFormat="1">
      <c r="A54" s="693" t="s">
        <v>2767</v>
      </c>
      <c r="B54" s="262" t="e">
        <f t="shared" si="17"/>
        <v>#DIV/0!</v>
      </c>
      <c r="C54" s="200">
        <f t="shared" si="16"/>
        <v>0</v>
      </c>
      <c r="D54" s="1164">
        <v>0.25</v>
      </c>
      <c r="E54" s="694"/>
      <c r="F54" s="691" t="e">
        <f t="shared" si="15"/>
        <v>#DIV/0!</v>
      </c>
      <c r="G54" s="3249"/>
      <c r="H54" s="1104">
        <f>项目基本情况!B37</f>
        <v>0</v>
      </c>
      <c r="I54" s="942">
        <f>SUMIF(修正!A45:A56,H54,修正!D45:D56)</f>
        <v>0</v>
      </c>
      <c r="J54" s="943"/>
      <c r="K54" s="1144"/>
      <c r="L54" s="941"/>
      <c r="M54" s="941"/>
      <c r="N54" s="941"/>
      <c r="O54" s="941"/>
    </row>
    <row r="55" spans="1:17" s="692" customFormat="1">
      <c r="A55" s="693" t="s">
        <v>2768</v>
      </c>
      <c r="B55" s="262" t="e">
        <f t="shared" si="17"/>
        <v>#DIV/0!</v>
      </c>
      <c r="C55" s="200">
        <f t="shared" si="16"/>
        <v>0</v>
      </c>
      <c r="D55" s="1164">
        <v>0.25</v>
      </c>
      <c r="E55" s="694"/>
      <c r="F55" s="691" t="e">
        <f t="shared" si="15"/>
        <v>#DIV/0!</v>
      </c>
      <c r="G55" s="3249"/>
      <c r="H55" s="1104">
        <f>项目基本情况!B37</f>
        <v>0</v>
      </c>
      <c r="I55" s="942">
        <f>SUMIF(修正!A45:A56,H55,修正!E45:E56)</f>
        <v>0</v>
      </c>
      <c r="J55" s="943"/>
      <c r="K55" s="1145"/>
      <c r="L55" s="941"/>
      <c r="M55" s="941"/>
      <c r="N55" s="941"/>
      <c r="O55" s="941"/>
    </row>
    <row r="56" spans="1:17" s="692" customFormat="1">
      <c r="A56" s="693" t="s">
        <v>2769</v>
      </c>
      <c r="B56" s="262" t="e">
        <f t="shared" si="17"/>
        <v>#DIV/0!</v>
      </c>
      <c r="C56" s="200">
        <f t="shared" si="16"/>
        <v>0</v>
      </c>
      <c r="D56" s="1164">
        <v>0.25</v>
      </c>
      <c r="E56" s="261">
        <f>'数据-汇总表'!E11</f>
        <v>0</v>
      </c>
      <c r="F56" s="691" t="e">
        <f t="shared" si="15"/>
        <v>#DIV/0!</v>
      </c>
      <c r="G56" s="2708" t="s">
        <v>2770</v>
      </c>
      <c r="H56" s="1104">
        <f>项目基本情况!C37</f>
        <v>0</v>
      </c>
      <c r="I56" s="942">
        <f>SUMIF(修正!A45:A56,H56,修正!F45:F56)</f>
        <v>0</v>
      </c>
      <c r="J56" s="943"/>
      <c r="K56" s="1144"/>
      <c r="L56" s="941"/>
      <c r="M56" s="941"/>
      <c r="N56" s="941"/>
      <c r="O56" s="941"/>
    </row>
    <row r="57" spans="1:17" s="692" customFormat="1">
      <c r="A57" s="693" t="s">
        <v>2771</v>
      </c>
      <c r="B57" s="262" t="e">
        <f t="shared" si="17"/>
        <v>#DIV/0!</v>
      </c>
      <c r="C57" s="200">
        <f t="shared" si="16"/>
        <v>0</v>
      </c>
      <c r="D57" s="1164">
        <v>0.25</v>
      </c>
      <c r="E57" s="261">
        <f>'数据-汇总表'!E12</f>
        <v>0</v>
      </c>
      <c r="F57" s="691" t="e">
        <f t="shared" si="15"/>
        <v>#DIV/0!</v>
      </c>
      <c r="G57" s="1109" t="s">
        <v>2772</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2773</v>
      </c>
      <c r="B58" s="262" t="e">
        <f t="shared" si="17"/>
        <v>#DIV/0!</v>
      </c>
      <c r="C58" s="200">
        <f t="shared" si="16"/>
        <v>0</v>
      </c>
      <c r="D58" s="1164">
        <v>0.25</v>
      </c>
      <c r="E58" s="261">
        <f>'数据-汇总表'!E13</f>
        <v>0</v>
      </c>
      <c r="F58" s="691" t="e">
        <f t="shared" si="15"/>
        <v>#DIV/0!</v>
      </c>
      <c r="G58" s="1109" t="s">
        <v>2774</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2775</v>
      </c>
      <c r="B59" s="262" t="e">
        <f t="shared" si="17"/>
        <v>#DIV/0!</v>
      </c>
      <c r="C59" s="200">
        <f t="shared" si="16"/>
        <v>0</v>
      </c>
      <c r="D59" s="1164">
        <v>0.25</v>
      </c>
      <c r="E59" s="261">
        <f>'数据-汇总表'!E14</f>
        <v>0</v>
      </c>
      <c r="F59" s="691" t="e">
        <f t="shared" si="15"/>
        <v>#DIV/0!</v>
      </c>
      <c r="G59" s="2708" t="s">
        <v>2765</v>
      </c>
      <c r="H59" s="1104">
        <f>项目基本情况!B37</f>
        <v>0</v>
      </c>
      <c r="I59" s="942">
        <f>SUMIF(修正!A45:A56,H59,修正!H45:H56)</f>
        <v>0</v>
      </c>
      <c r="J59" s="943"/>
      <c r="K59" s="1145"/>
      <c r="L59" s="941"/>
      <c r="M59" s="941"/>
      <c r="N59" s="941"/>
      <c r="O59" s="941"/>
    </row>
    <row r="60" spans="1:17" s="692" customFormat="1" ht="14.4" thickBot="1">
      <c r="A60" s="693" t="s">
        <v>2776</v>
      </c>
      <c r="B60" s="262" t="e">
        <f t="shared" si="17"/>
        <v>#DIV/0!</v>
      </c>
      <c r="C60" s="200">
        <f t="shared" si="16"/>
        <v>0</v>
      </c>
      <c r="D60" s="1164">
        <v>0.25</v>
      </c>
      <c r="E60" s="261">
        <f>'数据-汇总表'!E15</f>
        <v>0</v>
      </c>
      <c r="F60" s="691" t="e">
        <f t="shared" si="15"/>
        <v>#DIV/0!</v>
      </c>
      <c r="G60" s="2709" t="s">
        <v>2770</v>
      </c>
      <c r="H60" s="1114">
        <f>项目基本情况!C37</f>
        <v>0</v>
      </c>
      <c r="I60" s="942">
        <f>SUMIF(修正!A45:A56,H60,修正!H45:H56)</f>
        <v>0</v>
      </c>
      <c r="J60" s="943"/>
      <c r="K60" s="1144"/>
      <c r="L60" s="941"/>
      <c r="M60" s="941"/>
      <c r="N60" s="941"/>
      <c r="O60" s="941"/>
    </row>
    <row r="61" spans="1:17" s="692" customFormat="1" ht="14.4" thickBot="1">
      <c r="A61" s="695" t="s">
        <v>2777</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61" t="str">
        <f>YEAR(C7)&amp;"-"&amp;MONTH(C7)&amp;"-1"</f>
        <v>2019-8-1</v>
      </c>
      <c r="D63" s="761">
        <f>EDATE(C63,-3)</f>
        <v>43586</v>
      </c>
      <c r="E63" s="761">
        <f>EDATE(D63,-3)</f>
        <v>43497</v>
      </c>
      <c r="F63" s="761">
        <f t="shared" ref="F63:O63" si="18">EDATE(E63,-3)</f>
        <v>43405</v>
      </c>
      <c r="G63" s="761">
        <f t="shared" si="18"/>
        <v>43313</v>
      </c>
      <c r="H63" s="761">
        <f t="shared" si="18"/>
        <v>43221</v>
      </c>
      <c r="I63" s="761">
        <f t="shared" si="18"/>
        <v>43132</v>
      </c>
      <c r="J63" s="761">
        <f t="shared" si="18"/>
        <v>43040</v>
      </c>
      <c r="K63" s="761">
        <f t="shared" si="18"/>
        <v>42948</v>
      </c>
      <c r="L63" s="761">
        <f t="shared" si="18"/>
        <v>42856</v>
      </c>
      <c r="M63" s="761">
        <f t="shared" si="18"/>
        <v>42767</v>
      </c>
      <c r="N63" s="761">
        <f t="shared" si="18"/>
        <v>42675</v>
      </c>
      <c r="O63" s="761">
        <f t="shared" si="18"/>
        <v>42583</v>
      </c>
    </row>
    <row r="64" spans="1:17" ht="22.2" thickBot="1">
      <c r="A64" s="763" t="s">
        <v>2670</v>
      </c>
      <c r="B64" s="759"/>
      <c r="C64" s="764"/>
      <c r="D64" s="764"/>
      <c r="E64" s="764"/>
      <c r="F64" s="765"/>
      <c r="G64" s="765"/>
      <c r="H64" s="764"/>
      <c r="I64" s="764"/>
      <c r="J64" s="764"/>
      <c r="K64" s="766"/>
      <c r="L64" s="767"/>
      <c r="M64" s="764"/>
      <c r="N64" s="764"/>
      <c r="O64" s="1159"/>
      <c r="P64" s="503"/>
      <c r="Q64" s="504"/>
    </row>
    <row r="65" spans="1:17" s="508" customFormat="1" ht="14.4">
      <c r="A65" s="2710" t="s">
        <v>2778</v>
      </c>
      <c r="B65" s="1359"/>
      <c r="C65" s="1572" t="str">
        <f>YEAR(C63)&amp;"-"&amp;ROUNDUP(MONTH(C63)/3,0)</f>
        <v>2019-3</v>
      </c>
      <c r="D65" s="1572" t="str">
        <f t="shared" ref="D65:O65" si="19">YEAR(D63)&amp;"-"&amp;ROUNDUP(MONTH(D63)/3,0)</f>
        <v>2019-2</v>
      </c>
      <c r="E65" s="1572" t="str">
        <f t="shared" si="19"/>
        <v>2019-1</v>
      </c>
      <c r="F65" s="1572" t="str">
        <f t="shared" si="19"/>
        <v>2018-4</v>
      </c>
      <c r="G65" s="1572" t="str">
        <f t="shared" si="19"/>
        <v>2018-3</v>
      </c>
      <c r="H65" s="1572" t="str">
        <f t="shared" si="19"/>
        <v>2018-2</v>
      </c>
      <c r="I65" s="1572" t="str">
        <f t="shared" si="19"/>
        <v>2018-1</v>
      </c>
      <c r="J65" s="1572" t="str">
        <f t="shared" si="19"/>
        <v>2017-4</v>
      </c>
      <c r="K65" s="1572" t="str">
        <f t="shared" si="19"/>
        <v>2017-3</v>
      </c>
      <c r="L65" s="1572" t="str">
        <f t="shared" si="19"/>
        <v>2017-2</v>
      </c>
      <c r="M65" s="1572" t="str">
        <f t="shared" si="19"/>
        <v>2017-1</v>
      </c>
      <c r="N65" s="1572" t="str">
        <f t="shared" si="19"/>
        <v>2016-4</v>
      </c>
      <c r="O65" s="1572" t="str">
        <f t="shared" si="19"/>
        <v>2016-3</v>
      </c>
      <c r="P65" s="507"/>
    </row>
    <row r="66" spans="1:17" s="117" customFormat="1" ht="30.75" customHeight="1">
      <c r="A66" s="2715" t="s">
        <v>2798</v>
      </c>
      <c r="B66" s="332" t="str">
        <f>"北京市平均增长率"&amp;TEXT(基准地价修正!P24,"0.00%")</f>
        <v>北京市平均增长率1.40%</v>
      </c>
      <c r="C66" s="603">
        <v>100</v>
      </c>
      <c r="D66" s="595"/>
      <c r="E66" s="595"/>
      <c r="F66" s="595"/>
      <c r="G66" s="595"/>
      <c r="H66" s="595"/>
      <c r="I66" s="595"/>
      <c r="J66" s="595"/>
      <c r="K66" s="595"/>
      <c r="L66" s="595"/>
      <c r="M66" s="1567"/>
      <c r="N66" s="1567"/>
      <c r="O66" s="1569"/>
      <c r="P66" s="504"/>
    </row>
    <row r="67" spans="1:17" s="117" customFormat="1" ht="15" thickBot="1">
      <c r="A67" s="515" t="s">
        <v>2581</v>
      </c>
      <c r="B67" s="516"/>
      <c r="C67" s="517"/>
      <c r="D67" s="518"/>
      <c r="E67" s="518"/>
      <c r="F67" s="518"/>
      <c r="G67" s="518"/>
      <c r="H67" s="518"/>
      <c r="I67" s="518"/>
      <c r="J67" s="518"/>
      <c r="K67" s="518"/>
      <c r="L67" s="518"/>
      <c r="M67" s="519"/>
      <c r="N67" s="519"/>
      <c r="O67" s="520"/>
      <c r="P67" s="504"/>
      <c r="Q67" s="504"/>
    </row>
    <row r="68" spans="1:17" s="117" customFormat="1" ht="14.4">
      <c r="A68" s="521" t="s">
        <v>2546</v>
      </c>
      <c r="B68" s="510"/>
      <c r="C68" s="522" t="s">
        <v>2648</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2584</v>
      </c>
      <c r="B70" s="528" t="s">
        <v>2550</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2553</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2555</v>
      </c>
      <c r="B83" s="528" t="s">
        <v>2701</v>
      </c>
      <c r="C83" s="573" t="s">
        <v>2593</v>
      </c>
      <c r="D83" s="573" t="s">
        <v>2594</v>
      </c>
      <c r="E83" s="573" t="s">
        <v>2595</v>
      </c>
      <c r="F83" s="573" t="s">
        <v>2596</v>
      </c>
      <c r="G83" s="573" t="s">
        <v>2597</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2598</v>
      </c>
      <c r="C85" s="578" t="s">
        <v>2593</v>
      </c>
      <c r="D85" s="578" t="s">
        <v>2594</v>
      </c>
      <c r="E85" s="578" t="s">
        <v>2595</v>
      </c>
      <c r="F85" s="578" t="s">
        <v>2596</v>
      </c>
      <c r="G85" s="578" t="s">
        <v>2597</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2781</v>
      </c>
      <c r="C87" s="573" t="s">
        <v>2593</v>
      </c>
      <c r="D87" s="573" t="s">
        <v>2594</v>
      </c>
      <c r="E87" s="573" t="s">
        <v>2595</v>
      </c>
      <c r="F87" s="573" t="s">
        <v>2596</v>
      </c>
      <c r="G87" s="573" t="s">
        <v>2597</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2782</v>
      </c>
      <c r="C89" s="573" t="s">
        <v>2593</v>
      </c>
      <c r="D89" s="573" t="s">
        <v>2594</v>
      </c>
      <c r="E89" s="573" t="s">
        <v>2595</v>
      </c>
      <c r="F89" s="573" t="s">
        <v>2596</v>
      </c>
      <c r="G89" s="573" t="s">
        <v>2597</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2650</v>
      </c>
      <c r="C91" s="573" t="s">
        <v>2593</v>
      </c>
      <c r="D91" s="573" t="s">
        <v>2594</v>
      </c>
      <c r="E91" s="573" t="s">
        <v>2595</v>
      </c>
      <c r="F91" s="573" t="s">
        <v>2596</v>
      </c>
      <c r="G91" s="573" t="s">
        <v>2597</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2799</v>
      </c>
      <c r="C93" s="660" t="s">
        <v>2671</v>
      </c>
      <c r="D93" s="660" t="s">
        <v>2672</v>
      </c>
      <c r="E93" s="660" t="s">
        <v>2673</v>
      </c>
      <c r="F93" s="660" t="s">
        <v>2674</v>
      </c>
      <c r="G93" s="660" t="s">
        <v>2675</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2783</v>
      </c>
      <c r="D95" s="539" t="s">
        <v>2784</v>
      </c>
      <c r="E95" s="539" t="s">
        <v>2785</v>
      </c>
      <c r="F95" s="539" t="s">
        <v>2786</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2687</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2746</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2559</v>
      </c>
      <c r="B107" s="528" t="s">
        <v>2787</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2788</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2790</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2791</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43" sqref="R43:W43"/>
    </sheetView>
  </sheetViews>
  <sheetFormatPr defaultColWidth="12" defaultRowHeight="13.2"/>
  <cols>
    <col min="1" max="1" width="9.77734375" style="2787" customWidth="1"/>
    <col min="2" max="2" width="19.21875" style="2893" customWidth="1"/>
    <col min="3" max="4" width="12" style="2719"/>
    <col min="5" max="5" width="14.6640625" style="2719" customWidth="1"/>
    <col min="6" max="8" width="12" style="2719"/>
    <col min="9" max="9" width="12.21875" style="2719" bestFit="1" customWidth="1"/>
    <col min="10" max="10" width="12" style="2719"/>
    <col min="11" max="11" width="8.109375" style="2782" customWidth="1"/>
    <col min="12" max="12" width="12" style="2719"/>
    <col min="13" max="13" width="8.44140625" style="2719" customWidth="1"/>
    <col min="14" max="14" width="9.77734375" style="2719" customWidth="1"/>
    <col min="15" max="25" width="12" style="2719"/>
    <col min="26" max="26" width="9.33203125" style="2787" customWidth="1"/>
    <col min="27" max="32" width="9.33203125" style="1372" customWidth="1"/>
    <col min="33" max="36" width="9.33203125" style="2787" customWidth="1"/>
    <col min="37" max="38" width="9.33203125" style="2719" customWidth="1"/>
    <col min="39" max="16384" width="12" style="2719"/>
  </cols>
  <sheetData>
    <row r="1" spans="1:36" ht="31.2">
      <c r="A1" s="240" t="s">
        <v>2800</v>
      </c>
      <c r="B1" s="241"/>
      <c r="C1" s="245" t="s">
        <v>2801</v>
      </c>
      <c r="D1" s="388">
        <f>SUM(D29:D30,D33:D39)</f>
        <v>0</v>
      </c>
      <c r="E1" s="2716"/>
      <c r="F1" s="2716"/>
      <c r="G1" s="2716"/>
      <c r="H1" s="2716"/>
      <c r="I1" s="2716"/>
      <c r="J1" s="2716"/>
      <c r="K1" s="1370"/>
      <c r="L1" s="2717" t="s">
        <v>2802</v>
      </c>
      <c r="M1" s="1080">
        <f>SUMPRODUCT((区片价!B5:B9=I2)*(区片价!C3:F3=E2)*(区片价!C5:F9))</f>
        <v>0</v>
      </c>
      <c r="N1" s="1083">
        <f>SUMPRODUCT((因素修正幅度!B5:B9=I2)*(因素修正幅度!C3:F3=E2)*(因素修正幅度!C5:F9))</f>
        <v>0</v>
      </c>
      <c r="O1" s="2718"/>
      <c r="P1" s="2718"/>
      <c r="Q1" s="1370"/>
      <c r="R1" s="1602" t="s">
        <v>2803</v>
      </c>
      <c r="S1" s="1602" t="s">
        <v>2804</v>
      </c>
      <c r="T1" s="1602" t="s">
        <v>2805</v>
      </c>
      <c r="U1" s="1602" t="s">
        <v>2806</v>
      </c>
      <c r="V1" s="1602" t="s">
        <v>2807</v>
      </c>
      <c r="W1" s="1606"/>
      <c r="X1" s="1606"/>
      <c r="Y1" s="1606"/>
      <c r="Z1" s="1606"/>
      <c r="AA1" s="1606"/>
      <c r="AB1" s="1606"/>
      <c r="AC1" s="1607"/>
      <c r="AD1" s="1608"/>
      <c r="AE1" s="1608"/>
      <c r="AF1" s="1608"/>
      <c r="AG1" s="1608"/>
      <c r="AH1" s="1608"/>
      <c r="AI1" s="1608"/>
      <c r="AJ1" s="1609"/>
    </row>
    <row r="2" spans="1:36" ht="15.6">
      <c r="A2" s="245" t="s">
        <v>2808</v>
      </c>
      <c r="B2" s="248" t="e">
        <f>C26</f>
        <v>#DIV/0!</v>
      </c>
      <c r="C2" s="2720" t="s">
        <v>2809</v>
      </c>
      <c r="D2" s="2721" t="s">
        <v>2810</v>
      </c>
      <c r="E2" s="2722"/>
      <c r="F2" s="2721" t="s">
        <v>2811</v>
      </c>
      <c r="G2" s="2723">
        <f>IF(E2="商业",项目基本情况!B37,IF(E2="办公",项目基本情况!C37,IF(E2="住宅",项目基本情况!D37,项目基本情况!E37)))</f>
        <v>0</v>
      </c>
      <c r="H2" s="2721" t="s">
        <v>2812</v>
      </c>
      <c r="I2" s="2723">
        <f>IF(E2="商业",项目基本情况!B38,IF(E2="办公",项目基本情况!C38,IF(E2="住宅",项目基本情况!D38,项目基本情况!E38)))</f>
        <v>0</v>
      </c>
      <c r="J2" s="2724"/>
      <c r="K2" s="1370"/>
      <c r="L2" s="2725" t="s">
        <v>2813</v>
      </c>
      <c r="M2" s="1081">
        <f>SUMPRODUCT((区片价!B10:B28=I2)*(区片价!C3:F3=E2)*(区片价!C10:F28))</f>
        <v>0</v>
      </c>
      <c r="N2" s="1083">
        <f>SUMPRODUCT((因素修正幅度!B10:B28=I2)*(因素修正幅度!C3:F3=E2)*(因素修正幅度!C10:F28))</f>
        <v>0</v>
      </c>
      <c r="O2" s="1370"/>
      <c r="P2" s="1370"/>
      <c r="Q2" s="1370"/>
      <c r="R2" s="1602">
        <v>1</v>
      </c>
      <c r="S2" s="1602" t="e">
        <f>ROUND(IF(G3&gt;1,IF(R2&lt;7,SUMPRODUCT((B93:B98=R2)*(C92:N92=G2)*(C93:N98)),SUMIF(C92:N92,G2,C100:N100)),IF(R2&lt;7,SUMPRODUCT((B102:B107=R2)*(C92:N92=G2)*(C102:N107)),SUMIF(C92:N92,G2,C109:N109))),4)</f>
        <v>#DIV/0!</v>
      </c>
      <c r="T2" s="1602" t="e">
        <f>ROUND($C$5*$C$18*$C$19*$C$20*S2*$C$24,0)</f>
        <v>#DIV/0!</v>
      </c>
      <c r="U2" s="1603"/>
      <c r="V2" s="1602" t="e">
        <f>ROUND(T2*U2/10000,0)</f>
        <v>#DIV/0!</v>
      </c>
      <c r="W2" s="1606"/>
      <c r="X2" s="1606"/>
      <c r="Y2" s="1606"/>
      <c r="Z2" s="1606"/>
      <c r="AA2" s="1606"/>
      <c r="AB2" s="1606"/>
      <c r="AC2" s="1607"/>
      <c r="AD2" s="1608"/>
      <c r="AE2" s="1608"/>
      <c r="AF2" s="1608"/>
      <c r="AG2" s="1608"/>
      <c r="AH2" s="1608"/>
      <c r="AI2" s="1608"/>
      <c r="AJ2" s="1609"/>
    </row>
    <row r="3" spans="1:36" ht="15.6">
      <c r="A3" s="247" t="s">
        <v>2814</v>
      </c>
      <c r="B3" s="248" t="e">
        <f>ROUND(B2*10000/D1,0)</f>
        <v>#DIV/0!</v>
      </c>
      <c r="C3" s="2720" t="s">
        <v>2815</v>
      </c>
      <c r="D3" s="2721" t="s">
        <v>2816</v>
      </c>
      <c r="E3" s="2726"/>
      <c r="F3" s="2727" t="s">
        <v>2817</v>
      </c>
      <c r="G3" s="916" t="e">
        <f>IF(F3="宗地容积率",'数据-汇总表'!I4,IF(F3="估价对象容积率",'数据-汇总表'!I6,'数据-汇总表'!I7))</f>
        <v>#DIV/0!</v>
      </c>
      <c r="H3" s="198" t="s">
        <v>2818</v>
      </c>
      <c r="I3" s="944"/>
      <c r="J3" s="2724" t="s">
        <v>2819</v>
      </c>
      <c r="K3" s="1370"/>
      <c r="L3" s="2725" t="s">
        <v>2820</v>
      </c>
      <c r="M3" s="1081">
        <f>SUMPRODUCT((区片价!B29:B48=I2)*(区片价!C3:F3=E2)*(区片价!C29:F48))</f>
        <v>0</v>
      </c>
      <c r="N3" s="1083">
        <f>SUMPRODUCT((因素修正幅度!B29:B48=I2)*(因素修正幅度!C3:F3=E2)*(因素修正幅度!C29:F48))</f>
        <v>0</v>
      </c>
      <c r="O3" s="1370"/>
      <c r="P3" s="1370"/>
      <c r="Q3" s="1370"/>
      <c r="R3" s="1602">
        <v>2</v>
      </c>
      <c r="S3" s="1602" t="e">
        <f>ROUND(IF(G3&gt;1,IF(R3&lt;7,SUMPRODUCT((B93:B98=R3)*(C92:N92=G2)*(C93:N98)),SUMIF(C92:N92,G2,C100:N100)),IF(R3&lt;7,SUMPRODUCT((B102:B107=R3)*(C92:N92=G2)*(C102:N107)),SUMIF(C92:N92,G2,C109:N109))),4)</f>
        <v>#DIV/0!</v>
      </c>
      <c r="T3" s="1602" t="e">
        <f t="shared" ref="T3:T16" si="0">ROUND($C$5*$C$18*$C$19*$C$20*S3*$C$24,0)</f>
        <v>#DIV/0!</v>
      </c>
      <c r="U3" s="1603"/>
      <c r="V3" s="1602" t="e">
        <f t="shared" ref="V3:V16" si="1">ROUND(T3*U3/10000,0)</f>
        <v>#DIV/0!</v>
      </c>
      <c r="W3" s="1606"/>
      <c r="X3" s="1606"/>
      <c r="Y3" s="1606"/>
      <c r="Z3" s="1606"/>
      <c r="AA3" s="1606"/>
      <c r="AB3" s="1606"/>
      <c r="AC3" s="1607"/>
      <c r="AD3" s="1608"/>
      <c r="AE3" s="1608"/>
      <c r="AF3" s="1608"/>
      <c r="AG3" s="1608"/>
      <c r="AH3" s="1608"/>
      <c r="AI3" s="1608"/>
      <c r="AJ3" s="1609"/>
    </row>
    <row r="4" spans="1:36" ht="15.6">
      <c r="A4" s="3270"/>
      <c r="B4" s="3271"/>
      <c r="C4" s="3271"/>
      <c r="D4" s="3272"/>
      <c r="E4" s="3272"/>
      <c r="F4" s="3272"/>
      <c r="G4" s="3272"/>
      <c r="H4" s="3272"/>
      <c r="I4" s="3272"/>
      <c r="J4" s="3273"/>
      <c r="K4" s="1370"/>
      <c r="L4" s="2725" t="s">
        <v>2821</v>
      </c>
      <c r="M4" s="1081">
        <f>SUMPRODUCT((区片价!B49:B75=I2)*(区片价!C3:F3=E2)*(区片价!C49:F75))</f>
        <v>0</v>
      </c>
      <c r="N4" s="1083">
        <f>SUMPRODUCT((因素修正幅度!B49:B75=I2)*(因素修正幅度!C3:F3=E2)*(因素修正幅度!C49:F75))</f>
        <v>0</v>
      </c>
      <c r="O4" s="1370"/>
      <c r="P4" s="1370"/>
      <c r="Q4" s="1370"/>
      <c r="R4" s="1602">
        <v>3</v>
      </c>
      <c r="S4" s="1602" t="e">
        <f>ROUND(IF(G3&gt;1,IF(R4&lt;7,SUMPRODUCT((B93:B98=R4)*(C92:N92=G2)*(C93:N98)),SUMIF(C92:N92,G2,C100:N100)),IF(R4&lt;7,SUMPRODUCT((B102:B107=R4)*(C92:N92=G2)*(C102:N107)),SUMIF(C92:N92,G2,C109:N109))),4)</f>
        <v>#DIV/0!</v>
      </c>
      <c r="T4" s="1602" t="e">
        <f t="shared" si="0"/>
        <v>#DIV/0!</v>
      </c>
      <c r="U4" s="1603"/>
      <c r="V4" s="1602" t="e">
        <f t="shared" si="1"/>
        <v>#DIV/0!</v>
      </c>
      <c r="W4" s="1606"/>
      <c r="X4" s="1606"/>
      <c r="Y4" s="1606"/>
      <c r="Z4" s="1606"/>
      <c r="AA4" s="1606"/>
      <c r="AB4" s="1606"/>
      <c r="AC4" s="1607"/>
      <c r="AD4" s="1608"/>
      <c r="AE4" s="1608"/>
      <c r="AF4" s="1608"/>
      <c r="AG4" s="1608"/>
      <c r="AH4" s="1608"/>
      <c r="AI4" s="1608"/>
      <c r="AJ4" s="1609"/>
    </row>
    <row r="5" spans="1:36" s="2737" customFormat="1" ht="15.6" thickBot="1">
      <c r="A5" s="2728" t="s">
        <v>807</v>
      </c>
      <c r="B5" s="2729" t="s">
        <v>2822</v>
      </c>
      <c r="C5" s="917" t="e">
        <f>ROUND(IF(E2="商业",C6*C7+C16,(IF(E2="住宅",C6*C12+C16,C6+C16))),0)</f>
        <v>#DIV/0!</v>
      </c>
      <c r="D5" s="1787" t="e">
        <f>ROUND(C6+C16,0)</f>
        <v>#DIV/0!</v>
      </c>
      <c r="E5" s="1787"/>
      <c r="F5" s="2730"/>
      <c r="G5" s="2731"/>
      <c r="H5" s="2731"/>
      <c r="I5" s="2731"/>
      <c r="J5" s="2732"/>
      <c r="K5" s="2733"/>
      <c r="L5" s="2725" t="s">
        <v>2823</v>
      </c>
      <c r="M5" s="1081">
        <f>SUMPRODUCT((区片价!B76:B109=I2)*(区片价!C3:F3=E2)*(区片价!C76:F109))</f>
        <v>0</v>
      </c>
      <c r="N5" s="1083">
        <f>SUMPRODUCT((因素修正幅度!B76:B109=I2)*(因素修正幅度!C3:F3=E2)*(因素修正幅度!C76:F109))</f>
        <v>0</v>
      </c>
      <c r="O5" s="1370"/>
      <c r="P5" s="1370"/>
      <c r="Q5" s="1370"/>
      <c r="R5" s="1602">
        <v>4</v>
      </c>
      <c r="S5" s="1602" t="e">
        <f>ROUND(IF(G3&gt;1,IF(R5&lt;7,SUMPRODUCT((B93:B98=R5)*(C92:N92=G2)*(C93:N98)),SUMIF(C92:N92,G2,C100:N100)),IF(R5&lt;7,SUMPRODUCT((B102:B107=R5)*(C92:N92=G2)*(C102:N107)),SUMIF(C92:N92,G2,C109:N109))),4)</f>
        <v>#DIV/0!</v>
      </c>
      <c r="T5" s="1602" t="e">
        <f t="shared" si="0"/>
        <v>#DIV/0!</v>
      </c>
      <c r="U5" s="1603"/>
      <c r="V5" s="1602" t="e">
        <f t="shared" si="1"/>
        <v>#DIV/0!</v>
      </c>
      <c r="W5" s="1606"/>
      <c r="X5" s="1606"/>
      <c r="Y5" s="1606"/>
      <c r="Z5" s="1606"/>
      <c r="AA5" s="1606"/>
      <c r="AB5" s="1606"/>
      <c r="AC5" s="2734"/>
      <c r="AD5" s="2735"/>
      <c r="AE5" s="2735"/>
      <c r="AF5" s="2735"/>
      <c r="AG5" s="2735"/>
      <c r="AH5" s="2735"/>
      <c r="AI5" s="2735"/>
      <c r="AJ5" s="2736"/>
    </row>
    <row r="6" spans="1:36" ht="15.6" thickBot="1">
      <c r="A6" s="2738" t="s">
        <v>2824</v>
      </c>
      <c r="B6" s="2739" t="s">
        <v>2825</v>
      </c>
      <c r="C6" s="918">
        <f>SUMIF(L1:L12,G2,M1:M12)</f>
        <v>0</v>
      </c>
      <c r="D6" s="2740" t="s">
        <v>2826</v>
      </c>
      <c r="E6" s="2741"/>
      <c r="F6" s="2741"/>
      <c r="G6" s="2742"/>
      <c r="H6" s="2742"/>
      <c r="I6" s="2742"/>
      <c r="J6" s="2743"/>
      <c r="K6" s="1842"/>
      <c r="L6" s="2725" t="s">
        <v>2827</v>
      </c>
      <c r="M6" s="1081">
        <f>SUMPRODUCT((区片价!B110:B157=I2)*(区片价!C3:F3=E2)*(区片价!C110:F157))</f>
        <v>0</v>
      </c>
      <c r="N6" s="1083">
        <f>SUMPRODUCT((因素修正幅度!B110:B157=I2)*(因素修正幅度!C3:F3=E2)*(因素修正幅度!C110:F157))</f>
        <v>0</v>
      </c>
      <c r="O6" s="1370"/>
      <c r="P6" s="1370"/>
      <c r="Q6" s="1370"/>
      <c r="R6" s="1602">
        <v>5</v>
      </c>
      <c r="S6" s="1602" t="e">
        <f>ROUND(IF(G3&gt;1,IF(R6&lt;7,SUMPRODUCT((B93:B98=R6)*(C92:N92=G2)*(C93:N98)),SUMIF(C92:N92,G2,C100:N100)),IF(R6&lt;7,SUMPRODUCT((B102:B107=R6)*(C92:N92=G2)*(C102:N107)),SUMIF(C92:N92,G2,C109:N109))),4)</f>
        <v>#DIV/0!</v>
      </c>
      <c r="T6" s="1602" t="e">
        <f t="shared" si="0"/>
        <v>#DIV/0!</v>
      </c>
      <c r="U6" s="1603"/>
      <c r="V6" s="1602" t="e">
        <f t="shared" si="1"/>
        <v>#DIV/0!</v>
      </c>
      <c r="W6" s="1606"/>
      <c r="X6" s="1606"/>
      <c r="Y6" s="1606"/>
      <c r="Z6" s="1606"/>
      <c r="AA6" s="1606"/>
      <c r="AB6" s="1606"/>
      <c r="AC6" s="2734"/>
      <c r="AD6" s="2735"/>
      <c r="AE6" s="2735"/>
      <c r="AF6" s="2735"/>
      <c r="AG6" s="2735"/>
      <c r="AH6" s="2735"/>
      <c r="AI6" s="2735"/>
      <c r="AJ6" s="2736"/>
    </row>
    <row r="7" spans="1:36" ht="24">
      <c r="A7" s="3254" t="str">
        <f>IF(E2="商业",IF(C8="不临58条商业街","",2),"")</f>
        <v/>
      </c>
      <c r="B7" s="2744" t="s">
        <v>2828</v>
      </c>
      <c r="C7" s="919" t="e">
        <f>IF(C8="不临58条商业街",1,ROUND(1+(1.6*E8+1.2*E9+0.8*E10+0.4*E11)*C9,4))</f>
        <v>#DIV/0!</v>
      </c>
      <c r="D7" s="2745" t="s">
        <v>2829</v>
      </c>
      <c r="E7" s="945"/>
      <c r="F7" s="2746"/>
      <c r="G7" s="2747"/>
      <c r="H7" s="2747"/>
      <c r="I7" s="2747"/>
      <c r="J7" s="2748"/>
      <c r="K7" s="1842"/>
      <c r="L7" s="2725" t="s">
        <v>2830</v>
      </c>
      <c r="M7" s="1081">
        <f>SUMPRODUCT((区片价!B158:B205=I2)*(区片价!C3:F3=E2)*(区片价!C158:F205))</f>
        <v>0</v>
      </c>
      <c r="N7" s="1083">
        <f>SUMPRODUCT((因素修正幅度!B158:B205=I2)*(因素修正幅度!C3:F3=E2)*(因素修正幅度!C158:F205))</f>
        <v>0</v>
      </c>
      <c r="O7" s="1370"/>
      <c r="P7" s="1370"/>
      <c r="Q7" s="1370"/>
      <c r="R7" s="1602">
        <v>6</v>
      </c>
      <c r="S7" s="1602" t="e">
        <f>ROUND(IF(G3&gt;1,IF(R7&lt;7,SUMPRODUCT((B93:B98=R7)*(C92:N92=G2)*(C93:N98)),SUMIF(C92:N92,G2,C100:N100)),IF(R7&lt;7,SUMPRODUCT((B102:B107=R7)*(C92:N92=G2)*(C102:N107)),SUMIF(C92:N92,G2,C109:N109))),4)</f>
        <v>#DIV/0!</v>
      </c>
      <c r="T7" s="1602" t="e">
        <f t="shared" si="0"/>
        <v>#DIV/0!</v>
      </c>
      <c r="U7" s="1603"/>
      <c r="V7" s="1602" t="e">
        <f t="shared" si="1"/>
        <v>#DIV/0!</v>
      </c>
      <c r="W7" s="1816" t="s">
        <v>2831</v>
      </c>
      <c r="X7" s="1604">
        <f>G2</f>
        <v>0</v>
      </c>
      <c r="Y7" s="1604" t="s">
        <v>2832</v>
      </c>
      <c r="Z7" s="1605" t="e">
        <f>G3</f>
        <v>#DIV/0!</v>
      </c>
      <c r="AA7" s="1606"/>
      <c r="AB7" s="1606"/>
      <c r="AC7" s="1607"/>
      <c r="AD7" s="1608"/>
      <c r="AE7" s="1608"/>
      <c r="AF7" s="1608"/>
      <c r="AG7" s="1608"/>
      <c r="AH7" s="1608"/>
      <c r="AI7" s="1608"/>
      <c r="AJ7" s="1609"/>
    </row>
    <row r="8" spans="1:36" ht="15">
      <c r="A8" s="3274"/>
      <c r="B8" s="198" t="s">
        <v>2833</v>
      </c>
      <c r="C8" s="2749"/>
      <c r="D8" s="920" t="s">
        <v>139</v>
      </c>
      <c r="E8" s="921" t="e">
        <f>ROUND(C11/E7,4)</f>
        <v>#DIV/0!</v>
      </c>
      <c r="F8" s="2750" t="s">
        <v>2834</v>
      </c>
      <c r="G8" s="2751"/>
      <c r="H8" s="2751"/>
      <c r="I8" s="2751"/>
      <c r="J8" s="2752"/>
      <c r="K8" s="1370"/>
      <c r="L8" s="2725" t="s">
        <v>2835</v>
      </c>
      <c r="M8" s="1081">
        <f>SUMPRODUCT((区片价!B206:B244=I2)*(区片价!C3:F3=E2)*(区片价!C206:F244))</f>
        <v>0</v>
      </c>
      <c r="N8" s="1083">
        <f>SUMPRODUCT((因素修正幅度!B206:B244=I2)*(因素修正幅度!C3:F3=E2)*(因素修正幅度!C206:F244))</f>
        <v>0</v>
      </c>
      <c r="O8" s="1370"/>
      <c r="P8" s="1370"/>
      <c r="Q8" s="1370"/>
      <c r="R8" s="1602">
        <v>7</v>
      </c>
      <c r="S8" s="1603"/>
      <c r="T8" s="1602" t="e">
        <f t="shared" si="0"/>
        <v>#DIV/0!</v>
      </c>
      <c r="U8" s="1603"/>
      <c r="V8" s="1602" t="e">
        <f t="shared" si="1"/>
        <v>#DIV/0!</v>
      </c>
      <c r="W8" s="3267" t="s">
        <v>2836</v>
      </c>
      <c r="X8" s="3268"/>
      <c r="Y8" s="1610" t="s">
        <v>2837</v>
      </c>
      <c r="Z8" s="1610" t="s">
        <v>2838</v>
      </c>
      <c r="AA8" s="1610" t="s">
        <v>2839</v>
      </c>
      <c r="AB8" s="1610" t="s">
        <v>2840</v>
      </c>
      <c r="AC8" s="1610" t="s">
        <v>2841</v>
      </c>
      <c r="AD8" s="1610" t="s">
        <v>2842</v>
      </c>
      <c r="AE8" s="1610" t="s">
        <v>2843</v>
      </c>
      <c r="AF8" s="1610" t="s">
        <v>2844</v>
      </c>
      <c r="AG8" s="1610" t="s">
        <v>2845</v>
      </c>
      <c r="AH8" s="1610" t="s">
        <v>2846</v>
      </c>
      <c r="AI8" s="1610" t="s">
        <v>2847</v>
      </c>
      <c r="AJ8" s="1610" t="s">
        <v>2848</v>
      </c>
    </row>
    <row r="9" spans="1:36" ht="15">
      <c r="A9" s="3274"/>
      <c r="B9" s="198" t="s">
        <v>2849</v>
      </c>
      <c r="C9" s="922">
        <f>SUMIF(修正!C59:C119,C8,修正!E59:E119)</f>
        <v>0</v>
      </c>
      <c r="D9" s="200" t="s">
        <v>140</v>
      </c>
      <c r="E9" s="200" t="e">
        <f>ROUND(C11/E7,4)</f>
        <v>#DIV/0!</v>
      </c>
      <c r="F9" s="2750" t="s">
        <v>2850</v>
      </c>
      <c r="G9" s="2751"/>
      <c r="H9" s="2751"/>
      <c r="I9" s="2751"/>
      <c r="J9" s="2752"/>
      <c r="K9" s="1370"/>
      <c r="L9" s="2725" t="s">
        <v>2851</v>
      </c>
      <c r="M9" s="1081">
        <f>SUMPRODUCT((区片价!B245:B289=I2)*(区片价!C3:F3=E2)*(区片价!C245:F289))</f>
        <v>0</v>
      </c>
      <c r="N9" s="1083">
        <f>SUMPRODUCT((因素修正幅度!B245:B289=I2)*(因素修正幅度!C3:F3=E2)*(因素修正幅度!C245:F289))</f>
        <v>0</v>
      </c>
      <c r="O9" s="1370"/>
      <c r="P9" s="1370"/>
      <c r="Q9" s="1370"/>
      <c r="R9" s="1602">
        <v>8</v>
      </c>
      <c r="S9" s="1603"/>
      <c r="T9" s="1602" t="e">
        <f t="shared" si="0"/>
        <v>#DIV/0!</v>
      </c>
      <c r="U9" s="1603"/>
      <c r="V9" s="1602" t="e">
        <f t="shared" si="1"/>
        <v>#DIV/0!</v>
      </c>
      <c r="W9" s="3269" t="s">
        <v>2852</v>
      </c>
      <c r="X9" s="1611" t="s">
        <v>2853</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74"/>
      <c r="B10" s="198" t="s">
        <v>2854</v>
      </c>
      <c r="C10" s="200">
        <f>SUMIF(修正!C59:C119,C8,修正!F59:F119)</f>
        <v>0</v>
      </c>
      <c r="D10" s="200" t="s">
        <v>141</v>
      </c>
      <c r="E10" s="200" t="e">
        <f>ROUND(C11/E7,4)</f>
        <v>#DIV/0!</v>
      </c>
      <c r="F10" s="2750" t="s">
        <v>2855</v>
      </c>
      <c r="G10" s="2751"/>
      <c r="H10" s="2751"/>
      <c r="I10" s="2751"/>
      <c r="J10" s="2752"/>
      <c r="K10" s="1370"/>
      <c r="L10" s="2725" t="s">
        <v>2856</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t="e">
        <f t="shared" si="0"/>
        <v>#DIV/0!</v>
      </c>
      <c r="U10" s="1603"/>
      <c r="V10" s="1602" t="e">
        <f t="shared" si="1"/>
        <v>#DIV/0!</v>
      </c>
      <c r="W10" s="3269"/>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74"/>
      <c r="B11" s="2753" t="s">
        <v>2857</v>
      </c>
      <c r="C11" s="923">
        <f>C10/4</f>
        <v>0</v>
      </c>
      <c r="D11" s="923" t="s">
        <v>142</v>
      </c>
      <c r="E11" s="923" t="e">
        <f>ROUND(C11/E7,4)</f>
        <v>#DIV/0!</v>
      </c>
      <c r="F11" s="2754" t="s">
        <v>2858</v>
      </c>
      <c r="G11" s="2755"/>
      <c r="H11" s="2755"/>
      <c r="I11" s="2755"/>
      <c r="J11" s="2756"/>
      <c r="K11" s="1370"/>
      <c r="L11" s="2725" t="s">
        <v>2859</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t="e">
        <f t="shared" si="0"/>
        <v>#DIV/0!</v>
      </c>
      <c r="U11" s="1603"/>
      <c r="V11" s="1602" t="e">
        <f t="shared" si="1"/>
        <v>#DIV/0!</v>
      </c>
      <c r="W11" s="3269" t="s">
        <v>2860</v>
      </c>
      <c r="X11" s="1614" t="s">
        <v>2861</v>
      </c>
      <c r="Y11" s="1615" t="e">
        <f>$G$3</f>
        <v>#DIV/0!</v>
      </c>
      <c r="Z11" s="1615" t="e">
        <f t="shared" ref="Z11:AJ11" si="3">$G$3</f>
        <v>#DIV/0!</v>
      </c>
      <c r="AA11" s="1615" t="e">
        <f t="shared" si="3"/>
        <v>#DIV/0!</v>
      </c>
      <c r="AB11" s="1615" t="e">
        <f t="shared" si="3"/>
        <v>#DIV/0!</v>
      </c>
      <c r="AC11" s="1615" t="e">
        <f t="shared" si="3"/>
        <v>#DIV/0!</v>
      </c>
      <c r="AD11" s="1615" t="e">
        <f t="shared" si="3"/>
        <v>#DIV/0!</v>
      </c>
      <c r="AE11" s="1615" t="e">
        <f t="shared" si="3"/>
        <v>#DIV/0!</v>
      </c>
      <c r="AF11" s="1615" t="e">
        <f t="shared" si="3"/>
        <v>#DIV/0!</v>
      </c>
      <c r="AG11" s="1615" t="e">
        <f t="shared" si="3"/>
        <v>#DIV/0!</v>
      </c>
      <c r="AH11" s="1615" t="e">
        <f t="shared" si="3"/>
        <v>#DIV/0!</v>
      </c>
      <c r="AI11" s="1615" t="e">
        <f t="shared" si="3"/>
        <v>#DIV/0!</v>
      </c>
      <c r="AJ11" s="1615" t="e">
        <f t="shared" si="3"/>
        <v>#DIV/0!</v>
      </c>
    </row>
    <row r="12" spans="1:36" ht="25.8" thickBot="1">
      <c r="A12" s="3254" t="s">
        <v>2862</v>
      </c>
      <c r="B12" s="2757" t="s">
        <v>2863</v>
      </c>
      <c r="C12" s="919">
        <f>ROUND(C15*D15*E15*F15*G15*H15*I15*J15,4)</f>
        <v>1</v>
      </c>
      <c r="D12" s="2758" t="s">
        <v>2864</v>
      </c>
      <c r="E12" s="2759"/>
      <c r="F12" s="2759"/>
      <c r="G12" s="2760"/>
      <c r="H12" s="2760"/>
      <c r="I12" s="2760"/>
      <c r="J12" s="2761"/>
      <c r="K12" s="1370"/>
      <c r="L12" s="2762" t="s">
        <v>2865</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t="e">
        <f t="shared" si="0"/>
        <v>#DIV/0!</v>
      </c>
      <c r="U12" s="1603"/>
      <c r="V12" s="1602" t="e">
        <f t="shared" si="1"/>
        <v>#DIV/0!</v>
      </c>
      <c r="W12" s="3269"/>
      <c r="X12" s="1616" t="s">
        <v>2866</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75"/>
      <c r="B13" s="2763" t="s">
        <v>2867</v>
      </c>
      <c r="C13" s="2764" t="s">
        <v>2868</v>
      </c>
      <c r="D13" s="1808" t="s">
        <v>2869</v>
      </c>
      <c r="E13" s="1808" t="s">
        <v>2870</v>
      </c>
      <c r="F13" s="30" t="s">
        <v>2871</v>
      </c>
      <c r="G13" s="2765" t="s">
        <v>2872</v>
      </c>
      <c r="H13" s="2765" t="s">
        <v>2872</v>
      </c>
      <c r="I13" s="2765" t="s">
        <v>2872</v>
      </c>
      <c r="J13" s="2766" t="s">
        <v>2872</v>
      </c>
      <c r="K13" s="1370"/>
      <c r="L13" s="1370"/>
      <c r="M13" s="1370"/>
      <c r="N13" s="1370"/>
      <c r="O13" s="1370"/>
      <c r="P13" s="1370"/>
      <c r="Q13" s="1370"/>
      <c r="R13" s="1602">
        <v>12</v>
      </c>
      <c r="S13" s="1603"/>
      <c r="T13" s="1602" t="e">
        <f t="shared" si="0"/>
        <v>#DIV/0!</v>
      </c>
      <c r="U13" s="1603"/>
      <c r="V13" s="1602" t="e">
        <f t="shared" si="1"/>
        <v>#DIV/0!</v>
      </c>
      <c r="W13" s="3269"/>
      <c r="X13" s="1616"/>
      <c r="Y13" s="1613" t="e">
        <f>(-0.163*(Y12^2)-0.59*Y12+7617)*(10^(-4))/Y11</f>
        <v>#DIV/0!</v>
      </c>
      <c r="Z13" s="1613" t="e">
        <f t="shared" ref="Z13:AJ13" si="5">(-0.163*(Z12^2)-0.59*Z12+7617)*(10^(-4))/Z11</f>
        <v>#DIV/0!</v>
      </c>
      <c r="AA13" s="1613" t="e">
        <f t="shared" si="5"/>
        <v>#DIV/0!</v>
      </c>
      <c r="AB13" s="1613" t="e">
        <f t="shared" si="5"/>
        <v>#DIV/0!</v>
      </c>
      <c r="AC13" s="1613" t="e">
        <f t="shared" si="5"/>
        <v>#DIV/0!</v>
      </c>
      <c r="AD13" s="1613" t="e">
        <f t="shared" si="5"/>
        <v>#DIV/0!</v>
      </c>
      <c r="AE13" s="1613" t="e">
        <f t="shared" si="5"/>
        <v>#DIV/0!</v>
      </c>
      <c r="AF13" s="1613" t="e">
        <f t="shared" si="5"/>
        <v>#DIV/0!</v>
      </c>
      <c r="AG13" s="1613" t="e">
        <f t="shared" si="5"/>
        <v>#DIV/0!</v>
      </c>
      <c r="AH13" s="1613" t="e">
        <f t="shared" si="5"/>
        <v>#DIV/0!</v>
      </c>
      <c r="AI13" s="1613" t="e">
        <f t="shared" si="5"/>
        <v>#DIV/0!</v>
      </c>
      <c r="AJ13" s="1613" t="e">
        <f t="shared" si="5"/>
        <v>#DIV/0!</v>
      </c>
    </row>
    <row r="14" spans="1:36" ht="15">
      <c r="A14" s="3275"/>
      <c r="B14" s="2767"/>
      <c r="C14" s="2768"/>
      <c r="D14" s="2769"/>
      <c r="E14" s="2769"/>
      <c r="F14" s="2770"/>
      <c r="G14" s="2771" t="s">
        <v>2873</v>
      </c>
      <c r="H14" s="2772"/>
      <c r="I14" s="2773"/>
      <c r="J14" s="2774"/>
      <c r="K14" s="1370"/>
      <c r="L14" s="1370"/>
      <c r="M14" s="1370"/>
      <c r="N14" s="1370"/>
      <c r="O14" s="1370"/>
      <c r="P14" s="1370"/>
      <c r="Q14" s="1370"/>
      <c r="R14" s="1602">
        <v>13</v>
      </c>
      <c r="S14" s="1603"/>
      <c r="T14" s="1602" t="e">
        <f t="shared" si="0"/>
        <v>#DIV/0!</v>
      </c>
      <c r="U14" s="1603"/>
      <c r="V14" s="1602" t="e">
        <f t="shared" si="1"/>
        <v>#DIV/0!</v>
      </c>
      <c r="W14" s="1606"/>
      <c r="X14" s="1606"/>
      <c r="Y14" s="1606"/>
      <c r="Z14" s="1606"/>
      <c r="AA14" s="1606"/>
      <c r="AB14" s="1606"/>
      <c r="AC14" s="1607"/>
      <c r="AD14" s="1608"/>
      <c r="AE14" s="1608"/>
      <c r="AF14" s="1608"/>
      <c r="AG14" s="1608"/>
      <c r="AH14" s="1608"/>
      <c r="AI14" s="1608"/>
      <c r="AJ14" s="1609"/>
    </row>
    <row r="15" spans="1:36" ht="15.6" thickBot="1">
      <c r="A15" s="3276"/>
      <c r="B15" s="2775" t="s">
        <v>2874</v>
      </c>
      <c r="C15" s="229">
        <f>IF(C14="有",1.1,1)</f>
        <v>1</v>
      </c>
      <c r="D15" s="229">
        <f>IF(D14="有",1.1,1)</f>
        <v>1</v>
      </c>
      <c r="E15" s="229">
        <f>IF(E14="有",1.1,1)</f>
        <v>1</v>
      </c>
      <c r="F15" s="229">
        <f>IF(F14="500米范围内",1.2,IF(F14="500-1000米",1.1,1))</f>
        <v>1</v>
      </c>
      <c r="G15" s="946">
        <v>1</v>
      </c>
      <c r="H15" s="946">
        <v>1</v>
      </c>
      <c r="I15" s="946">
        <v>1</v>
      </c>
      <c r="J15" s="947">
        <v>1</v>
      </c>
      <c r="K15" s="1370"/>
      <c r="Q15" s="1370"/>
      <c r="R15" s="1602">
        <v>14</v>
      </c>
      <c r="S15" s="1603"/>
      <c r="T15" s="1602" t="e">
        <f t="shared" si="0"/>
        <v>#DIV/0!</v>
      </c>
      <c r="U15" s="1603"/>
      <c r="V15" s="1602" t="e">
        <f t="shared" si="1"/>
        <v>#DIV/0!</v>
      </c>
      <c r="W15" s="1606"/>
      <c r="X15" s="1606"/>
      <c r="Y15" s="1606"/>
      <c r="Z15" s="1606"/>
      <c r="AA15" s="1606"/>
      <c r="AB15" s="1606"/>
      <c r="AC15" s="1607"/>
      <c r="AD15" s="1608"/>
      <c r="AE15" s="1608"/>
      <c r="AF15" s="1608"/>
      <c r="AG15" s="1608"/>
      <c r="AH15" s="1608"/>
      <c r="AI15" s="1608"/>
      <c r="AJ15" s="1609"/>
    </row>
    <row r="16" spans="1:36" ht="24.6" customHeight="1">
      <c r="A16" s="3254" t="s">
        <v>2879</v>
      </c>
      <c r="B16" s="2744" t="s">
        <v>2880</v>
      </c>
      <c r="C16" s="2931" t="e">
        <f>ROUND(IF(F17="与级别开发程度一致",0,(G17-E17)/C17),0)</f>
        <v>#DIV/0!</v>
      </c>
      <c r="D16" s="3265" t="s">
        <v>2884</v>
      </c>
      <c r="E16" s="3266"/>
      <c r="F16" s="3265" t="s">
        <v>2881</v>
      </c>
      <c r="G16" s="3266"/>
      <c r="H16" s="2778"/>
      <c r="I16" s="2778"/>
      <c r="J16" s="2935"/>
      <c r="K16" s="2778"/>
      <c r="L16" s="2778"/>
      <c r="M16" s="2778"/>
      <c r="N16" s="2778"/>
      <c r="O16" s="2779"/>
      <c r="Q16" s="1370"/>
      <c r="R16" s="1602">
        <v>15</v>
      </c>
      <c r="S16" s="1603"/>
      <c r="T16" s="1602" t="e">
        <f t="shared" si="0"/>
        <v>#DIV/0!</v>
      </c>
      <c r="U16" s="1603"/>
      <c r="V16" s="1602" t="e">
        <f t="shared" si="1"/>
        <v>#DIV/0!</v>
      </c>
      <c r="W16" s="1606"/>
      <c r="X16" s="1606"/>
      <c r="Y16" s="1606"/>
      <c r="Z16" s="1606"/>
      <c r="AA16" s="1606"/>
      <c r="AB16" s="1606"/>
      <c r="AC16" s="1607"/>
      <c r="AD16" s="1608"/>
      <c r="AE16" s="1608"/>
      <c r="AF16" s="1608"/>
      <c r="AG16" s="1608"/>
      <c r="AH16" s="1608"/>
      <c r="AI16" s="1608"/>
      <c r="AJ16" s="1609"/>
    </row>
    <row r="17" spans="1:37" ht="13.8" thickBot="1">
      <c r="A17" s="3255"/>
      <c r="B17" s="2942" t="s">
        <v>2883</v>
      </c>
      <c r="C17" s="2943">
        <f>SUMPRODUCT((修正!A2:A5=E2)*(修正!B1:M1=G2)*(修正!B2:M5))</f>
        <v>0</v>
      </c>
      <c r="D17" s="229" t="str">
        <f>IF(OR(G2="八级",G2="九级",G2="十级",G2="十一级",G2="十二级"),"五通一平","七通一平")</f>
        <v>七通一平</v>
      </c>
      <c r="E17" s="2932">
        <f>SUMPRODUCT((修正!B1:M1=G2)*(修正!B15:M15))</f>
        <v>0</v>
      </c>
      <c r="F17" s="2933"/>
      <c r="G17" s="2934">
        <f>SUM(H17:O17)</f>
        <v>0</v>
      </c>
      <c r="H17" s="2943">
        <f>SUMPRODUCT((七通一平=H16)*(修正!B1:M1=G2)*(修正!B6:M14))</f>
        <v>0</v>
      </c>
      <c r="I17" s="2943">
        <f>SUMPRODUCT((七通一平=I16)*(修正!B1:M1=G2)*(修正!B6:M14))</f>
        <v>0</v>
      </c>
      <c r="J17" s="2944">
        <f>SUMPRODUCT((七通一平=J16)*(修正!B1:M1=G2)*(修正!B6:M14))</f>
        <v>0</v>
      </c>
      <c r="K17" s="2943">
        <f>SUMPRODUCT((七通一平=K16)*(修正!B1:M1=G2)*(修正!B6:M14))</f>
        <v>0</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70"/>
      <c r="R17" s="1370"/>
      <c r="S17" s="1370"/>
      <c r="T17" s="1370"/>
      <c r="U17" s="1370"/>
      <c r="V17" s="1370"/>
      <c r="W17" s="1370"/>
      <c r="X17" s="1370"/>
      <c r="Y17" s="1370"/>
      <c r="Z17" s="1371"/>
      <c r="AE17" s="2782"/>
      <c r="AF17" s="2782"/>
      <c r="AG17" s="2719"/>
      <c r="AH17" s="2719"/>
      <c r="AI17" s="2719"/>
      <c r="AJ17" s="2719"/>
    </row>
    <row r="18" spans="1:37" s="2737" customFormat="1" ht="15" thickBot="1">
      <c r="A18" s="2936" t="s">
        <v>808</v>
      </c>
      <c r="B18" s="2937" t="s">
        <v>2886</v>
      </c>
      <c r="C18" s="2938">
        <f>SUMIF(修正!C18:C39,E3,修正!E18:E39)</f>
        <v>0</v>
      </c>
      <c r="D18" s="2939"/>
      <c r="E18" s="2940"/>
      <c r="F18" s="2940"/>
      <c r="G18" s="2940"/>
      <c r="H18" s="2940"/>
      <c r="I18" s="2940"/>
      <c r="J18" s="2941"/>
      <c r="K18" s="1377"/>
      <c r="O18" s="1375"/>
      <c r="P18" s="1375"/>
      <c r="Q18" s="1376"/>
      <c r="R18" s="1376"/>
      <c r="S18" s="1376"/>
      <c r="T18" s="1371"/>
      <c r="U18" s="1371"/>
      <c r="V18" s="1371"/>
      <c r="W18" s="1370"/>
      <c r="X18" s="1370"/>
      <c r="Y18" s="1370"/>
      <c r="Z18" s="1377"/>
      <c r="AA18" s="1378"/>
      <c r="AB18" s="1378"/>
      <c r="AC18" s="1378"/>
      <c r="AD18" s="1378"/>
      <c r="AE18" s="1372"/>
      <c r="AF18" s="1372"/>
      <c r="AG18" s="2787"/>
      <c r="AH18" s="2787"/>
      <c r="AI18" s="2787"/>
    </row>
    <row r="19" spans="1:37" s="2737" customFormat="1" ht="29.4" thickBot="1">
      <c r="A19" s="2783" t="s">
        <v>809</v>
      </c>
      <c r="B19" s="2784" t="s">
        <v>2887</v>
      </c>
      <c r="C19" s="924" t="e">
        <f>ROUND(IF(H19="按公示增长率计算",SUMPRODUCT((地价!A3:A27=YEAR(G19)&amp;"-"&amp;ROUNDUP(MONTH(G19)/3,0))*(地价!X2:AB2=E2)*(地价!X3:AB27)),IF(H19="地价指数",M20/M19,(1+I19)^O19)),4)</f>
        <v>#VALUE!</v>
      </c>
      <c r="D19" s="2788" t="s">
        <v>2888</v>
      </c>
      <c r="E19" s="925">
        <v>41640</v>
      </c>
      <c r="F19" s="2788" t="s">
        <v>2889</v>
      </c>
      <c r="G19" s="926">
        <f>'数据-取费表'!B2</f>
        <v>43692</v>
      </c>
      <c r="H19" s="2789"/>
      <c r="I19" s="927" t="str">
        <f>IF(H19="季度增幅（自定义）",SUMIF(N21:N24,E2,O21:O24),"")</f>
        <v/>
      </c>
      <c r="J19" s="2786"/>
      <c r="K19" s="1377"/>
      <c r="L19" s="2790" t="s">
        <v>2890</v>
      </c>
      <c r="M19" s="1734">
        <f>ROUND(SUMIF(地价!B2:F2,E2,地价!B27:F27),0)</f>
        <v>0</v>
      </c>
      <c r="N19" s="2791" t="s">
        <v>2891</v>
      </c>
      <c r="O19" s="928">
        <f>ROUNDDOWN(DATEDIF(E19,G19,"M")/3,0)</f>
        <v>22</v>
      </c>
      <c r="P19" s="1374"/>
      <c r="Q19" s="1376"/>
      <c r="R19" s="1376"/>
      <c r="S19" s="1376"/>
      <c r="T19" s="1371"/>
      <c r="U19" s="1371"/>
      <c r="V19" s="1371"/>
      <c r="W19" s="1370"/>
      <c r="X19" s="1370"/>
      <c r="Y19" s="1370"/>
      <c r="Z19" s="1377"/>
      <c r="AA19" s="1378"/>
      <c r="AB19" s="1378"/>
      <c r="AC19" s="1378"/>
      <c r="AD19" s="1378"/>
      <c r="AE19" s="1378"/>
      <c r="AF19" s="2792"/>
      <c r="AG19" s="2793"/>
      <c r="AH19" s="2787"/>
      <c r="AI19" s="2794"/>
      <c r="AJ19" s="2794"/>
      <c r="AK19" s="2794"/>
    </row>
    <row r="20" spans="1:37" s="2737" customFormat="1" ht="29.4" thickBot="1">
      <c r="A20" s="2795" t="s">
        <v>810</v>
      </c>
      <c r="B20" s="2796" t="s">
        <v>2892</v>
      </c>
      <c r="C20" s="929" t="e">
        <f>ROUND(POWER(1+G20,J20-I20)*(POWER(1+G20,I20)-1)/(POWER(1+G20,J20)-1),4)</f>
        <v>#DIV/0!</v>
      </c>
      <c r="D20" s="2797" t="s">
        <v>2893</v>
      </c>
      <c r="E20" s="1768">
        <f ca="1">存贷款利率!D4/100</f>
        <v>4.3499999999999997E-2</v>
      </c>
      <c r="F20" s="2797" t="s">
        <v>2885</v>
      </c>
      <c r="G20" s="934">
        <f>SUMIF(M26:P26,E2,M28:P28)</f>
        <v>0</v>
      </c>
      <c r="H20" s="2797" t="s">
        <v>2894</v>
      </c>
      <c r="I20" s="935" t="e">
        <f>SUMIF('数据-取费表'!C6:C15,E2,'数据-取费表'!F6:F15)/COUNTIF('数据-取费表'!C6:C15,E2)</f>
        <v>#DIV/0!</v>
      </c>
      <c r="J20" s="936">
        <f>IF(E2="住宅",70,IF(E2="商业",40,50))</f>
        <v>50</v>
      </c>
      <c r="K20" s="1377"/>
      <c r="L20" s="2798" t="s">
        <v>2895</v>
      </c>
      <c r="M20" s="1735">
        <f>ROUND(SUMPRODUCT((地价!A4:A27=YEAR(G19)&amp;"-"&amp;ROUNDUP(MONTH(G19)/3,0))*(地价!B2:F2=E2)*(地价!B4:F27)),0)</f>
        <v>0</v>
      </c>
      <c r="N20" s="2799" t="s">
        <v>2896</v>
      </c>
      <c r="O20" s="2800" t="s">
        <v>2897</v>
      </c>
      <c r="P20" s="2801" t="s">
        <v>2898</v>
      </c>
      <c r="R20" s="1376"/>
      <c r="S20" s="1376"/>
      <c r="T20" s="1371"/>
      <c r="U20" s="1371"/>
      <c r="V20" s="1371"/>
      <c r="W20" s="1370"/>
      <c r="X20" s="1370"/>
      <c r="Y20" s="1370"/>
      <c r="Z20" s="1377"/>
      <c r="AA20" s="1378"/>
      <c r="AB20" s="1378"/>
      <c r="AC20" s="1378"/>
      <c r="AD20" s="1378"/>
      <c r="AE20" s="1378"/>
      <c r="AF20" s="1378"/>
    </row>
    <row r="21" spans="1:37" s="2737" customFormat="1" ht="14.4">
      <c r="A21" s="2802" t="s">
        <v>811</v>
      </c>
      <c r="B21" s="2803" t="s">
        <v>2899</v>
      </c>
      <c r="C21" s="937" t="e">
        <f>IF(B21="容积率修正",IF(G3&lt;=10,D22,J22),C23)</f>
        <v>#DIV/0!</v>
      </c>
      <c r="D21" s="2804"/>
      <c r="E21" s="2804"/>
      <c r="F21" s="2804"/>
      <c r="G21" s="2804"/>
      <c r="H21" s="2804"/>
      <c r="I21" s="2804"/>
      <c r="J21" s="2805"/>
      <c r="K21" s="1377"/>
      <c r="N21" s="2806" t="s">
        <v>2900</v>
      </c>
      <c r="O21" s="1561"/>
      <c r="P21" s="1562">
        <f>SUMPRODUCT((地价!A3:A27=YEAR(G19)&amp;"-"&amp;ROUNDUP(MONTH(G19)/3,0))*(地价!AD2:AH2=N21)*(地价!AD3:AH27))</f>
        <v>1.44E-2</v>
      </c>
      <c r="R21" s="1376"/>
      <c r="S21" s="1376"/>
      <c r="T21" s="1371"/>
      <c r="U21" s="1371"/>
      <c r="V21" s="1371"/>
      <c r="W21" s="1370"/>
      <c r="X21" s="1370"/>
      <c r="Y21" s="1370"/>
      <c r="Z21" s="1377"/>
      <c r="AA21" s="1378"/>
      <c r="AB21" s="1378"/>
      <c r="AC21" s="1378"/>
      <c r="AD21" s="1378"/>
      <c r="AE21" s="1378"/>
      <c r="AF21" s="1378"/>
    </row>
    <row r="22" spans="1:37" s="2737" customFormat="1" ht="14.4">
      <c r="A22" s="2663" t="s">
        <v>2901</v>
      </c>
      <c r="B22" s="2807" t="s">
        <v>2902</v>
      </c>
      <c r="C22" s="1810" t="s">
        <v>2903</v>
      </c>
      <c r="D22" s="1810" t="e">
        <f>IF(E22=G22,F22,IF(G3&lt;=10,ROUND(F22+(H22-F22)*(G3-E22)/(G22-E22),4),"——"))</f>
        <v>#DIV/0!</v>
      </c>
      <c r="E22" s="916" t="e">
        <f>ROUNDDOWN(G3,1)</f>
        <v>#DIV/0!</v>
      </c>
      <c r="F22" s="1810"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0"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0" t="s">
        <v>155</v>
      </c>
      <c r="J22" s="938" t="e">
        <f>IF(G3&gt;10,D113,"——")</f>
        <v>#DIV/0!</v>
      </c>
      <c r="K22" s="1377"/>
      <c r="N22" s="2806" t="s">
        <v>2904</v>
      </c>
      <c r="O22" s="1561"/>
      <c r="P22" s="1562">
        <f>SUMPRODUCT((地价!A3:A27=YEAR(G19)&amp;"-"&amp;ROUNDUP(MONTH(G19)/3,0))*(地价!AD2:AH2=N22)*(地价!AD3:AH27))</f>
        <v>1.44E-2</v>
      </c>
      <c r="R22" s="1376"/>
      <c r="S22" s="1376"/>
      <c r="T22" s="1371"/>
      <c r="U22" s="1371"/>
      <c r="V22" s="1371"/>
      <c r="W22" s="1370"/>
      <c r="X22" s="1370"/>
      <c r="Y22" s="1370"/>
      <c r="Z22" s="1377"/>
      <c r="AA22" s="1378"/>
      <c r="AB22" s="1378"/>
      <c r="AC22" s="1378"/>
      <c r="AD22" s="1378"/>
      <c r="AE22" s="1378"/>
      <c r="AF22" s="1378"/>
    </row>
    <row r="23" spans="1:37" ht="29.4" thickBot="1">
      <c r="A23" s="2663" t="s">
        <v>2905</v>
      </c>
      <c r="B23" s="2808" t="s">
        <v>2906</v>
      </c>
      <c r="C23" s="1013" t="e">
        <f>ROUND(IF(G3&gt;1,IF(I3&lt;7,SUMPRODUCT((B93:B98=I3)*(C92:N92=G2)*(C93:N98)),SUMIF(C92:N92,G2,C100:N100)),IF(I3&lt;7,SUMPRODUCT((B102:B107=I3)*(C92:N92=G2)*(C102:N107)),SUMIF(C92:N92,G2,C109:N109))),4)</f>
        <v>#DIV/0!</v>
      </c>
      <c r="D23" s="2772"/>
      <c r="E23" s="2772"/>
      <c r="F23" s="2809"/>
      <c r="G23" s="2810"/>
      <c r="H23" s="2811"/>
      <c r="I23" s="2812"/>
      <c r="J23" s="2813"/>
      <c r="K23" s="1370"/>
      <c r="N23" s="2806" t="s">
        <v>2907</v>
      </c>
      <c r="O23" s="1561"/>
      <c r="P23" s="1562">
        <f>SUMPRODUCT((地价!A3:A27=YEAR(G19)&amp;"-"&amp;ROUNDUP(MONTH(G19)/3,0))*(地价!AD2:AH2=N23)*(地价!AD3:AH27))</f>
        <v>2.23E-2</v>
      </c>
      <c r="R23" s="1376"/>
      <c r="S23" s="1376"/>
      <c r="T23" s="1371"/>
      <c r="U23" s="1371"/>
      <c r="V23" s="1371"/>
      <c r="W23" s="1370"/>
      <c r="X23" s="1370"/>
      <c r="Y23" s="1370"/>
      <c r="Z23" s="1377"/>
      <c r="AA23" s="1378"/>
      <c r="AB23" s="1378"/>
      <c r="AC23" s="1378"/>
      <c r="AD23" s="1378"/>
      <c r="AK23" s="2787"/>
    </row>
    <row r="24" spans="1:37" s="2737" customFormat="1" ht="15" thickBot="1">
      <c r="A24" s="2795" t="s">
        <v>812</v>
      </c>
      <c r="B24" s="2784" t="s">
        <v>2908</v>
      </c>
      <c r="C24" s="924">
        <f>SUMIF(A45:A88,E2,B45:B88)</f>
        <v>0</v>
      </c>
      <c r="D24" s="2785"/>
      <c r="E24" s="2814"/>
      <c r="F24" s="2814"/>
      <c r="G24" s="2814"/>
      <c r="H24" s="2814"/>
      <c r="I24" s="2814"/>
      <c r="J24" s="2815"/>
      <c r="K24" s="1377"/>
      <c r="N24" s="2816" t="s">
        <v>2909</v>
      </c>
      <c r="O24" s="1563"/>
      <c r="P24" s="1564">
        <f>SUMPRODUCT((地价!A3:A27=YEAR(G19)&amp;"-"&amp;ROUNDUP(MONTH(G19)/3,0))*(地价!AD2:AH2=N24)*(地价!AD3:AH27))</f>
        <v>1.4E-2</v>
      </c>
      <c r="R24" s="1376"/>
      <c r="S24" s="1376"/>
      <c r="T24" s="1371"/>
      <c r="U24" s="1371"/>
      <c r="V24" s="1371"/>
      <c r="W24" s="1370"/>
      <c r="X24" s="1370"/>
      <c r="Y24" s="1370"/>
      <c r="Z24" s="1377"/>
      <c r="AA24" s="1378"/>
      <c r="AB24" s="1378"/>
      <c r="AC24" s="1378"/>
      <c r="AD24" s="1378"/>
      <c r="AE24" s="1378"/>
      <c r="AF24" s="1378"/>
    </row>
    <row r="25" spans="1:37" ht="15" thickBot="1">
      <c r="A25" s="2795" t="s">
        <v>813</v>
      </c>
      <c r="B25" s="2817" t="s">
        <v>2910</v>
      </c>
      <c r="C25" s="930"/>
      <c r="D25" s="2747"/>
      <c r="E25" s="2747"/>
      <c r="F25" s="2818"/>
      <c r="G25" s="2747"/>
      <c r="H25" s="2747"/>
      <c r="I25" s="2747"/>
      <c r="J25" s="2748"/>
      <c r="K25" s="1370"/>
      <c r="N25" s="2819" t="s">
        <v>2911</v>
      </c>
      <c r="O25" s="1565"/>
      <c r="P25" s="1564">
        <f>SUMPRODUCT((地价!A3:A27=YEAR(G19)&amp;"-"&amp;ROUNDUP(MONTH(G19)/3,0))*(地价!AD2:AH2=N25)*(地价!AD3:AH27))</f>
        <v>2.0400000000000001E-2</v>
      </c>
      <c r="R25" s="1376"/>
      <c r="S25" s="1376"/>
      <c r="T25" s="1371"/>
      <c r="U25" s="1371"/>
      <c r="V25" s="1371"/>
      <c r="W25" s="1370"/>
      <c r="X25" s="1370"/>
      <c r="Y25" s="1370"/>
      <c r="Z25" s="1377"/>
      <c r="AA25" s="1378"/>
      <c r="AB25" s="1378"/>
      <c r="AC25" s="1378"/>
      <c r="AD25" s="1378"/>
    </row>
    <row r="26" spans="1:37" ht="14.4">
      <c r="A26" s="2820"/>
      <c r="B26" s="2807" t="s">
        <v>2912</v>
      </c>
      <c r="C26" s="206" t="e">
        <f>E29+SUM(E33:E39)</f>
        <v>#DIV/0!</v>
      </c>
      <c r="D26" s="2821"/>
      <c r="E26" s="2772"/>
      <c r="F26" s="2822"/>
      <c r="G26" s="2772"/>
      <c r="H26" s="2772"/>
      <c r="I26" s="2772"/>
      <c r="J26" s="2823"/>
      <c r="K26" s="1370"/>
      <c r="L26" s="2776" t="s">
        <v>2810</v>
      </c>
      <c r="M26" s="920" t="s">
        <v>2875</v>
      </c>
      <c r="N26" s="920" t="s">
        <v>2876</v>
      </c>
      <c r="O26" s="920" t="s">
        <v>2877</v>
      </c>
      <c r="P26" s="2777" t="s">
        <v>2878</v>
      </c>
      <c r="R26" s="1376"/>
      <c r="S26" s="1376"/>
      <c r="T26" s="1371"/>
      <c r="U26" s="1371"/>
      <c r="V26" s="1371"/>
      <c r="W26" s="1370"/>
      <c r="X26" s="1370"/>
      <c r="Y26" s="1370"/>
      <c r="Z26" s="1377"/>
      <c r="AA26" s="1378"/>
      <c r="AB26" s="1378"/>
      <c r="AC26" s="1378"/>
      <c r="AD26" s="1378"/>
    </row>
    <row r="27" spans="1:37" ht="15" thickBot="1">
      <c r="A27" s="2820"/>
      <c r="B27" s="2824" t="s">
        <v>2913</v>
      </c>
      <c r="C27" s="931" t="e">
        <f>E30+SUM(I33:I39)</f>
        <v>#DIV/0!</v>
      </c>
      <c r="D27" s="2825"/>
      <c r="E27" s="2826"/>
      <c r="F27" s="2827"/>
      <c r="G27" s="2826"/>
      <c r="H27" s="2826"/>
      <c r="I27" s="2826"/>
      <c r="J27" s="2828"/>
      <c r="K27" s="1370"/>
      <c r="L27" s="2780" t="s">
        <v>2882</v>
      </c>
      <c r="M27" s="922">
        <v>0.25</v>
      </c>
      <c r="N27" s="922">
        <v>0.2</v>
      </c>
      <c r="O27" s="922">
        <v>0.15</v>
      </c>
      <c r="P27" s="1369">
        <v>0.1</v>
      </c>
      <c r="Q27" s="1376"/>
      <c r="R27" s="1376"/>
      <c r="S27" s="1376"/>
      <c r="T27" s="1371"/>
      <c r="U27" s="1371"/>
      <c r="V27" s="1371"/>
      <c r="W27" s="1370"/>
      <c r="X27" s="1370"/>
      <c r="Y27" s="1370"/>
      <c r="Z27" s="1377"/>
      <c r="AA27" s="1378"/>
      <c r="AB27" s="1378"/>
      <c r="AC27" s="1378"/>
      <c r="AD27" s="1378"/>
    </row>
    <row r="28" spans="1:37" ht="15" thickBot="1">
      <c r="A28" s="2829"/>
      <c r="B28" s="2830" t="s">
        <v>2914</v>
      </c>
      <c r="C28" s="2831" t="s">
        <v>2915</v>
      </c>
      <c r="D28" s="2831" t="s">
        <v>2916</v>
      </c>
      <c r="E28" s="2832" t="s">
        <v>2917</v>
      </c>
      <c r="F28" s="2833"/>
      <c r="G28" s="2760"/>
      <c r="H28" s="2760"/>
      <c r="I28" s="2760"/>
      <c r="J28" s="2761"/>
      <c r="K28" s="1370"/>
      <c r="L28" s="2781" t="s">
        <v>2885</v>
      </c>
      <c r="M28" s="211">
        <f ca="1">ROUND($E$20*(1+M27),3)</f>
        <v>5.3999999999999999E-2</v>
      </c>
      <c r="N28" s="211">
        <f ca="1">ROUND($E$20*(1+N27),3)</f>
        <v>5.1999999999999998E-2</v>
      </c>
      <c r="O28" s="211">
        <f ca="1">ROUND($E$20*(1+O27),3)</f>
        <v>0.05</v>
      </c>
      <c r="P28" s="1373">
        <f ca="1">ROUND($E$20*(1+P27),3)</f>
        <v>4.8000000000000001E-2</v>
      </c>
      <c r="Q28" s="1376"/>
      <c r="R28" s="1376"/>
      <c r="S28" s="1376"/>
      <c r="T28" s="1371"/>
      <c r="U28" s="1371"/>
      <c r="V28" s="1371"/>
      <c r="W28" s="1370"/>
      <c r="X28" s="1370"/>
      <c r="Y28" s="1370"/>
      <c r="Z28" s="1377"/>
      <c r="AA28" s="1378"/>
      <c r="AB28" s="1378"/>
      <c r="AC28" s="1378"/>
      <c r="AD28" s="1378"/>
    </row>
    <row r="29" spans="1:37" ht="22.5" customHeight="1">
      <c r="A29" s="2834"/>
      <c r="B29" s="2835" t="s">
        <v>2918</v>
      </c>
      <c r="C29" s="206" t="e">
        <f>ROUND(C5*C18*C19*C20*C21*C24,0)</f>
        <v>#DIV/0!</v>
      </c>
      <c r="D29" s="2836"/>
      <c r="E29" s="942" t="e">
        <f>ROUND(C29*D29/10000,0)</f>
        <v>#DIV/0!</v>
      </c>
      <c r="F29" s="2837" t="s">
        <v>2919</v>
      </c>
      <c r="G29" s="2838"/>
      <c r="H29" s="2838"/>
      <c r="I29" s="2838"/>
      <c r="J29" s="2839"/>
      <c r="K29" s="1370"/>
      <c r="L29" s="1370"/>
      <c r="M29" s="1370"/>
      <c r="N29" s="1370"/>
      <c r="O29" s="1375"/>
      <c r="P29" s="1375"/>
      <c r="Q29" s="1376"/>
      <c r="R29" s="1376"/>
      <c r="S29" s="1376"/>
      <c r="T29" s="1371"/>
      <c r="U29" s="1371"/>
      <c r="V29" s="1371"/>
      <c r="W29" s="1370"/>
      <c r="X29" s="1370"/>
      <c r="Y29" s="1370"/>
      <c r="Z29" s="1377"/>
      <c r="AA29" s="1378"/>
      <c r="AB29" s="1378"/>
      <c r="AC29" s="1378"/>
      <c r="AD29" s="1378"/>
      <c r="AE29" s="2782"/>
      <c r="AF29" s="2782"/>
      <c r="AG29" s="2719"/>
      <c r="AH29" s="2719"/>
      <c r="AI29" s="2719"/>
      <c r="AJ29" s="2719"/>
    </row>
    <row r="30" spans="1:37" ht="25.8" thickBot="1">
      <c r="A30" s="2840"/>
      <c r="B30" s="2841" t="s">
        <v>2920</v>
      </c>
      <c r="C30" s="229" t="e">
        <f>ROUND(IF(E2="工业",C29*M39,C29*M38),0)</f>
        <v>#DIV/0!</v>
      </c>
      <c r="D30" s="2842"/>
      <c r="E30" s="942" t="e">
        <f>ROUND(C30*D30/10000,0)</f>
        <v>#DIV/0!</v>
      </c>
      <c r="F30" s="2843" t="s">
        <v>2921</v>
      </c>
      <c r="G30" s="2844"/>
      <c r="H30" s="2844"/>
      <c r="I30" s="2844"/>
      <c r="J30" s="2845"/>
      <c r="K30" s="1370"/>
      <c r="L30" s="1370"/>
      <c r="M30" s="1370"/>
      <c r="N30" s="1370"/>
      <c r="O30" s="1375"/>
      <c r="P30" s="1375"/>
      <c r="Q30" s="1376"/>
      <c r="R30" s="1376"/>
      <c r="S30" s="1376"/>
      <c r="T30" s="1371"/>
      <c r="U30" s="1371"/>
      <c r="V30" s="1371"/>
      <c r="W30" s="1370"/>
      <c r="X30" s="1370"/>
      <c r="Y30" s="1370"/>
      <c r="Z30" s="1377"/>
      <c r="AA30" s="1378"/>
      <c r="AB30" s="1378"/>
      <c r="AC30" s="1378"/>
      <c r="AD30" s="1378"/>
      <c r="AE30" s="2782"/>
      <c r="AF30" s="2782"/>
      <c r="AG30" s="2719"/>
      <c r="AH30" s="2719"/>
      <c r="AI30" s="2719"/>
      <c r="AJ30" s="2719"/>
    </row>
    <row r="31" spans="1:37" ht="13.8">
      <c r="A31" s="2846"/>
      <c r="B31" s="2847" t="s">
        <v>2922</v>
      </c>
      <c r="C31" s="2848" t="s">
        <v>2923</v>
      </c>
      <c r="D31" s="2760"/>
      <c r="E31" s="2848"/>
      <c r="F31" s="2848"/>
      <c r="G31" s="2758" t="s">
        <v>2924</v>
      </c>
      <c r="H31" s="2760"/>
      <c r="I31" s="2849"/>
      <c r="J31" s="2761"/>
      <c r="K31" s="1370"/>
      <c r="L31" s="1370"/>
      <c r="M31" s="1370"/>
      <c r="N31" s="1370"/>
      <c r="O31" s="1375"/>
      <c r="P31" s="1375"/>
      <c r="Q31" s="1376"/>
      <c r="R31" s="1376"/>
      <c r="S31" s="1376"/>
      <c r="T31" s="1371"/>
      <c r="U31" s="1371"/>
      <c r="V31" s="1371"/>
      <c r="W31" s="1370"/>
      <c r="X31" s="1370"/>
      <c r="Y31" s="1370"/>
      <c r="Z31" s="1377"/>
      <c r="AA31" s="1378"/>
      <c r="AB31" s="1378"/>
      <c r="AC31" s="1378"/>
      <c r="AD31" s="1378"/>
      <c r="AE31" s="2782"/>
      <c r="AF31" s="2782"/>
      <c r="AG31" s="2719"/>
      <c r="AH31" s="2719"/>
      <c r="AI31" s="2719"/>
      <c r="AJ31" s="2719"/>
    </row>
    <row r="32" spans="1:37" ht="36">
      <c r="A32" s="2834"/>
      <c r="B32" s="2850"/>
      <c r="C32" s="501" t="s">
        <v>2915</v>
      </c>
      <c r="D32" s="498" t="s">
        <v>2916</v>
      </c>
      <c r="E32" s="498" t="s">
        <v>2917</v>
      </c>
      <c r="F32" s="388" t="s">
        <v>2925</v>
      </c>
      <c r="G32" s="2851" t="s">
        <v>2915</v>
      </c>
      <c r="H32" s="2851" t="s">
        <v>2916</v>
      </c>
      <c r="I32" s="2851" t="s">
        <v>2917</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2"/>
      <c r="AF32" s="2782"/>
      <c r="AG32" s="2719"/>
      <c r="AH32" s="2719"/>
      <c r="AI32" s="2719"/>
      <c r="AJ32" s="2719"/>
    </row>
    <row r="33" spans="1:37" ht="36" customHeight="1">
      <c r="A33" s="3262" t="s">
        <v>2926</v>
      </c>
      <c r="B33" s="2852" t="s">
        <v>2927</v>
      </c>
      <c r="C33" s="206" t="e">
        <f>ROUND(D5*C19*C20*C24*F33,0)</f>
        <v>#DIV/0!</v>
      </c>
      <c r="D33" s="2836"/>
      <c r="E33" s="200" t="e">
        <f>ROUND(C33*D33/10000,0)</f>
        <v>#DIV/0!</v>
      </c>
      <c r="F33" s="200">
        <f>SUMIF(修正!A45:A56,G2,修正!B45:B56)</f>
        <v>0</v>
      </c>
      <c r="G33" s="200" t="e">
        <f t="shared" ref="G33" si="6">ROUND(IF(E2="工业",C33*$M$39,C33*$M$38),0)</f>
        <v>#DIV/0!</v>
      </c>
      <c r="H33" s="200">
        <f>D33</f>
        <v>0</v>
      </c>
      <c r="I33" s="200" t="e">
        <f>ROUND(G33*H33/10000,0)</f>
        <v>#DIV/0!</v>
      </c>
      <c r="J33" s="2853"/>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63"/>
      <c r="B34" s="2764" t="s">
        <v>2928</v>
      </c>
      <c r="C34" s="206" t="e">
        <f>ROUND(D5*C19*C20*C24*F34,0)</f>
        <v>#DIV/0!</v>
      </c>
      <c r="D34" s="2836"/>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3"/>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63"/>
      <c r="B35" s="2764" t="s">
        <v>2929</v>
      </c>
      <c r="C35" s="206" t="e">
        <f>ROUND(D5*C19*C20*C24*F35,0)</f>
        <v>#DIV/0!</v>
      </c>
      <c r="D35" s="2836"/>
      <c r="E35" s="200" t="e">
        <f t="shared" si="7"/>
        <v>#DIV/0!</v>
      </c>
      <c r="F35" s="200">
        <f>SUMIF(修正!A45:A56,G2,修正!D45:D56)</f>
        <v>0</v>
      </c>
      <c r="G35" s="200" t="e">
        <f>ROUND(IF(E2="工业",C35*$M$39,C35*$M$38),0)</f>
        <v>#DIV/0!</v>
      </c>
      <c r="H35" s="200">
        <f t="shared" si="8"/>
        <v>0</v>
      </c>
      <c r="I35" s="200" t="e">
        <f t="shared" si="9"/>
        <v>#DIV/0!</v>
      </c>
      <c r="J35" s="2853"/>
      <c r="K35" s="1370"/>
      <c r="L35" s="1370"/>
      <c r="M35" s="1370"/>
      <c r="N35" s="1370"/>
      <c r="O35" s="1370"/>
      <c r="P35" s="1370"/>
      <c r="Q35" s="1370"/>
      <c r="R35" s="1370"/>
      <c r="S35" s="1370"/>
      <c r="T35" s="1370"/>
      <c r="U35" s="1370"/>
      <c r="V35" s="1370"/>
      <c r="W35" s="1370"/>
      <c r="X35" s="1370"/>
      <c r="Y35" s="1370"/>
      <c r="Z35" s="1371"/>
    </row>
    <row r="36" spans="1:37" ht="13.8" thickBot="1">
      <c r="A36" s="3264"/>
      <c r="B36" s="2764" t="s">
        <v>2930</v>
      </c>
      <c r="C36" s="206" t="e">
        <f>ROUND(D5*C19*C20*C24*F36,0)</f>
        <v>#DIV/0!</v>
      </c>
      <c r="D36" s="2836"/>
      <c r="E36" s="200" t="e">
        <f t="shared" si="7"/>
        <v>#DIV/0!</v>
      </c>
      <c r="F36" s="200">
        <f>SUMIF(修正!A45:A56,G2,修正!E45:E56)</f>
        <v>0</v>
      </c>
      <c r="G36" s="200" t="e">
        <f>ROUND(IF(E2="工业",C36*$M$39,C36*$M$38),0)</f>
        <v>#DIV/0!</v>
      </c>
      <c r="H36" s="200">
        <f t="shared" si="8"/>
        <v>0</v>
      </c>
      <c r="I36" s="200" t="e">
        <f t="shared" si="9"/>
        <v>#DIV/0!</v>
      </c>
      <c r="J36" s="2853"/>
      <c r="K36" s="1370"/>
      <c r="L36" s="2718"/>
      <c r="M36" s="2718"/>
      <c r="N36" s="1370"/>
      <c r="O36" s="1370"/>
      <c r="P36" s="1370"/>
      <c r="Q36" s="1370"/>
      <c r="R36" s="1370"/>
      <c r="S36" s="1370"/>
      <c r="T36" s="1370"/>
      <c r="U36" s="1370"/>
      <c r="V36" s="1370"/>
      <c r="W36" s="1370"/>
      <c r="X36" s="1370"/>
      <c r="Y36" s="1370"/>
      <c r="Z36" s="1371"/>
    </row>
    <row r="37" spans="1:37">
      <c r="A37" s="2854"/>
      <c r="B37" s="2764" t="s">
        <v>2931</v>
      </c>
      <c r="C37" s="200" t="e">
        <f>ROUND(D5*C19*C20*C24*F37,0)</f>
        <v>#DIV/0!</v>
      </c>
      <c r="D37" s="2836"/>
      <c r="E37" s="200" t="e">
        <f t="shared" si="7"/>
        <v>#DIV/0!</v>
      </c>
      <c r="F37" s="206">
        <f>SUMIF(修正!A45:A56,G2,修正!F45:F56)</f>
        <v>0</v>
      </c>
      <c r="G37" s="200" t="e">
        <f>ROUND(IF(E2="工业",C37*$M$39,C37*$M$38),0)</f>
        <v>#DIV/0!</v>
      </c>
      <c r="H37" s="200">
        <f t="shared" si="8"/>
        <v>0</v>
      </c>
      <c r="I37" s="200" t="e">
        <f t="shared" si="9"/>
        <v>#DIV/0!</v>
      </c>
      <c r="J37" s="2853"/>
      <c r="K37" s="1370"/>
      <c r="L37" s="2855" t="s">
        <v>2932</v>
      </c>
      <c r="M37" s="2856"/>
      <c r="N37" s="1370"/>
      <c r="O37" s="1370"/>
      <c r="P37" s="1370"/>
      <c r="Q37" s="1370"/>
      <c r="R37" s="1370"/>
      <c r="S37" s="1370"/>
      <c r="T37" s="1370"/>
      <c r="U37" s="1370"/>
      <c r="V37" s="1370"/>
      <c r="W37" s="1370"/>
      <c r="X37" s="1370"/>
      <c r="Y37" s="1370"/>
      <c r="Z37" s="1371"/>
    </row>
    <row r="38" spans="1:37">
      <c r="A38" s="2854"/>
      <c r="B38" s="2764" t="s">
        <v>2933</v>
      </c>
      <c r="C38" s="200" t="e">
        <f>ROUND(D5*C19*C41*C24*F38,0)</f>
        <v>#DIV/0!</v>
      </c>
      <c r="D38" s="2836"/>
      <c r="E38" s="200" t="e">
        <f t="shared" si="7"/>
        <v>#DIV/0!</v>
      </c>
      <c r="F38" s="206">
        <f>SUMIF(修正!A45:A56,G2,修正!G45:G56)</f>
        <v>0</v>
      </c>
      <c r="G38" s="200" t="e">
        <f>ROUND(IF(E2="工业",C38*$M$39,C38*$M$38),0)</f>
        <v>#DIV/0!</v>
      </c>
      <c r="H38" s="200">
        <f t="shared" si="8"/>
        <v>0</v>
      </c>
      <c r="I38" s="200" t="e">
        <f t="shared" si="9"/>
        <v>#DIV/0!</v>
      </c>
      <c r="J38" s="2853"/>
      <c r="K38" s="1370"/>
      <c r="L38" s="1887" t="s">
        <v>2934</v>
      </c>
      <c r="M38" s="2857">
        <v>0.25</v>
      </c>
      <c r="N38" s="1370"/>
      <c r="O38" s="1370"/>
      <c r="P38" s="1370"/>
      <c r="Q38" s="1370"/>
      <c r="R38" s="1370"/>
      <c r="S38" s="1370"/>
      <c r="T38" s="1370"/>
      <c r="U38" s="1370"/>
      <c r="V38" s="1370"/>
      <c r="W38" s="1370"/>
      <c r="X38" s="1370"/>
      <c r="Y38" s="1370"/>
      <c r="Z38" s="1371"/>
    </row>
    <row r="39" spans="1:37" ht="13.8" thickBot="1">
      <c r="A39" s="2840"/>
      <c r="B39" s="2858" t="s">
        <v>2935</v>
      </c>
      <c r="C39" s="229" t="e">
        <f>ROUND(D5*C19*C41*C24*F39,0)</f>
        <v>#DIV/0!</v>
      </c>
      <c r="D39" s="2842"/>
      <c r="E39" s="229" t="e">
        <f t="shared" si="7"/>
        <v>#DIV/0!</v>
      </c>
      <c r="F39" s="932">
        <f>SUMIF(修正!A45:A56,G2,修正!H45:H56)</f>
        <v>0</v>
      </c>
      <c r="G39" s="229" t="e">
        <f>ROUND(IF(E2="工业",C39*$M$39,C39*$M$38),0)</f>
        <v>#DIV/0!</v>
      </c>
      <c r="H39" s="229">
        <f t="shared" si="8"/>
        <v>0</v>
      </c>
      <c r="I39" s="229" t="e">
        <f t="shared" si="9"/>
        <v>#DIV/0!</v>
      </c>
      <c r="J39" s="2859"/>
      <c r="K39" s="1370"/>
      <c r="L39" s="2860" t="s">
        <v>2878</v>
      </c>
      <c r="M39" s="2861">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29" t="s">
        <v>3046</v>
      </c>
      <c r="C41" s="388" t="e">
        <f>ROUND(POWER(1+E41,H41-G41)*(POWER(1+E41,G41)-1)/(POWER(1+E41,H41)-1),4)</f>
        <v>#DIV/0!</v>
      </c>
      <c r="D41" s="200" t="s">
        <v>2885</v>
      </c>
      <c r="E41" s="2928">
        <f>G20</f>
        <v>0</v>
      </c>
      <c r="F41" s="200" t="s">
        <v>2894</v>
      </c>
      <c r="G41" s="218"/>
      <c r="H41" s="200">
        <v>50</v>
      </c>
      <c r="Z41" s="1371"/>
      <c r="AA41" s="1371"/>
      <c r="AB41" s="1371"/>
      <c r="AC41" s="1371"/>
      <c r="AD41" s="1371"/>
      <c r="AE41" s="1371"/>
      <c r="AF41" s="1371"/>
      <c r="AG41" s="1371"/>
      <c r="AH41" s="1371"/>
      <c r="AI41" s="1371"/>
      <c r="AJ41" s="1371"/>
    </row>
    <row r="42" spans="1:37" s="1370" customFormat="1">
      <c r="A42" s="1371"/>
      <c r="B42" s="2862"/>
      <c r="Z42" s="1371"/>
      <c r="AA42" s="1371"/>
      <c r="AB42" s="1371"/>
      <c r="AC42" s="1371"/>
      <c r="AD42" s="1371"/>
      <c r="AE42" s="1371"/>
      <c r="AF42" s="1371"/>
      <c r="AG42" s="1371"/>
      <c r="AH42" s="1371"/>
      <c r="AI42" s="1371"/>
      <c r="AJ42" s="1371"/>
    </row>
    <row r="43" spans="1:37" s="1370" customFormat="1">
      <c r="A43" s="1371"/>
      <c r="B43" s="2862"/>
      <c r="Z43" s="1371"/>
      <c r="AA43" s="1371"/>
      <c r="AB43" s="1371"/>
      <c r="AC43" s="1371"/>
      <c r="AD43" s="1371"/>
      <c r="AE43" s="1371"/>
      <c r="AF43" s="1371"/>
      <c r="AG43" s="1371"/>
      <c r="AH43" s="1371"/>
      <c r="AI43" s="1371"/>
      <c r="AJ43" s="1371"/>
    </row>
    <row r="44" spans="1:37" s="1370" customFormat="1">
      <c r="A44" s="1371"/>
      <c r="B44" s="2862"/>
      <c r="Z44" s="1371"/>
      <c r="AA44" s="1371"/>
      <c r="AB44" s="1371"/>
      <c r="AC44" s="1371"/>
      <c r="AD44" s="1371"/>
      <c r="AE44" s="1371"/>
      <c r="AF44" s="1371"/>
      <c r="AG44" s="1371"/>
      <c r="AH44" s="1371"/>
      <c r="AI44" s="1371"/>
      <c r="AJ44" s="1371"/>
    </row>
    <row r="45" spans="1:37" s="1370" customFormat="1" ht="15" thickBot="1">
      <c r="A45" s="2863" t="s">
        <v>2936</v>
      </c>
      <c r="B45" s="2864"/>
      <c r="C45" s="7"/>
      <c r="D45" s="7"/>
      <c r="E45" s="7"/>
      <c r="F45" s="6"/>
      <c r="G45" s="6"/>
      <c r="H45" s="6"/>
      <c r="I45" s="7"/>
      <c r="J45" s="7"/>
      <c r="K45" s="7"/>
      <c r="L45" s="7"/>
      <c r="M45" s="7"/>
      <c r="N45" s="2782"/>
      <c r="Z45" s="1371"/>
      <c r="AA45" s="1371"/>
      <c r="AB45" s="1371"/>
      <c r="AC45" s="1371"/>
      <c r="AD45" s="1371"/>
      <c r="AE45" s="1371"/>
      <c r="AF45" s="1371"/>
      <c r="AG45" s="1371"/>
      <c r="AH45" s="1371"/>
      <c r="AI45" s="1371"/>
      <c r="AJ45" s="1371"/>
    </row>
    <row r="46" spans="1:37" s="1370" customFormat="1" ht="14.4">
      <c r="A46" s="2865" t="s">
        <v>2937</v>
      </c>
      <c r="B46" s="2866">
        <f>1+E48</f>
        <v>1</v>
      </c>
      <c r="C46" s="2867"/>
      <c r="D46" s="814"/>
      <c r="E46" s="815"/>
      <c r="F46" s="2868"/>
      <c r="G46" s="6"/>
      <c r="H46" s="7"/>
      <c r="I46" s="7"/>
      <c r="J46" s="7"/>
      <c r="K46" s="7"/>
      <c r="L46" s="7"/>
      <c r="M46" s="7"/>
      <c r="N46" s="2782"/>
      <c r="Z46" s="1371"/>
      <c r="AA46" s="1371"/>
      <c r="AB46" s="1371"/>
      <c r="AC46" s="1371"/>
      <c r="AD46" s="1371"/>
      <c r="AE46" s="1371"/>
      <c r="AF46" s="1371"/>
      <c r="AG46" s="1371"/>
      <c r="AH46" s="1371"/>
      <c r="AI46" s="1371"/>
      <c r="AJ46" s="1371"/>
    </row>
    <row r="47" spans="1:37" s="1370" customFormat="1" ht="25.2">
      <c r="A47" s="2869" t="s">
        <v>2938</v>
      </c>
      <c r="B47" s="1809" t="s">
        <v>2939</v>
      </c>
      <c r="C47" s="1809" t="s">
        <v>2940</v>
      </c>
      <c r="D47" s="1809" t="s">
        <v>2941</v>
      </c>
      <c r="E47" s="819" t="s">
        <v>2942</v>
      </c>
      <c r="F47" s="2870" t="s">
        <v>2943</v>
      </c>
      <c r="G47" s="1809" t="s">
        <v>754</v>
      </c>
      <c r="H47" s="2871" t="s">
        <v>2944</v>
      </c>
      <c r="I47" s="1809" t="s">
        <v>2945</v>
      </c>
      <c r="J47" s="603" t="s">
        <v>2593</v>
      </c>
      <c r="K47" s="603" t="s">
        <v>2594</v>
      </c>
      <c r="L47" s="603" t="s">
        <v>2595</v>
      </c>
      <c r="M47" s="603" t="s">
        <v>2596</v>
      </c>
      <c r="N47" s="603" t="s">
        <v>2597</v>
      </c>
      <c r="AA47" s="1371"/>
      <c r="AB47" s="1371"/>
      <c r="AC47" s="1371"/>
      <c r="AD47" s="1371"/>
      <c r="AE47" s="1371"/>
      <c r="AF47" s="1371"/>
      <c r="AG47" s="1371"/>
      <c r="AH47" s="1371"/>
      <c r="AI47" s="1371"/>
      <c r="AJ47" s="1371"/>
      <c r="AK47" s="1371"/>
    </row>
    <row r="48" spans="1:37" s="1370" customFormat="1" ht="25.2">
      <c r="A48" s="2869" t="s">
        <v>2946</v>
      </c>
      <c r="B48" s="2872" t="str">
        <f>估价对象房地状况!C4</f>
        <v>较好</v>
      </c>
      <c r="C48" s="2769"/>
      <c r="D48" s="1286">
        <f t="shared" ref="D48:D56" si="10">SUMIF($J$47:$N$47,C48,J48:N48)</f>
        <v>0</v>
      </c>
      <c r="E48" s="821">
        <f>ROUND(SUM(D48:D56),4)</f>
        <v>0</v>
      </c>
      <c r="F48" s="2500" t="str">
        <f>IF(E2="商业",SUMIF(L1:L12,G2,N1:N12),"——")</f>
        <v>——</v>
      </c>
      <c r="G48" s="1284"/>
      <c r="H48" s="1288" t="str">
        <f t="shared" ref="H48:H56" si="11">IFERROR(ROUNDDOWN($F$48*I48/2,4),"——")</f>
        <v>——</v>
      </c>
      <c r="I48" s="820">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24">
      <c r="A49" s="2869" t="s">
        <v>2947</v>
      </c>
      <c r="B49" s="2873" t="str">
        <f>估价对象房地状况!C18</f>
        <v>较好</v>
      </c>
      <c r="C49" s="2769"/>
      <c r="D49" s="1286">
        <f t="shared" si="10"/>
        <v>0</v>
      </c>
      <c r="E49" s="822"/>
      <c r="F49" s="2500"/>
      <c r="G49" s="1284"/>
      <c r="H49" s="1288" t="str">
        <f t="shared" si="11"/>
        <v>——</v>
      </c>
      <c r="I49" s="820">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69" t="s">
        <v>2948</v>
      </c>
      <c r="B50" s="2873">
        <f>估价对象房地状况!C19</f>
        <v>0</v>
      </c>
      <c r="C50" s="2769"/>
      <c r="D50" s="1286">
        <f t="shared" si="10"/>
        <v>0</v>
      </c>
      <c r="E50" s="822"/>
      <c r="F50" s="2500"/>
      <c r="G50" s="1284"/>
      <c r="H50" s="1288" t="str">
        <f t="shared" si="11"/>
        <v>——</v>
      </c>
      <c r="I50" s="820">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69" t="s">
        <v>2949</v>
      </c>
      <c r="B51" s="2874" t="s">
        <v>2950</v>
      </c>
      <c r="C51" s="2769"/>
      <c r="D51" s="1286">
        <f t="shared" si="10"/>
        <v>0</v>
      </c>
      <c r="E51" s="822"/>
      <c r="F51" s="2500"/>
      <c r="G51" s="1284"/>
      <c r="H51" s="1288" t="str">
        <f t="shared" si="11"/>
        <v>——</v>
      </c>
      <c r="I51" s="820">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69" t="s">
        <v>2951</v>
      </c>
      <c r="B52" s="2873">
        <f>估价对象房地状况!C24</f>
        <v>0</v>
      </c>
      <c r="C52" s="2769"/>
      <c r="D52" s="1286">
        <f t="shared" si="10"/>
        <v>0</v>
      </c>
      <c r="E52" s="822"/>
      <c r="F52" s="2500"/>
      <c r="G52" s="1284"/>
      <c r="H52" s="1288" t="str">
        <f t="shared" si="11"/>
        <v>——</v>
      </c>
      <c r="I52" s="820">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69" t="s">
        <v>2952</v>
      </c>
      <c r="B53" s="2875" t="s">
        <v>2953</v>
      </c>
      <c r="C53" s="2769"/>
      <c r="D53" s="1286">
        <f t="shared" si="10"/>
        <v>0</v>
      </c>
      <c r="E53" s="822"/>
      <c r="F53" s="2500"/>
      <c r="G53" s="1284"/>
      <c r="H53" s="1288" t="str">
        <f t="shared" si="11"/>
        <v>——</v>
      </c>
      <c r="I53" s="820">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24">
      <c r="A54" s="2876" t="s">
        <v>2954</v>
      </c>
      <c r="B54" s="1725" t="str">
        <f>估价对象房地状况!C21</f>
        <v>较好</v>
      </c>
      <c r="C54" s="2769"/>
      <c r="D54" s="1286">
        <f t="shared" si="10"/>
        <v>0</v>
      </c>
      <c r="E54" s="822"/>
      <c r="F54" s="2500"/>
      <c r="G54" s="1284"/>
      <c r="H54" s="1288" t="str">
        <f t="shared" si="11"/>
        <v>——</v>
      </c>
      <c r="I54" s="820">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4">
      <c r="A55" s="2876" t="s">
        <v>2955</v>
      </c>
      <c r="B55" s="2873" t="str">
        <f>估价对象房地状况!C22</f>
        <v>六通</v>
      </c>
      <c r="C55" s="2769"/>
      <c r="D55" s="1286">
        <f t="shared" si="10"/>
        <v>0</v>
      </c>
      <c r="E55" s="822"/>
      <c r="F55" s="2500"/>
      <c r="G55" s="1284"/>
      <c r="H55" s="1288" t="str">
        <f t="shared" si="11"/>
        <v>——</v>
      </c>
      <c r="I55" s="820">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36.6" thickBot="1">
      <c r="A56" s="2877" t="s">
        <v>2956</v>
      </c>
      <c r="B56" s="2878" t="str">
        <f>估价对象房地状况!C20</f>
        <v>较好</v>
      </c>
      <c r="C56" s="2769"/>
      <c r="D56" s="1286">
        <f t="shared" si="10"/>
        <v>0</v>
      </c>
      <c r="E56" s="825"/>
      <c r="F56" s="2500"/>
      <c r="G56" s="1284"/>
      <c r="H56" s="1288" t="str">
        <f t="shared" si="11"/>
        <v>——</v>
      </c>
      <c r="I56" s="824">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65" t="s">
        <v>2957</v>
      </c>
      <c r="B57" s="2866">
        <f>1+E59</f>
        <v>1</v>
      </c>
      <c r="C57" s="814"/>
      <c r="D57" s="814"/>
      <c r="E57" s="815"/>
      <c r="F57" s="2868"/>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69" t="s">
        <v>2938</v>
      </c>
      <c r="B58" s="1809"/>
      <c r="C58" s="1809" t="s">
        <v>2940</v>
      </c>
      <c r="D58" s="1809" t="s">
        <v>2941</v>
      </c>
      <c r="E58" s="819" t="s">
        <v>2942</v>
      </c>
      <c r="F58" s="2870" t="s">
        <v>2958</v>
      </c>
      <c r="G58" s="1809" t="s">
        <v>754</v>
      </c>
      <c r="H58" s="2871" t="s">
        <v>2944</v>
      </c>
      <c r="I58" s="1809" t="s">
        <v>2945</v>
      </c>
      <c r="J58" s="603" t="s">
        <v>2593</v>
      </c>
      <c r="K58" s="603" t="s">
        <v>2594</v>
      </c>
      <c r="L58" s="603" t="s">
        <v>2595</v>
      </c>
      <c r="M58" s="603" t="s">
        <v>2596</v>
      </c>
      <c r="N58" s="603" t="s">
        <v>2597</v>
      </c>
      <c r="AA58" s="1371"/>
      <c r="AB58" s="1371"/>
      <c r="AC58" s="1371"/>
      <c r="AD58" s="1371"/>
      <c r="AE58" s="1371"/>
      <c r="AF58" s="1371"/>
      <c r="AG58" s="1371"/>
      <c r="AH58" s="1371"/>
      <c r="AI58" s="1371"/>
      <c r="AJ58" s="1371"/>
      <c r="AK58" s="1371"/>
    </row>
    <row r="59" spans="1:37" s="1370" customFormat="1" ht="24">
      <c r="A59" s="2869" t="s">
        <v>2959</v>
      </c>
      <c r="B59" s="2872" t="str">
        <f>估价对象房地状况!C17</f>
        <v>一般</v>
      </c>
      <c r="C59" s="2769"/>
      <c r="D59" s="1286">
        <f t="shared" ref="D59:D67" si="15">SUMIF($J$58:$N$58,C59,J59:N59)</f>
        <v>0</v>
      </c>
      <c r="E59" s="821">
        <f>ROUND(SUM(D59:D67),4)</f>
        <v>0</v>
      </c>
      <c r="F59" s="2500" t="str">
        <f>IF(E2="办公",SUMIF(L1:L12,G2,N1:N12),"——")</f>
        <v>——</v>
      </c>
      <c r="G59" s="1284"/>
      <c r="H59" s="1288" t="str">
        <f t="shared" ref="H59:H67" si="16">IFERROR(ROUNDDOWN($F$59*I59/2,4),"——")</f>
        <v>——</v>
      </c>
      <c r="I59" s="820">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24">
      <c r="A60" s="2869" t="s">
        <v>2947</v>
      </c>
      <c r="B60" s="2873" t="str">
        <f>估价对象房地状况!C18</f>
        <v>较好</v>
      </c>
      <c r="C60" s="2769"/>
      <c r="D60" s="1286">
        <f t="shared" si="15"/>
        <v>0</v>
      </c>
      <c r="E60" s="822"/>
      <c r="F60" s="2500"/>
      <c r="G60" s="1284"/>
      <c r="H60" s="1288" t="str">
        <f t="shared" si="16"/>
        <v>——</v>
      </c>
      <c r="I60" s="820">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69" t="s">
        <v>2948</v>
      </c>
      <c r="B61" s="2873">
        <f>估价对象房地状况!C19</f>
        <v>0</v>
      </c>
      <c r="C61" s="2769"/>
      <c r="D61" s="1286">
        <f t="shared" si="15"/>
        <v>0</v>
      </c>
      <c r="E61" s="822"/>
      <c r="F61" s="2500"/>
      <c r="G61" s="1284"/>
      <c r="H61" s="1288" t="str">
        <f t="shared" si="16"/>
        <v>——</v>
      </c>
      <c r="I61" s="820">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69" t="s">
        <v>2949</v>
      </c>
      <c r="B62" s="2874" t="s">
        <v>2950</v>
      </c>
      <c r="C62" s="2769"/>
      <c r="D62" s="1286">
        <f t="shared" si="15"/>
        <v>0</v>
      </c>
      <c r="E62" s="822"/>
      <c r="F62" s="2500"/>
      <c r="G62" s="1284"/>
      <c r="H62" s="1288" t="str">
        <f t="shared" si="16"/>
        <v>——</v>
      </c>
      <c r="I62" s="820">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69" t="s">
        <v>2951</v>
      </c>
      <c r="B63" s="2873">
        <f>估价对象房地状况!C24</f>
        <v>0</v>
      </c>
      <c r="C63" s="2769"/>
      <c r="D63" s="1286">
        <f t="shared" si="15"/>
        <v>0</v>
      </c>
      <c r="E63" s="822"/>
      <c r="F63" s="2500"/>
      <c r="G63" s="1284"/>
      <c r="H63" s="1288" t="str">
        <f t="shared" si="16"/>
        <v>——</v>
      </c>
      <c r="I63" s="820">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69" t="s">
        <v>2952</v>
      </c>
      <c r="B64" s="2875" t="s">
        <v>2953</v>
      </c>
      <c r="C64" s="2769"/>
      <c r="D64" s="1286">
        <f t="shared" si="15"/>
        <v>0</v>
      </c>
      <c r="E64" s="822"/>
      <c r="F64" s="2500"/>
      <c r="G64" s="1284"/>
      <c r="H64" s="1288" t="str">
        <f t="shared" si="16"/>
        <v>——</v>
      </c>
      <c r="I64" s="820">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24">
      <c r="A65" s="2869" t="s">
        <v>2954</v>
      </c>
      <c r="B65" s="1725" t="str">
        <f>估价对象房地状况!C21</f>
        <v>较好</v>
      </c>
      <c r="C65" s="2769"/>
      <c r="D65" s="1286">
        <f t="shared" si="15"/>
        <v>0</v>
      </c>
      <c r="E65" s="822"/>
      <c r="F65" s="2500"/>
      <c r="G65" s="1284"/>
      <c r="H65" s="1288" t="str">
        <f t="shared" si="16"/>
        <v>——</v>
      </c>
      <c r="I65" s="820">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4">
      <c r="A66" s="2869" t="s">
        <v>2955</v>
      </c>
      <c r="B66" s="1725" t="str">
        <f>估价对象房地状况!C22</f>
        <v>六通</v>
      </c>
      <c r="C66" s="2769"/>
      <c r="D66" s="1286">
        <f t="shared" si="15"/>
        <v>0</v>
      </c>
      <c r="E66" s="822"/>
      <c r="F66" s="2500"/>
      <c r="G66" s="1284"/>
      <c r="H66" s="1288" t="str">
        <f t="shared" si="16"/>
        <v>——</v>
      </c>
      <c r="I66" s="820">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36.6" thickBot="1">
      <c r="A67" s="2877" t="s">
        <v>2956</v>
      </c>
      <c r="B67" s="2879" t="str">
        <f>估价对象房地状况!C20</f>
        <v>较好</v>
      </c>
      <c r="C67" s="2769"/>
      <c r="D67" s="1286">
        <f t="shared" si="15"/>
        <v>0</v>
      </c>
      <c r="E67" s="825"/>
      <c r="F67" s="2500"/>
      <c r="G67" s="1284"/>
      <c r="H67" s="1288" t="str">
        <f t="shared" si="16"/>
        <v>——</v>
      </c>
      <c r="I67" s="824">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65" t="s">
        <v>2960</v>
      </c>
      <c r="B68" s="2866">
        <f>1+E70</f>
        <v>1</v>
      </c>
      <c r="C68" s="814"/>
      <c r="D68" s="814"/>
      <c r="E68" s="815"/>
      <c r="F68" s="2868"/>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69" t="s">
        <v>2938</v>
      </c>
      <c r="B69" s="1809"/>
      <c r="C69" s="1809" t="s">
        <v>2940</v>
      </c>
      <c r="D69" s="1809" t="s">
        <v>2941</v>
      </c>
      <c r="E69" s="819" t="s">
        <v>2942</v>
      </c>
      <c r="F69" s="2870" t="s">
        <v>2958</v>
      </c>
      <c r="G69" s="1809" t="s">
        <v>754</v>
      </c>
      <c r="H69" s="2871" t="s">
        <v>2944</v>
      </c>
      <c r="I69" s="1809" t="s">
        <v>2945</v>
      </c>
      <c r="J69" s="603" t="s">
        <v>2593</v>
      </c>
      <c r="K69" s="603" t="s">
        <v>2594</v>
      </c>
      <c r="L69" s="603" t="s">
        <v>2595</v>
      </c>
      <c r="M69" s="603" t="s">
        <v>2596</v>
      </c>
      <c r="N69" s="603" t="s">
        <v>2597</v>
      </c>
      <c r="AA69" s="1371"/>
      <c r="AB69" s="1371"/>
      <c r="AC69" s="1371"/>
      <c r="AD69" s="1371"/>
      <c r="AE69" s="1371"/>
      <c r="AF69" s="1371"/>
      <c r="AG69" s="1371"/>
      <c r="AH69" s="1371"/>
      <c r="AI69" s="1371"/>
      <c r="AJ69" s="1371"/>
      <c r="AK69" s="1371"/>
    </row>
    <row r="70" spans="1:37" s="1370" customFormat="1" ht="24">
      <c r="A70" s="2869" t="s">
        <v>2961</v>
      </c>
      <c r="B70" s="2872" t="str">
        <f>估价对象房地状况!C15</f>
        <v>较好</v>
      </c>
      <c r="C70" s="2769"/>
      <c r="D70" s="1286">
        <f t="shared" ref="D70:D78" si="20">SUMIF($J$69:$N$69,C70,J70:N70)</f>
        <v>0</v>
      </c>
      <c r="E70" s="821">
        <f>ROUND(SUM(D70:D78),4)</f>
        <v>0</v>
      </c>
      <c r="F70" s="2500" t="str">
        <f>IF(E2="住宅",SUMIF(L1:L12,G2,N1:N12),"——")</f>
        <v>——</v>
      </c>
      <c r="G70" s="1284"/>
      <c r="H70" s="1288" t="str">
        <f t="shared" ref="H70:H78" si="21">IFERROR(ROUNDDOWN($F$70*I70/2,4),"——")</f>
        <v>——</v>
      </c>
      <c r="I70" s="820">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24">
      <c r="A71" s="2869" t="s">
        <v>2947</v>
      </c>
      <c r="B71" s="2873" t="str">
        <f>估价对象房地状况!C18</f>
        <v>较好</v>
      </c>
      <c r="C71" s="2769"/>
      <c r="D71" s="1286">
        <f t="shared" si="20"/>
        <v>0</v>
      </c>
      <c r="E71" s="826"/>
      <c r="F71" s="2500"/>
      <c r="G71" s="1284"/>
      <c r="H71" s="1288" t="str">
        <f t="shared" si="21"/>
        <v>——</v>
      </c>
      <c r="I71" s="820">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69" t="s">
        <v>2948</v>
      </c>
      <c r="B72" s="2873">
        <f>估价对象房地状况!C19</f>
        <v>0</v>
      </c>
      <c r="C72" s="2769"/>
      <c r="D72" s="1286">
        <f t="shared" si="20"/>
        <v>0</v>
      </c>
      <c r="E72" s="826"/>
      <c r="F72" s="2500"/>
      <c r="G72" s="1284"/>
      <c r="H72" s="1288" t="str">
        <f t="shared" si="21"/>
        <v>——</v>
      </c>
      <c r="I72" s="820">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69" t="s">
        <v>2962</v>
      </c>
      <c r="B73" s="2873">
        <f>估价对象房地状况!C24</f>
        <v>0</v>
      </c>
      <c r="C73" s="2769"/>
      <c r="D73" s="1286">
        <f t="shared" si="20"/>
        <v>0</v>
      </c>
      <c r="E73" s="826"/>
      <c r="F73" s="2500"/>
      <c r="G73" s="1284"/>
      <c r="H73" s="1288" t="str">
        <f t="shared" si="21"/>
        <v>——</v>
      </c>
      <c r="I73" s="820">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24">
      <c r="A74" s="2869" t="s">
        <v>2954</v>
      </c>
      <c r="B74" s="1725" t="str">
        <f>估价对象房地状况!C21</f>
        <v>较好</v>
      </c>
      <c r="C74" s="2769"/>
      <c r="D74" s="1286">
        <f t="shared" si="20"/>
        <v>0</v>
      </c>
      <c r="E74" s="826"/>
      <c r="F74" s="2500"/>
      <c r="G74" s="1284"/>
      <c r="H74" s="1288" t="str">
        <f t="shared" si="21"/>
        <v>——</v>
      </c>
      <c r="I74" s="820">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4">
      <c r="A75" s="2869" t="s">
        <v>2955</v>
      </c>
      <c r="B75" s="1725" t="str">
        <f>估价对象房地状况!C22</f>
        <v>六通</v>
      </c>
      <c r="C75" s="2769"/>
      <c r="D75" s="1286">
        <f t="shared" si="20"/>
        <v>0</v>
      </c>
      <c r="E75" s="826"/>
      <c r="F75" s="2500"/>
      <c r="G75" s="1284"/>
      <c r="H75" s="1288" t="str">
        <f t="shared" si="21"/>
        <v>——</v>
      </c>
      <c r="I75" s="820">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8" customFormat="1" ht="36">
      <c r="A76" s="2869" t="s">
        <v>2952</v>
      </c>
      <c r="B76" s="2875" t="s">
        <v>2953</v>
      </c>
      <c r="C76" s="2769"/>
      <c r="D76" s="1286">
        <f t="shared" si="20"/>
        <v>0</v>
      </c>
      <c r="E76" s="826"/>
      <c r="F76" s="2500"/>
      <c r="G76" s="1284"/>
      <c r="H76" s="1288" t="str">
        <f t="shared" si="21"/>
        <v>——</v>
      </c>
      <c r="I76" s="820">
        <v>0.05</v>
      </c>
      <c r="J76" s="1285">
        <f t="shared" si="22"/>
        <v>0</v>
      </c>
      <c r="K76" s="1285">
        <f t="shared" si="23"/>
        <v>0</v>
      </c>
      <c r="L76" s="1285">
        <v>0</v>
      </c>
      <c r="M76" s="1285">
        <f t="shared" si="24"/>
        <v>0</v>
      </c>
      <c r="N76" s="1285">
        <f t="shared" si="24"/>
        <v>0</v>
      </c>
      <c r="AA76" s="2880"/>
      <c r="AB76" s="1371"/>
      <c r="AC76" s="1371"/>
      <c r="AD76" s="1371"/>
      <c r="AE76" s="1371"/>
      <c r="AF76" s="1371"/>
      <c r="AG76" s="1371"/>
      <c r="AH76" s="2880"/>
      <c r="AI76" s="2880"/>
      <c r="AJ76" s="2880"/>
      <c r="AK76" s="2880"/>
    </row>
    <row r="77" spans="1:37" ht="36">
      <c r="A77" s="2869" t="s">
        <v>2956</v>
      </c>
      <c r="B77" s="2872" t="str">
        <f>估价对象房地状况!C20</f>
        <v>较好</v>
      </c>
      <c r="C77" s="2769"/>
      <c r="D77" s="1286">
        <f t="shared" si="20"/>
        <v>0</v>
      </c>
      <c r="E77" s="826"/>
      <c r="F77" s="2500"/>
      <c r="G77" s="1284"/>
      <c r="H77" s="1288" t="str">
        <f t="shared" si="21"/>
        <v>——</v>
      </c>
      <c r="I77" s="820">
        <v>0.15</v>
      </c>
      <c r="J77" s="1285">
        <f t="shared" si="22"/>
        <v>0</v>
      </c>
      <c r="K77" s="1285">
        <f t="shared" si="23"/>
        <v>0</v>
      </c>
      <c r="L77" s="1285">
        <v>0</v>
      </c>
      <c r="M77" s="1285">
        <f t="shared" si="24"/>
        <v>0</v>
      </c>
      <c r="N77" s="1285">
        <f t="shared" si="24"/>
        <v>0</v>
      </c>
      <c r="Z77" s="2719"/>
      <c r="AA77" s="2787"/>
      <c r="AG77" s="1372"/>
      <c r="AK77" s="2787"/>
    </row>
    <row r="78" spans="1:37" ht="36.6" thickBot="1">
      <c r="A78" s="2877" t="s">
        <v>2963</v>
      </c>
      <c r="B78" s="2881"/>
      <c r="C78" s="2769"/>
      <c r="D78" s="1286">
        <f t="shared" si="20"/>
        <v>0</v>
      </c>
      <c r="E78" s="827"/>
      <c r="F78" s="2500"/>
      <c r="G78" s="1284"/>
      <c r="H78" s="1288" t="str">
        <f t="shared" si="21"/>
        <v>——</v>
      </c>
      <c r="I78" s="824">
        <v>0.04</v>
      </c>
      <c r="J78" s="1285">
        <f t="shared" si="22"/>
        <v>0</v>
      </c>
      <c r="K78" s="1285">
        <f t="shared" si="23"/>
        <v>0</v>
      </c>
      <c r="L78" s="1285">
        <v>0</v>
      </c>
      <c r="M78" s="1285">
        <f t="shared" si="24"/>
        <v>0</v>
      </c>
      <c r="N78" s="1285">
        <f t="shared" si="24"/>
        <v>0</v>
      </c>
      <c r="Z78" s="2719"/>
      <c r="AA78" s="2787"/>
      <c r="AG78" s="1372"/>
      <c r="AK78" s="2787"/>
    </row>
    <row r="79" spans="1:37" ht="14.4">
      <c r="A79" s="2865" t="s">
        <v>2964</v>
      </c>
      <c r="B79" s="2866">
        <f>1+E81</f>
        <v>1</v>
      </c>
      <c r="C79" s="814"/>
      <c r="D79" s="814"/>
      <c r="E79" s="815"/>
      <c r="F79" s="2868"/>
      <c r="G79" s="6"/>
      <c r="H79" s="6"/>
      <c r="I79" s="6"/>
      <c r="J79" s="7"/>
      <c r="K79" s="7"/>
      <c r="L79" s="7"/>
      <c r="M79" s="7"/>
      <c r="N79" s="7"/>
      <c r="Z79" s="2719"/>
      <c r="AA79" s="2787"/>
      <c r="AG79" s="1372"/>
      <c r="AK79" s="2787"/>
    </row>
    <row r="80" spans="1:37" ht="25.2">
      <c r="A80" s="2869" t="s">
        <v>2938</v>
      </c>
      <c r="B80" s="1809"/>
      <c r="C80" s="1809" t="s">
        <v>2940</v>
      </c>
      <c r="D80" s="1809" t="s">
        <v>2941</v>
      </c>
      <c r="E80" s="819" t="s">
        <v>2942</v>
      </c>
      <c r="F80" s="2870" t="s">
        <v>2958</v>
      </c>
      <c r="G80" s="1809" t="s">
        <v>754</v>
      </c>
      <c r="H80" s="2871" t="s">
        <v>2944</v>
      </c>
      <c r="I80" s="1809" t="s">
        <v>2945</v>
      </c>
      <c r="J80" s="603" t="s">
        <v>2593</v>
      </c>
      <c r="K80" s="603" t="s">
        <v>2594</v>
      </c>
      <c r="L80" s="603" t="s">
        <v>2595</v>
      </c>
      <c r="M80" s="603" t="s">
        <v>2596</v>
      </c>
      <c r="N80" s="603" t="s">
        <v>2597</v>
      </c>
      <c r="Z80" s="2719"/>
      <c r="AA80" s="2787"/>
      <c r="AG80" s="1372"/>
      <c r="AK80" s="2787"/>
    </row>
    <row r="81" spans="1:37" ht="39.6">
      <c r="A81" s="2869" t="s">
        <v>2965</v>
      </c>
      <c r="B81" s="2873" t="str">
        <f>估价对象房地状况!G15</f>
        <v>估价对象位于XX开发区，园区建设成熟度XX，产业集聚程度XX</v>
      </c>
      <c r="C81" s="2769"/>
      <c r="D81" s="1286">
        <f t="shared" ref="D81:D88" si="25">SUMIF($J$80:$N$80,C81,J81:N81)</f>
        <v>0</v>
      </c>
      <c r="E81" s="821">
        <f>ROUND(SUM(D81:D88),4)</f>
        <v>0</v>
      </c>
      <c r="F81" s="2500" t="str">
        <f>IF(E2="工业",SUMIF(L1:L12,G2,N1:N12),"——")</f>
        <v>——</v>
      </c>
      <c r="G81" s="1284"/>
      <c r="H81" s="1288" t="str">
        <f t="shared" ref="H81:H88" si="26">IFERROR(ROUNDDOWN($F$81*I81/2,4),"——")</f>
        <v>——</v>
      </c>
      <c r="I81" s="820">
        <v>0.26</v>
      </c>
      <c r="J81" s="1285">
        <f t="shared" ref="J81:J88" si="27">K81+$G81</f>
        <v>0</v>
      </c>
      <c r="K81" s="1285">
        <f t="shared" ref="K81:K88" si="28">$L81+$G81</f>
        <v>0</v>
      </c>
      <c r="L81" s="1285">
        <v>0</v>
      </c>
      <c r="M81" s="1285">
        <f t="shared" ref="M81:N88" si="29">L81-$G81</f>
        <v>0</v>
      </c>
      <c r="N81" s="1285">
        <f t="shared" si="29"/>
        <v>0</v>
      </c>
      <c r="Z81" s="2719"/>
      <c r="AA81" s="2787"/>
      <c r="AG81" s="1372"/>
      <c r="AK81" s="2787"/>
    </row>
    <row r="82" spans="1:37" ht="66">
      <c r="A82" s="2869" t="s">
        <v>2947</v>
      </c>
      <c r="B82" s="2873" t="str">
        <f>估价对象房地状况!G16</f>
        <v>估价对象周边道路状况、公共交通通达情况、停车便捷程度，综合评价交通便捷度较好</v>
      </c>
      <c r="C82" s="2769"/>
      <c r="D82" s="1286">
        <f t="shared" si="25"/>
        <v>0</v>
      </c>
      <c r="E82" s="826"/>
      <c r="F82" s="2500"/>
      <c r="G82" s="1284"/>
      <c r="H82" s="1288" t="str">
        <f t="shared" si="26"/>
        <v>——</v>
      </c>
      <c r="I82" s="820">
        <v>0.33</v>
      </c>
      <c r="J82" s="1285">
        <f t="shared" si="27"/>
        <v>0</v>
      </c>
      <c r="K82" s="1285">
        <f t="shared" si="28"/>
        <v>0</v>
      </c>
      <c r="L82" s="1285">
        <v>0</v>
      </c>
      <c r="M82" s="1285">
        <f t="shared" si="29"/>
        <v>0</v>
      </c>
      <c r="N82" s="1285">
        <f t="shared" si="29"/>
        <v>0</v>
      </c>
      <c r="Z82" s="2719"/>
      <c r="AA82" s="2787"/>
      <c r="AG82" s="1372"/>
      <c r="AK82" s="2787"/>
    </row>
    <row r="83" spans="1:37" ht="24">
      <c r="A83" s="2869" t="s">
        <v>2948</v>
      </c>
      <c r="B83" s="2873">
        <f>估价对象房地状况!G17</f>
        <v>0</v>
      </c>
      <c r="C83" s="2769"/>
      <c r="D83" s="1286">
        <f t="shared" si="25"/>
        <v>0</v>
      </c>
      <c r="E83" s="826"/>
      <c r="F83" s="2500"/>
      <c r="G83" s="1284"/>
      <c r="H83" s="1288" t="str">
        <f t="shared" si="26"/>
        <v>——</v>
      </c>
      <c r="I83" s="820">
        <v>0.05</v>
      </c>
      <c r="J83" s="1285">
        <f t="shared" si="27"/>
        <v>0</v>
      </c>
      <c r="K83" s="1285">
        <f t="shared" si="28"/>
        <v>0</v>
      </c>
      <c r="L83" s="1285">
        <v>0</v>
      </c>
      <c r="M83" s="1285">
        <f t="shared" si="29"/>
        <v>0</v>
      </c>
      <c r="N83" s="1285">
        <f t="shared" si="29"/>
        <v>0</v>
      </c>
      <c r="Z83" s="2719"/>
      <c r="AA83" s="2787"/>
      <c r="AG83" s="1372"/>
      <c r="AK83" s="2787"/>
    </row>
    <row r="84" spans="1:37" ht="13.8">
      <c r="A84" s="2869" t="s">
        <v>2962</v>
      </c>
      <c r="B84" s="2873">
        <f>估价对象房地状况!G22</f>
        <v>0</v>
      </c>
      <c r="C84" s="2769"/>
      <c r="D84" s="1286">
        <f t="shared" si="25"/>
        <v>0</v>
      </c>
      <c r="E84" s="826"/>
      <c r="F84" s="2500"/>
      <c r="G84" s="1284"/>
      <c r="H84" s="1288" t="str">
        <f t="shared" si="26"/>
        <v>——</v>
      </c>
      <c r="I84" s="820">
        <v>0.04</v>
      </c>
      <c r="J84" s="1285">
        <f t="shared" si="27"/>
        <v>0</v>
      </c>
      <c r="K84" s="1285">
        <f t="shared" si="28"/>
        <v>0</v>
      </c>
      <c r="L84" s="1285">
        <v>0</v>
      </c>
      <c r="M84" s="1285">
        <f t="shared" si="29"/>
        <v>0</v>
      </c>
      <c r="N84" s="1285">
        <f t="shared" si="29"/>
        <v>0</v>
      </c>
      <c r="Z84" s="2719"/>
      <c r="AA84" s="2787"/>
      <c r="AG84" s="1372"/>
      <c r="AK84" s="2787"/>
    </row>
    <row r="85" spans="1:37" ht="26.4">
      <c r="A85" s="2869" t="s">
        <v>2954</v>
      </c>
      <c r="B85" s="1725" t="str">
        <f>估价对象房地状况!G19</f>
        <v>估价对象所在区域公共配套设施齐备情况</v>
      </c>
      <c r="C85" s="2769"/>
      <c r="D85" s="1286">
        <f t="shared" si="25"/>
        <v>0</v>
      </c>
      <c r="E85" s="826"/>
      <c r="F85" s="2500"/>
      <c r="G85" s="1284"/>
      <c r="H85" s="1288" t="str">
        <f t="shared" si="26"/>
        <v>——</v>
      </c>
      <c r="I85" s="820">
        <v>0.06</v>
      </c>
      <c r="J85" s="1285">
        <f t="shared" si="27"/>
        <v>0</v>
      </c>
      <c r="K85" s="1285">
        <f t="shared" si="28"/>
        <v>0</v>
      </c>
      <c r="L85" s="1285">
        <v>0</v>
      </c>
      <c r="M85" s="1285">
        <f t="shared" si="29"/>
        <v>0</v>
      </c>
      <c r="N85" s="1285">
        <f t="shared" si="29"/>
        <v>0</v>
      </c>
      <c r="Z85" s="2719"/>
      <c r="AA85" s="2787"/>
      <c r="AG85" s="1372"/>
      <c r="AK85" s="2787"/>
    </row>
    <row r="86" spans="1:37" ht="26.4">
      <c r="A86" s="2869" t="s">
        <v>2955</v>
      </c>
      <c r="B86" s="1725" t="str">
        <f>估价对象房地状况!G20</f>
        <v>估价对象所在区域基础设施水平</v>
      </c>
      <c r="C86" s="2769"/>
      <c r="D86" s="1286">
        <f t="shared" si="25"/>
        <v>0</v>
      </c>
      <c r="E86" s="826"/>
      <c r="F86" s="2500"/>
      <c r="G86" s="1284"/>
      <c r="H86" s="1288" t="str">
        <f t="shared" si="26"/>
        <v>——</v>
      </c>
      <c r="I86" s="820">
        <v>0.15</v>
      </c>
      <c r="J86" s="1285">
        <f t="shared" si="27"/>
        <v>0</v>
      </c>
      <c r="K86" s="1285">
        <f t="shared" si="28"/>
        <v>0</v>
      </c>
      <c r="L86" s="1285">
        <v>0</v>
      </c>
      <c r="M86" s="1285">
        <f t="shared" si="29"/>
        <v>0</v>
      </c>
      <c r="N86" s="1285">
        <f t="shared" si="29"/>
        <v>0</v>
      </c>
      <c r="Z86" s="2719"/>
      <c r="AA86" s="2787"/>
      <c r="AG86" s="1372"/>
      <c r="AK86" s="2787"/>
    </row>
    <row r="87" spans="1:37" ht="36">
      <c r="A87" s="2869" t="s">
        <v>2952</v>
      </c>
      <c r="B87" s="2875" t="s">
        <v>2966</v>
      </c>
      <c r="C87" s="2769"/>
      <c r="D87" s="1286">
        <f t="shared" si="25"/>
        <v>0</v>
      </c>
      <c r="E87" s="826"/>
      <c r="F87" s="2500"/>
      <c r="G87" s="1284"/>
      <c r="H87" s="1288" t="str">
        <f t="shared" si="26"/>
        <v>——</v>
      </c>
      <c r="I87" s="820">
        <v>0.05</v>
      </c>
      <c r="J87" s="1285">
        <f t="shared" si="27"/>
        <v>0</v>
      </c>
      <c r="K87" s="1285">
        <f t="shared" si="28"/>
        <v>0</v>
      </c>
      <c r="L87" s="1285">
        <v>0</v>
      </c>
      <c r="M87" s="1285">
        <f t="shared" si="29"/>
        <v>0</v>
      </c>
      <c r="N87" s="1285">
        <f t="shared" si="29"/>
        <v>0</v>
      </c>
      <c r="Z87" s="2719"/>
      <c r="AA87" s="2787"/>
      <c r="AG87" s="1372"/>
      <c r="AK87" s="2787"/>
    </row>
    <row r="88" spans="1:37" ht="53.4" thickBot="1">
      <c r="A88" s="2877" t="s">
        <v>2967</v>
      </c>
      <c r="B88" s="2882" t="str">
        <f>估价对象房地状况!G18</f>
        <v>该园区内是否有污染型企业，绿化情况，卫生条件，整体环境状况判断</v>
      </c>
      <c r="C88" s="2769"/>
      <c r="D88" s="1286">
        <f t="shared" si="25"/>
        <v>0</v>
      </c>
      <c r="E88" s="827"/>
      <c r="F88" s="2500"/>
      <c r="G88" s="1284"/>
      <c r="H88" s="1288" t="str">
        <f t="shared" si="26"/>
        <v>——</v>
      </c>
      <c r="I88" s="824">
        <v>0.06</v>
      </c>
      <c r="J88" s="1285">
        <f t="shared" si="27"/>
        <v>0</v>
      </c>
      <c r="K88" s="1285">
        <f t="shared" si="28"/>
        <v>0</v>
      </c>
      <c r="L88" s="1285">
        <v>0</v>
      </c>
      <c r="M88" s="1285">
        <f t="shared" si="29"/>
        <v>0</v>
      </c>
      <c r="N88" s="1285">
        <f t="shared" si="29"/>
        <v>0</v>
      </c>
      <c r="Z88" s="2719"/>
      <c r="AA88" s="2787"/>
      <c r="AG88" s="1372"/>
      <c r="AK88" s="2787"/>
    </row>
    <row r="90" spans="1:37">
      <c r="A90" s="3256" t="s">
        <v>2968</v>
      </c>
      <c r="B90" s="3256"/>
      <c r="C90" s="3256"/>
      <c r="D90" s="3256"/>
      <c r="E90" s="3256"/>
      <c r="F90" s="3256"/>
      <c r="G90" s="3256"/>
      <c r="H90" s="3256"/>
      <c r="I90" s="3256"/>
      <c r="J90" s="3256"/>
      <c r="K90" s="2883"/>
      <c r="L90" s="2883"/>
      <c r="M90" s="2883"/>
      <c r="N90" s="2883"/>
    </row>
    <row r="91" spans="1:37">
      <c r="A91" s="3258" t="s">
        <v>2969</v>
      </c>
      <c r="B91" s="3258" t="s">
        <v>2970</v>
      </c>
      <c r="C91" s="2837" t="s">
        <v>2971</v>
      </c>
      <c r="D91" s="2838"/>
      <c r="E91" s="2838"/>
      <c r="F91" s="2838"/>
      <c r="G91" s="2838"/>
      <c r="H91" s="2838"/>
      <c r="I91" s="2838"/>
      <c r="J91" s="2884"/>
      <c r="K91" s="2885"/>
      <c r="L91" s="2885"/>
      <c r="M91" s="2885"/>
      <c r="N91" s="2885"/>
    </row>
    <row r="92" spans="1:37">
      <c r="A92" s="3258"/>
      <c r="B92" s="3258"/>
      <c r="C92" s="942" t="s">
        <v>2837</v>
      </c>
      <c r="D92" s="942" t="s">
        <v>2838</v>
      </c>
      <c r="E92" s="942" t="s">
        <v>2839</v>
      </c>
      <c r="F92" s="942" t="s">
        <v>2840</v>
      </c>
      <c r="G92" s="942" t="s">
        <v>2841</v>
      </c>
      <c r="H92" s="942" t="s">
        <v>2842</v>
      </c>
      <c r="I92" s="942" t="s">
        <v>2843</v>
      </c>
      <c r="J92" s="942" t="s">
        <v>2844</v>
      </c>
      <c r="K92" s="942" t="s">
        <v>2845</v>
      </c>
      <c r="L92" s="942" t="s">
        <v>2846</v>
      </c>
      <c r="M92" s="942" t="s">
        <v>2847</v>
      </c>
      <c r="N92" s="942" t="s">
        <v>2848</v>
      </c>
    </row>
    <row r="93" spans="1:37">
      <c r="A93" s="3259" t="s">
        <v>2972</v>
      </c>
      <c r="B93" s="2886">
        <v>1</v>
      </c>
      <c r="C93" s="2887">
        <v>1.9361999999999999</v>
      </c>
      <c r="D93" s="2887">
        <v>1.9361999999999999</v>
      </c>
      <c r="E93" s="2887">
        <v>1.8629</v>
      </c>
      <c r="F93" s="2887">
        <v>1.8629</v>
      </c>
      <c r="G93" s="2887">
        <v>1.8629</v>
      </c>
      <c r="H93" s="2887">
        <v>1.8629</v>
      </c>
      <c r="I93" s="2887">
        <v>1.8629</v>
      </c>
      <c r="J93" s="2887">
        <v>1.9419999999999999</v>
      </c>
      <c r="K93" s="2887">
        <v>1.9419999999999999</v>
      </c>
      <c r="L93" s="2887">
        <v>1.9419999999999999</v>
      </c>
      <c r="M93" s="2887">
        <v>1.9419999999999999</v>
      </c>
      <c r="N93" s="2887">
        <v>1.9419999999999999</v>
      </c>
    </row>
    <row r="94" spans="1:37">
      <c r="A94" s="3260"/>
      <c r="B94" s="2886">
        <v>2</v>
      </c>
      <c r="C94" s="2887">
        <v>1.4198</v>
      </c>
      <c r="D94" s="2887">
        <v>1.4198</v>
      </c>
      <c r="E94" s="2887">
        <v>1.3371999999999999</v>
      </c>
      <c r="F94" s="2887">
        <v>1.3371999999999999</v>
      </c>
      <c r="G94" s="2887">
        <v>1.3371999999999999</v>
      </c>
      <c r="H94" s="2887">
        <v>1.3371999999999999</v>
      </c>
      <c r="I94" s="2887">
        <v>1.3371999999999999</v>
      </c>
      <c r="J94" s="2887">
        <v>1.2799</v>
      </c>
      <c r="K94" s="2887">
        <v>1.2799</v>
      </c>
      <c r="L94" s="2887">
        <v>1.2799</v>
      </c>
      <c r="M94" s="2887">
        <v>1.2799</v>
      </c>
      <c r="N94" s="2887">
        <v>1.2799</v>
      </c>
    </row>
    <row r="95" spans="1:37">
      <c r="A95" s="3260"/>
      <c r="B95" s="2886">
        <v>3</v>
      </c>
      <c r="C95" s="2887">
        <v>1.1594</v>
      </c>
      <c r="D95" s="2887">
        <v>1.1594</v>
      </c>
      <c r="E95" s="2887">
        <v>1.0788</v>
      </c>
      <c r="F95" s="2887">
        <v>1.0788</v>
      </c>
      <c r="G95" s="2887">
        <v>1.0788</v>
      </c>
      <c r="H95" s="2887">
        <v>1.0788</v>
      </c>
      <c r="I95" s="2887">
        <v>1.0788</v>
      </c>
      <c r="J95" s="2887">
        <v>1.0072000000000001</v>
      </c>
      <c r="K95" s="2887">
        <v>1.0072000000000001</v>
      </c>
      <c r="L95" s="2887">
        <v>1.0072000000000001</v>
      </c>
      <c r="M95" s="2887">
        <v>1.0072000000000001</v>
      </c>
      <c r="N95" s="2887">
        <v>1.0072000000000001</v>
      </c>
    </row>
    <row r="96" spans="1:37">
      <c r="A96" s="3260"/>
      <c r="B96" s="2886">
        <v>4</v>
      </c>
      <c r="C96" s="2887">
        <v>0.96220000000000006</v>
      </c>
      <c r="D96" s="2887">
        <v>0.96220000000000006</v>
      </c>
      <c r="E96" s="2887">
        <v>0.86560000000000004</v>
      </c>
      <c r="F96" s="2887">
        <v>0.86560000000000004</v>
      </c>
      <c r="G96" s="2887">
        <v>0.86560000000000004</v>
      </c>
      <c r="H96" s="2887">
        <v>0.86560000000000004</v>
      </c>
      <c r="I96" s="2887">
        <v>0.86560000000000004</v>
      </c>
      <c r="J96" s="2887">
        <v>0.75249999999999995</v>
      </c>
      <c r="K96" s="2887">
        <v>0.75249999999999995</v>
      </c>
      <c r="L96" s="2887">
        <v>0.75249999999999995</v>
      </c>
      <c r="M96" s="2887">
        <v>0.75249999999999995</v>
      </c>
      <c r="N96" s="2887">
        <v>0.75249999999999995</v>
      </c>
    </row>
    <row r="97" spans="1:14">
      <c r="A97" s="3260"/>
      <c r="B97" s="2886">
        <v>5</v>
      </c>
      <c r="C97" s="2887">
        <v>0.8417</v>
      </c>
      <c r="D97" s="2887">
        <v>0.8417</v>
      </c>
      <c r="E97" s="2887">
        <v>0.73709999999999998</v>
      </c>
      <c r="F97" s="2887">
        <v>0.73709999999999998</v>
      </c>
      <c r="G97" s="2887">
        <v>0.73709999999999998</v>
      </c>
      <c r="H97" s="2887">
        <v>0.73709999999999998</v>
      </c>
      <c r="I97" s="2887">
        <v>0.73709999999999998</v>
      </c>
      <c r="J97" s="2887">
        <v>0.56589999999999996</v>
      </c>
      <c r="K97" s="2887">
        <v>0.56589999999999996</v>
      </c>
      <c r="L97" s="2887">
        <v>0.56589999999999996</v>
      </c>
      <c r="M97" s="2887">
        <v>0.56589999999999996</v>
      </c>
      <c r="N97" s="2887">
        <v>0.56589999999999996</v>
      </c>
    </row>
    <row r="98" spans="1:14">
      <c r="A98" s="3260"/>
      <c r="B98" s="2886">
        <v>6</v>
      </c>
      <c r="C98" s="2887">
        <v>0.76080000000000003</v>
      </c>
      <c r="D98" s="2887">
        <v>0.76080000000000003</v>
      </c>
      <c r="E98" s="2887">
        <v>0.6482</v>
      </c>
      <c r="F98" s="2887">
        <v>0.6482</v>
      </c>
      <c r="G98" s="2887">
        <v>0.6482</v>
      </c>
      <c r="H98" s="2887">
        <v>0.6482</v>
      </c>
      <c r="I98" s="2887">
        <v>0.6482</v>
      </c>
      <c r="J98" s="2887">
        <v>0.45250000000000001</v>
      </c>
      <c r="K98" s="2887">
        <v>0.45250000000000001</v>
      </c>
      <c r="L98" s="2887">
        <v>0.45250000000000001</v>
      </c>
      <c r="M98" s="2887">
        <v>0.45250000000000001</v>
      </c>
      <c r="N98" s="2887">
        <v>0.45250000000000001</v>
      </c>
    </row>
    <row r="99" spans="1:14">
      <c r="A99" s="3260"/>
      <c r="B99" s="2886" t="s">
        <v>2853</v>
      </c>
      <c r="C99" s="2888">
        <f>$I$3</f>
        <v>0</v>
      </c>
      <c r="D99" s="2888">
        <f t="shared" ref="D99:M99" si="30">$I$3</f>
        <v>0</v>
      </c>
      <c r="E99" s="2888">
        <f t="shared" si="30"/>
        <v>0</v>
      </c>
      <c r="F99" s="2888">
        <f t="shared" si="30"/>
        <v>0</v>
      </c>
      <c r="G99" s="2888">
        <f t="shared" si="30"/>
        <v>0</v>
      </c>
      <c r="H99" s="2888">
        <f t="shared" si="30"/>
        <v>0</v>
      </c>
      <c r="I99" s="2888">
        <f t="shared" si="30"/>
        <v>0</v>
      </c>
      <c r="J99" s="2888">
        <f t="shared" si="30"/>
        <v>0</v>
      </c>
      <c r="K99" s="2888">
        <f t="shared" si="30"/>
        <v>0</v>
      </c>
      <c r="L99" s="2888">
        <f t="shared" si="30"/>
        <v>0</v>
      </c>
      <c r="M99" s="2888">
        <f t="shared" si="30"/>
        <v>0</v>
      </c>
      <c r="N99" s="2888">
        <f>$I$3</f>
        <v>0</v>
      </c>
    </row>
    <row r="100" spans="1:14">
      <c r="A100" s="3261"/>
      <c r="B100" s="2886">
        <v>7</v>
      </c>
      <c r="C100" s="2889">
        <f>(-0.163*(C99^2)-0.59*C99+7617)*(10^(-4))</f>
        <v>0.76170000000000004</v>
      </c>
      <c r="D100" s="2889">
        <f>(-0.163*(D99^2)-0.59*D99+7617)*(10^(-4))</f>
        <v>0.76170000000000004</v>
      </c>
      <c r="E100" s="2889">
        <f>(-0.161*(E99^2)-7.509*E99+6533)*(10^(-4))</f>
        <v>0.65329999999999999</v>
      </c>
      <c r="F100" s="2889">
        <f>(-0.161*(F99^2)-7.509*F99+6533)*(10^(-4))</f>
        <v>0.65329999999999999</v>
      </c>
      <c r="G100" s="2889">
        <f>(-0.161*(G99^2)-7.509*G99+6533)*(10^(-4))</f>
        <v>0.65329999999999999</v>
      </c>
      <c r="H100" s="2889">
        <f>(-0.161*(H99^2)-7.509*H99+6533)*(10^(-4))</f>
        <v>0.65329999999999999</v>
      </c>
      <c r="I100" s="2889">
        <f>(-0.161*(I99^2)-7.509*I99+6533)*(10^(-4))</f>
        <v>0.65329999999999999</v>
      </c>
      <c r="J100" s="2889">
        <f>(-0.214*(J99^2)-21.991*J99+4665)*(10^(-4))</f>
        <v>0.46650000000000003</v>
      </c>
      <c r="K100" s="2889">
        <f>(-0.214*(K99^2)-21.991*K99+4665)*(10^(-4))</f>
        <v>0.46650000000000003</v>
      </c>
      <c r="L100" s="2889">
        <f>(-0.214*(L99^2)-21.991*L99+4665)*(10^(-4))</f>
        <v>0.46650000000000003</v>
      </c>
      <c r="M100" s="2889">
        <f>(-0.214*(M99^2)-21.991*M99+4665)*(10^(-4))</f>
        <v>0.46650000000000003</v>
      </c>
      <c r="N100" s="2889">
        <f>(-0.214*(N99^2)-21.991*N99+4665)*(10^(-4))</f>
        <v>0.46650000000000003</v>
      </c>
    </row>
    <row r="101" spans="1:14">
      <c r="A101" s="3259" t="s">
        <v>2973</v>
      </c>
      <c r="B101" s="2890" t="s">
        <v>2974</v>
      </c>
      <c r="C101" s="2891" t="e">
        <f>$G$3</f>
        <v>#DIV/0!</v>
      </c>
      <c r="D101" s="2891" t="e">
        <f t="shared" ref="D101:N101" si="31">$G$3</f>
        <v>#DIV/0!</v>
      </c>
      <c r="E101" s="2891" t="e">
        <f t="shared" si="31"/>
        <v>#DIV/0!</v>
      </c>
      <c r="F101" s="2891" t="e">
        <f t="shared" si="31"/>
        <v>#DIV/0!</v>
      </c>
      <c r="G101" s="2891" t="e">
        <f t="shared" si="31"/>
        <v>#DIV/0!</v>
      </c>
      <c r="H101" s="2891" t="e">
        <f t="shared" si="31"/>
        <v>#DIV/0!</v>
      </c>
      <c r="I101" s="2891" t="e">
        <f t="shared" si="31"/>
        <v>#DIV/0!</v>
      </c>
      <c r="J101" s="2891" t="e">
        <f t="shared" si="31"/>
        <v>#DIV/0!</v>
      </c>
      <c r="K101" s="2891" t="e">
        <f t="shared" si="31"/>
        <v>#DIV/0!</v>
      </c>
      <c r="L101" s="2891" t="e">
        <f t="shared" si="31"/>
        <v>#DIV/0!</v>
      </c>
      <c r="M101" s="2891" t="e">
        <f t="shared" si="31"/>
        <v>#DIV/0!</v>
      </c>
      <c r="N101" s="2891" t="e">
        <f t="shared" si="31"/>
        <v>#DIV/0!</v>
      </c>
    </row>
    <row r="102" spans="1:14">
      <c r="A102" s="3260"/>
      <c r="B102" s="2886">
        <v>1</v>
      </c>
      <c r="C102" s="2887" t="e">
        <f>1.9362/C101</f>
        <v>#DIV/0!</v>
      </c>
      <c r="D102" s="2887" t="e">
        <f>1.9362/D101</f>
        <v>#DIV/0!</v>
      </c>
      <c r="E102" s="2887" t="e">
        <f>1.8629/E101</f>
        <v>#DIV/0!</v>
      </c>
      <c r="F102" s="2887" t="e">
        <f>1.8629/F101</f>
        <v>#DIV/0!</v>
      </c>
      <c r="G102" s="2887" t="e">
        <f>1.8629/G101</f>
        <v>#DIV/0!</v>
      </c>
      <c r="H102" s="2887" t="e">
        <f>1.8629/H101</f>
        <v>#DIV/0!</v>
      </c>
      <c r="I102" s="2887" t="e">
        <f>1.8629/I101</f>
        <v>#DIV/0!</v>
      </c>
      <c r="J102" s="2887" t="e">
        <f>1.942/J101</f>
        <v>#DIV/0!</v>
      </c>
      <c r="K102" s="2887" t="e">
        <f>1.942/K101</f>
        <v>#DIV/0!</v>
      </c>
      <c r="L102" s="2887" t="e">
        <f>1.942/L101</f>
        <v>#DIV/0!</v>
      </c>
      <c r="M102" s="2887" t="e">
        <f>1.942/M101</f>
        <v>#DIV/0!</v>
      </c>
      <c r="N102" s="2887" t="e">
        <f>1.942/N101</f>
        <v>#DIV/0!</v>
      </c>
    </row>
    <row r="103" spans="1:14">
      <c r="A103" s="3260"/>
      <c r="B103" s="2886">
        <v>2</v>
      </c>
      <c r="C103" s="2887" t="e">
        <f>1.4198/C101</f>
        <v>#DIV/0!</v>
      </c>
      <c r="D103" s="2887" t="e">
        <f>1.4198/D101</f>
        <v>#DIV/0!</v>
      </c>
      <c r="E103" s="2887" t="e">
        <f>1.3372/E101</f>
        <v>#DIV/0!</v>
      </c>
      <c r="F103" s="2887" t="e">
        <f>1.3372/F101</f>
        <v>#DIV/0!</v>
      </c>
      <c r="G103" s="2887" t="e">
        <f>1.3372/G101</f>
        <v>#DIV/0!</v>
      </c>
      <c r="H103" s="2887" t="e">
        <f>1.3372/H101</f>
        <v>#DIV/0!</v>
      </c>
      <c r="I103" s="2887" t="e">
        <f>1.3372/I101</f>
        <v>#DIV/0!</v>
      </c>
      <c r="J103" s="2887" t="e">
        <f>1.2799/J101</f>
        <v>#DIV/0!</v>
      </c>
      <c r="K103" s="2887" t="e">
        <f>1.2799/K101</f>
        <v>#DIV/0!</v>
      </c>
      <c r="L103" s="2887" t="e">
        <f>1.2799/L101</f>
        <v>#DIV/0!</v>
      </c>
      <c r="M103" s="2887" t="e">
        <f>1.2799/M101</f>
        <v>#DIV/0!</v>
      </c>
      <c r="N103" s="2887" t="e">
        <f>1.2799/N101</f>
        <v>#DIV/0!</v>
      </c>
    </row>
    <row r="104" spans="1:14">
      <c r="A104" s="3260"/>
      <c r="B104" s="2886">
        <v>3</v>
      </c>
      <c r="C104" s="2887" t="e">
        <f>1.1594/C101</f>
        <v>#DIV/0!</v>
      </c>
      <c r="D104" s="2887" t="e">
        <f>1.1594/D101</f>
        <v>#DIV/0!</v>
      </c>
      <c r="E104" s="2887" t="e">
        <f>1.0788/E101</f>
        <v>#DIV/0!</v>
      </c>
      <c r="F104" s="2887" t="e">
        <f>1.0788/F101</f>
        <v>#DIV/0!</v>
      </c>
      <c r="G104" s="2887" t="e">
        <f>1.0788/G101</f>
        <v>#DIV/0!</v>
      </c>
      <c r="H104" s="2887" t="e">
        <f>1.0788/H101</f>
        <v>#DIV/0!</v>
      </c>
      <c r="I104" s="2887" t="e">
        <f>1.0788/I101</f>
        <v>#DIV/0!</v>
      </c>
      <c r="J104" s="2887" t="e">
        <f>1.0072/J101</f>
        <v>#DIV/0!</v>
      </c>
      <c r="K104" s="2887" t="e">
        <f>1.0072/K101</f>
        <v>#DIV/0!</v>
      </c>
      <c r="L104" s="2887" t="e">
        <f>1.0072/L101</f>
        <v>#DIV/0!</v>
      </c>
      <c r="M104" s="2887" t="e">
        <f>1.0072/M101</f>
        <v>#DIV/0!</v>
      </c>
      <c r="N104" s="2887" t="e">
        <f>1.0072/N101</f>
        <v>#DIV/0!</v>
      </c>
    </row>
    <row r="105" spans="1:14">
      <c r="A105" s="3260"/>
      <c r="B105" s="2886">
        <v>4</v>
      </c>
      <c r="C105" s="2887" t="e">
        <f>0.9622/C101</f>
        <v>#DIV/0!</v>
      </c>
      <c r="D105" s="2887" t="e">
        <f>0.9622/D101</f>
        <v>#DIV/0!</v>
      </c>
      <c r="E105" s="2887" t="e">
        <f>0.8656/E101</f>
        <v>#DIV/0!</v>
      </c>
      <c r="F105" s="2887" t="e">
        <f>0.8656/F101</f>
        <v>#DIV/0!</v>
      </c>
      <c r="G105" s="2887" t="e">
        <f>0.8656/G101</f>
        <v>#DIV/0!</v>
      </c>
      <c r="H105" s="2887" t="e">
        <f>0.8656/H101</f>
        <v>#DIV/0!</v>
      </c>
      <c r="I105" s="2887" t="e">
        <f>0.8656/I101</f>
        <v>#DIV/0!</v>
      </c>
      <c r="J105" s="2887" t="e">
        <f>0.7525/J101</f>
        <v>#DIV/0!</v>
      </c>
      <c r="K105" s="2887" t="e">
        <f>0.7525/K101</f>
        <v>#DIV/0!</v>
      </c>
      <c r="L105" s="2887" t="e">
        <f>0.7525/L101</f>
        <v>#DIV/0!</v>
      </c>
      <c r="M105" s="2887" t="e">
        <f>0.7525/M101</f>
        <v>#DIV/0!</v>
      </c>
      <c r="N105" s="2887" t="e">
        <f>0.7525/N101</f>
        <v>#DIV/0!</v>
      </c>
    </row>
    <row r="106" spans="1:14">
      <c r="A106" s="3260"/>
      <c r="B106" s="2886">
        <v>5</v>
      </c>
      <c r="C106" s="2887" t="e">
        <f>0.8417/C101</f>
        <v>#DIV/0!</v>
      </c>
      <c r="D106" s="2887" t="e">
        <f>0.8417/D101</f>
        <v>#DIV/0!</v>
      </c>
      <c r="E106" s="2887" t="e">
        <f>0.7371/E101</f>
        <v>#DIV/0!</v>
      </c>
      <c r="F106" s="2887" t="e">
        <f>0.7371/F101</f>
        <v>#DIV/0!</v>
      </c>
      <c r="G106" s="2887" t="e">
        <f>0.7371/G101</f>
        <v>#DIV/0!</v>
      </c>
      <c r="H106" s="2887" t="e">
        <f>0.7371/H101</f>
        <v>#DIV/0!</v>
      </c>
      <c r="I106" s="2887" t="e">
        <f>0.7371/I101</f>
        <v>#DIV/0!</v>
      </c>
      <c r="J106" s="2887" t="e">
        <f>0.5659/J101</f>
        <v>#DIV/0!</v>
      </c>
      <c r="K106" s="2887" t="e">
        <f>0.5659/K101</f>
        <v>#DIV/0!</v>
      </c>
      <c r="L106" s="2887" t="e">
        <f>0.5659/L101</f>
        <v>#DIV/0!</v>
      </c>
      <c r="M106" s="2887" t="e">
        <f>0.5659/M101</f>
        <v>#DIV/0!</v>
      </c>
      <c r="N106" s="2887" t="e">
        <f>0.5659/N101</f>
        <v>#DIV/0!</v>
      </c>
    </row>
    <row r="107" spans="1:14">
      <c r="A107" s="3260"/>
      <c r="B107" s="2886">
        <v>6</v>
      </c>
      <c r="C107" s="2887" t="e">
        <f>0.7608/C101</f>
        <v>#DIV/0!</v>
      </c>
      <c r="D107" s="2887" t="e">
        <f>0.7608/D101</f>
        <v>#DIV/0!</v>
      </c>
      <c r="E107" s="2887" t="e">
        <f>0.6482/E101</f>
        <v>#DIV/0!</v>
      </c>
      <c r="F107" s="2887" t="e">
        <f>0.6482/F101</f>
        <v>#DIV/0!</v>
      </c>
      <c r="G107" s="2887" t="e">
        <f>0.6482/G101</f>
        <v>#DIV/0!</v>
      </c>
      <c r="H107" s="2887" t="e">
        <f>0.6482/H101</f>
        <v>#DIV/0!</v>
      </c>
      <c r="I107" s="2887" t="e">
        <f>0.6482/I101</f>
        <v>#DIV/0!</v>
      </c>
      <c r="J107" s="2887" t="e">
        <f>0.4525/J101</f>
        <v>#DIV/0!</v>
      </c>
      <c r="K107" s="2887" t="e">
        <f>0.4525/K101</f>
        <v>#DIV/0!</v>
      </c>
      <c r="L107" s="2887" t="e">
        <f>0.4525/L101</f>
        <v>#DIV/0!</v>
      </c>
      <c r="M107" s="2887" t="e">
        <f>0.4525/M101</f>
        <v>#DIV/0!</v>
      </c>
      <c r="N107" s="2887" t="e">
        <f>0.4525/N101</f>
        <v>#DIV/0!</v>
      </c>
    </row>
    <row r="108" spans="1:14">
      <c r="A108" s="3260"/>
      <c r="B108" s="3086" t="s">
        <v>2975</v>
      </c>
      <c r="C108" s="2888">
        <f>C99</f>
        <v>0</v>
      </c>
      <c r="D108" s="2888">
        <f t="shared" ref="D108:N108" si="32">D99</f>
        <v>0</v>
      </c>
      <c r="E108" s="2888">
        <f t="shared" si="32"/>
        <v>0</v>
      </c>
      <c r="F108" s="2888">
        <f t="shared" si="32"/>
        <v>0</v>
      </c>
      <c r="G108" s="2888">
        <f t="shared" si="32"/>
        <v>0</v>
      </c>
      <c r="H108" s="2888">
        <f t="shared" si="32"/>
        <v>0</v>
      </c>
      <c r="I108" s="2888">
        <f t="shared" si="32"/>
        <v>0</v>
      </c>
      <c r="J108" s="2888">
        <f t="shared" si="32"/>
        <v>0</v>
      </c>
      <c r="K108" s="2888">
        <f t="shared" si="32"/>
        <v>0</v>
      </c>
      <c r="L108" s="2888">
        <f t="shared" si="32"/>
        <v>0</v>
      </c>
      <c r="M108" s="2888">
        <f t="shared" si="32"/>
        <v>0</v>
      </c>
      <c r="N108" s="2888">
        <f t="shared" si="32"/>
        <v>0</v>
      </c>
    </row>
    <row r="109" spans="1:14">
      <c r="A109" s="3261"/>
      <c r="B109" s="3087"/>
      <c r="C109" s="2889" t="e">
        <f>(-0.163*(C108^2)-0.59*C108+7617)*(10^(-4))/C101</f>
        <v>#DIV/0!</v>
      </c>
      <c r="D109" s="2889" t="e">
        <f>(-0.163*(D108^2)-0.59*D108+7617)*(10^(-4))/D101</f>
        <v>#DIV/0!</v>
      </c>
      <c r="E109" s="2889" t="e">
        <f>(-0.161*(E108^2)-7.509*E108+6533)*(10^(-4))/E101</f>
        <v>#DIV/0!</v>
      </c>
      <c r="F109" s="2889" t="e">
        <f>(-0.161*(F108^2)-7.509*F108+6533)*(10^(-4))/F101</f>
        <v>#DIV/0!</v>
      </c>
      <c r="G109" s="2889" t="e">
        <f>(-0.161*(G108^2)-7.509*G108+6533)*(10^(-4))/G101</f>
        <v>#DIV/0!</v>
      </c>
      <c r="H109" s="2889" t="e">
        <f>(-0.161*(H108^2)-7.509*H108+6533)*(10^(-4))/H101</f>
        <v>#DIV/0!</v>
      </c>
      <c r="I109" s="2889" t="e">
        <f>(-0.161*(I108^2)-7.509*I108+6533)*(10^(-4))/I101</f>
        <v>#DIV/0!</v>
      </c>
      <c r="J109" s="2889" t="e">
        <f>(-0.214*(J108^2)-21.991*J108+4665)*(10^(-4))/J101</f>
        <v>#DIV/0!</v>
      </c>
      <c r="K109" s="2889" t="e">
        <f>(-0.214*(K108^2)-21.991*K108+4665)*(10^(-4))/K101</f>
        <v>#DIV/0!</v>
      </c>
      <c r="L109" s="2889" t="e">
        <f>(-0.214*(L108^2)-21.991*L108+4665)*(10^(-4))/L101</f>
        <v>#DIV/0!</v>
      </c>
      <c r="M109" s="2889" t="e">
        <f>(-0.214*(M108^2)-21.991*M108+4665)*(10^(-4))/M101</f>
        <v>#DIV/0!</v>
      </c>
      <c r="N109" s="2889" t="e">
        <f>(-0.214*(N108^2)-21.991*N108+4665)*(10^(-4))/N101</f>
        <v>#DIV/0!</v>
      </c>
    </row>
    <row r="110" spans="1:14">
      <c r="A110" s="3257" t="s">
        <v>2976</v>
      </c>
      <c r="B110" s="3257"/>
      <c r="C110" s="3257"/>
      <c r="D110" s="3257"/>
      <c r="E110" s="3257"/>
      <c r="F110" s="3257"/>
      <c r="G110" s="3257"/>
      <c r="H110" s="3257"/>
      <c r="I110" s="3257"/>
      <c r="J110" s="3257"/>
      <c r="K110" s="2892"/>
      <c r="L110" s="2892"/>
      <c r="M110" s="2892"/>
      <c r="N110" s="2892"/>
    </row>
    <row r="112" spans="1:14" ht="13.8" thickBot="1"/>
    <row r="113" spans="1:13" ht="25.8" thickBot="1">
      <c r="A113" s="903" t="s">
        <v>2977</v>
      </c>
      <c r="B113" s="1287" t="e">
        <f>G3</f>
        <v>#DIV/0!</v>
      </c>
      <c r="C113" s="904" t="s">
        <v>2978</v>
      </c>
      <c r="D113" s="905" t="e">
        <f>SUMPRODUCT((A115:A118=F113)*(B114:M114=H113)*B115:M118)</f>
        <v>#DIV/0!</v>
      </c>
      <c r="E113" s="2723" t="s">
        <v>2810</v>
      </c>
      <c r="F113" s="2894">
        <f>E2</f>
        <v>0</v>
      </c>
      <c r="G113" s="2723" t="s">
        <v>2811</v>
      </c>
      <c r="H113" s="2894">
        <f>G2</f>
        <v>0</v>
      </c>
      <c r="I113" s="2723"/>
      <c r="J113" s="2895"/>
      <c r="K113" s="2895"/>
      <c r="L113" s="2895"/>
      <c r="M113" s="2895"/>
    </row>
    <row r="114" spans="1:13">
      <c r="A114" s="908"/>
      <c r="B114" s="2896" t="s">
        <v>2979</v>
      </c>
      <c r="C114" s="2896" t="s">
        <v>2980</v>
      </c>
      <c r="D114" s="2896" t="s">
        <v>2981</v>
      </c>
      <c r="E114" s="2897" t="s">
        <v>2982</v>
      </c>
      <c r="F114" s="2897" t="s">
        <v>2983</v>
      </c>
      <c r="G114" s="2897" t="s">
        <v>2984</v>
      </c>
      <c r="H114" s="2898" t="s">
        <v>2985</v>
      </c>
      <c r="I114" s="2898" t="s">
        <v>2986</v>
      </c>
      <c r="J114" s="2899" t="s">
        <v>2987</v>
      </c>
      <c r="K114" s="2899" t="s">
        <v>2988</v>
      </c>
      <c r="L114" s="2899" t="s">
        <v>2989</v>
      </c>
      <c r="M114" s="2900" t="s">
        <v>2990</v>
      </c>
    </row>
    <row r="115" spans="1:13">
      <c r="A115" s="909" t="s">
        <v>2875</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2876</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2877</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8" thickBot="1">
      <c r="A118" s="714" t="s">
        <v>2878</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1875" defaultRowHeight="19.5" customHeight="1"/>
  <cols>
    <col min="1" max="1" width="13.6640625" style="816" customWidth="1"/>
    <col min="2" max="9" width="8.21875" style="878"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5" spans="1:13" ht="19.5" customHeight="1">
      <c r="A15" s="818" t="s">
        <v>3048</v>
      </c>
      <c r="B15" s="875">
        <f>SUM(B6:B13)</f>
        <v>375</v>
      </c>
      <c r="C15" s="875">
        <f t="shared" ref="C15:H15" si="0">SUM(C6:C13)</f>
        <v>375</v>
      </c>
      <c r="D15" s="875">
        <f t="shared" si="0"/>
        <v>300</v>
      </c>
      <c r="E15" s="875">
        <f t="shared" si="0"/>
        <v>300</v>
      </c>
      <c r="F15" s="875">
        <f t="shared" si="0"/>
        <v>300</v>
      </c>
      <c r="G15" s="875">
        <f t="shared" si="0"/>
        <v>300</v>
      </c>
      <c r="H15" s="875">
        <f t="shared" si="0"/>
        <v>300</v>
      </c>
      <c r="I15" s="875">
        <f>SUM(I6:I10,I13)</f>
        <v>155</v>
      </c>
      <c r="J15" s="875">
        <f t="shared" ref="J15:M15" si="1">SUM(J6:J10,J13)</f>
        <v>155</v>
      </c>
      <c r="K15" s="875">
        <f t="shared" si="1"/>
        <v>155</v>
      </c>
      <c r="L15" s="875">
        <f t="shared" si="1"/>
        <v>155</v>
      </c>
      <c r="M15" s="875">
        <f t="shared" si="1"/>
        <v>155</v>
      </c>
    </row>
    <row r="16" spans="1:13" ht="19.5" customHeight="1">
      <c r="A16" s="876" t="s">
        <v>556</v>
      </c>
      <c r="B16" s="876"/>
      <c r="C16" s="877"/>
      <c r="D16" s="877"/>
      <c r="E16" s="876"/>
      <c r="F16" s="877"/>
      <c r="G16" s="877"/>
    </row>
    <row r="17" spans="1:9" ht="19.5" customHeight="1">
      <c r="A17" s="818" t="s">
        <v>557</v>
      </c>
      <c r="B17" s="879" t="s">
        <v>558</v>
      </c>
      <c r="C17" s="933" t="s">
        <v>758</v>
      </c>
      <c r="D17" s="880"/>
      <c r="E17" s="818" t="s">
        <v>559</v>
      </c>
      <c r="F17" s="881"/>
      <c r="G17" s="881"/>
    </row>
    <row r="18" spans="1:9" s="887" customFormat="1" ht="19.5" customHeight="1">
      <c r="A18" s="3277" t="s">
        <v>183</v>
      </c>
      <c r="B18" s="882" t="s">
        <v>560</v>
      </c>
      <c r="C18" s="883" t="s">
        <v>561</v>
      </c>
      <c r="D18" s="884"/>
      <c r="E18" s="882">
        <v>1</v>
      </c>
      <c r="F18" s="885" t="s">
        <v>562</v>
      </c>
      <c r="G18" s="886"/>
      <c r="H18" s="878"/>
      <c r="I18" s="878"/>
    </row>
    <row r="19" spans="1:9" s="887" customFormat="1" ht="19.5" customHeight="1">
      <c r="A19" s="3277"/>
      <c r="B19" s="3277" t="s">
        <v>563</v>
      </c>
      <c r="C19" s="883" t="s">
        <v>564</v>
      </c>
      <c r="D19" s="884"/>
      <c r="E19" s="882">
        <v>0.9</v>
      </c>
      <c r="F19" s="885" t="s">
        <v>565</v>
      </c>
      <c r="G19" s="886"/>
      <c r="H19" s="878"/>
      <c r="I19" s="878"/>
    </row>
    <row r="20" spans="1:9" s="887" customFormat="1" ht="19.5" customHeight="1">
      <c r="A20" s="3277"/>
      <c r="B20" s="3277"/>
      <c r="C20" s="883" t="s">
        <v>566</v>
      </c>
      <c r="D20" s="884"/>
      <c r="E20" s="882">
        <v>1.1000000000000001</v>
      </c>
      <c r="F20" s="885" t="s">
        <v>567</v>
      </c>
      <c r="G20" s="886"/>
      <c r="H20" s="878"/>
      <c r="I20" s="878"/>
    </row>
    <row r="21" spans="1:9" s="887" customFormat="1" ht="19.5" customHeight="1">
      <c r="A21" s="3277"/>
      <c r="B21" s="3277"/>
      <c r="C21" s="883" t="s">
        <v>568</v>
      </c>
      <c r="D21" s="884"/>
      <c r="E21" s="882">
        <v>0.8</v>
      </c>
      <c r="F21" s="885" t="s">
        <v>569</v>
      </c>
      <c r="G21" s="886"/>
      <c r="H21" s="878"/>
      <c r="I21" s="878"/>
    </row>
    <row r="22" spans="1:9" s="887" customFormat="1" ht="19.5" customHeight="1">
      <c r="A22" s="3277"/>
      <c r="B22" s="3277"/>
      <c r="C22" s="883" t="s">
        <v>570</v>
      </c>
      <c r="D22" s="884"/>
      <c r="E22" s="882">
        <v>0.5</v>
      </c>
      <c r="F22" s="885"/>
      <c r="G22" s="886"/>
      <c r="H22" s="878"/>
      <c r="I22" s="878"/>
    </row>
    <row r="23" spans="1:9" s="887" customFormat="1" ht="19.5" customHeight="1">
      <c r="A23" s="3277" t="s">
        <v>184</v>
      </c>
      <c r="B23" s="882" t="s">
        <v>560</v>
      </c>
      <c r="C23" s="883" t="s">
        <v>571</v>
      </c>
      <c r="D23" s="884"/>
      <c r="E23" s="882">
        <v>1</v>
      </c>
      <c r="F23" s="885" t="s">
        <v>572</v>
      </c>
      <c r="G23" s="886"/>
      <c r="H23" s="878"/>
      <c r="I23" s="878"/>
    </row>
    <row r="24" spans="1:9" s="887" customFormat="1" ht="19.5" customHeight="1">
      <c r="A24" s="3277"/>
      <c r="B24" s="3277" t="s">
        <v>563</v>
      </c>
      <c r="C24" s="883" t="s">
        <v>573</v>
      </c>
      <c r="D24" s="884"/>
      <c r="E24" s="882">
        <v>0.5</v>
      </c>
      <c r="F24" s="885"/>
      <c r="G24" s="886"/>
      <c r="H24" s="878"/>
      <c r="I24" s="878"/>
    </row>
    <row r="25" spans="1:9" s="887" customFormat="1" ht="19.5" customHeight="1">
      <c r="A25" s="3277"/>
      <c r="B25" s="3277"/>
      <c r="C25" s="883" t="s">
        <v>574</v>
      </c>
      <c r="D25" s="884"/>
      <c r="E25" s="882">
        <v>1.1000000000000001</v>
      </c>
      <c r="F25" s="885"/>
      <c r="G25" s="886"/>
      <c r="H25" s="878"/>
      <c r="I25" s="878"/>
    </row>
    <row r="26" spans="1:9" s="887" customFormat="1" ht="19.5" customHeight="1">
      <c r="A26" s="3277"/>
      <c r="B26" s="3277"/>
      <c r="C26" s="883" t="s">
        <v>575</v>
      </c>
      <c r="D26" s="884"/>
      <c r="E26" s="882">
        <v>1.1000000000000001</v>
      </c>
      <c r="F26" s="885"/>
      <c r="G26" s="886"/>
      <c r="H26" s="878"/>
      <c r="I26" s="878"/>
    </row>
    <row r="27" spans="1:9" s="887" customFormat="1" ht="19.5" customHeight="1">
      <c r="A27" s="3277"/>
      <c r="B27" s="3277"/>
      <c r="C27" s="883" t="s">
        <v>576</v>
      </c>
      <c r="D27" s="884"/>
      <c r="E27" s="882">
        <v>0.9</v>
      </c>
      <c r="F27" s="885" t="s">
        <v>577</v>
      </c>
      <c r="G27" s="886"/>
      <c r="H27" s="878"/>
      <c r="I27" s="878"/>
    </row>
    <row r="28" spans="1:9" s="887" customFormat="1" ht="19.5" customHeight="1">
      <c r="A28" s="3277"/>
      <c r="B28" s="3277"/>
      <c r="C28" s="883" t="s">
        <v>578</v>
      </c>
      <c r="D28" s="884"/>
      <c r="E28" s="882">
        <v>0.9</v>
      </c>
      <c r="F28" s="885" t="s">
        <v>579</v>
      </c>
      <c r="G28" s="886"/>
      <c r="H28" s="878"/>
      <c r="I28" s="878"/>
    </row>
    <row r="29" spans="1:9" s="887" customFormat="1" ht="19.5" customHeight="1">
      <c r="A29" s="3277"/>
      <c r="B29" s="3277"/>
      <c r="C29" s="883" t="s">
        <v>580</v>
      </c>
      <c r="D29" s="884"/>
      <c r="E29" s="882">
        <v>0.9</v>
      </c>
      <c r="F29" s="885" t="s">
        <v>581</v>
      </c>
      <c r="G29" s="886"/>
      <c r="H29" s="878"/>
      <c r="I29" s="878"/>
    </row>
    <row r="30" spans="1:9" s="887" customFormat="1" ht="19.5" customHeight="1">
      <c r="A30" s="3277"/>
      <c r="B30" s="3277"/>
      <c r="C30" s="883" t="s">
        <v>582</v>
      </c>
      <c r="D30" s="884"/>
      <c r="E30" s="882">
        <v>0.9</v>
      </c>
      <c r="F30" s="885" t="s">
        <v>583</v>
      </c>
      <c r="G30" s="886"/>
      <c r="H30" s="878"/>
      <c r="I30" s="878"/>
    </row>
    <row r="31" spans="1:9" s="887" customFormat="1" ht="19.5" customHeight="1">
      <c r="A31" s="3277"/>
      <c r="B31" s="3277"/>
      <c r="C31" s="883" t="s">
        <v>584</v>
      </c>
      <c r="D31" s="884"/>
      <c r="E31" s="882">
        <v>0.8</v>
      </c>
      <c r="F31" s="885" t="s">
        <v>585</v>
      </c>
      <c r="G31" s="886"/>
      <c r="H31" s="878"/>
      <c r="I31" s="878"/>
    </row>
    <row r="32" spans="1:9" s="887" customFormat="1" ht="19.5" customHeight="1">
      <c r="A32" s="3277"/>
      <c r="B32" s="3277"/>
      <c r="C32" s="883" t="s">
        <v>586</v>
      </c>
      <c r="D32" s="884"/>
      <c r="E32" s="882">
        <v>0.8</v>
      </c>
      <c r="F32" s="885" t="s">
        <v>587</v>
      </c>
      <c r="G32" s="886"/>
      <c r="H32" s="878"/>
      <c r="I32" s="878"/>
    </row>
    <row r="33" spans="1:9" s="887" customFormat="1" ht="19.5" customHeight="1">
      <c r="A33" s="3277" t="s">
        <v>185</v>
      </c>
      <c r="B33" s="882" t="s">
        <v>560</v>
      </c>
      <c r="C33" s="883" t="s">
        <v>588</v>
      </c>
      <c r="D33" s="884"/>
      <c r="E33" s="882">
        <v>1</v>
      </c>
      <c r="F33" s="885" t="s">
        <v>589</v>
      </c>
      <c r="G33" s="886"/>
      <c r="H33" s="878"/>
      <c r="I33" s="878"/>
    </row>
    <row r="34" spans="1:9" s="887" customFormat="1" ht="19.5" customHeight="1">
      <c r="A34" s="3277"/>
      <c r="B34" s="882" t="s">
        <v>563</v>
      </c>
      <c r="C34" s="883" t="s">
        <v>590</v>
      </c>
      <c r="D34" s="884"/>
      <c r="E34" s="882">
        <v>1.5</v>
      </c>
      <c r="F34" s="885" t="s">
        <v>591</v>
      </c>
      <c r="G34" s="886"/>
      <c r="H34" s="878"/>
      <c r="I34" s="878"/>
    </row>
    <row r="35" spans="1:9" s="887" customFormat="1" ht="19.5" customHeight="1">
      <c r="A35" s="3277" t="s">
        <v>186</v>
      </c>
      <c r="B35" s="882" t="s">
        <v>560</v>
      </c>
      <c r="C35" s="883" t="s">
        <v>592</v>
      </c>
      <c r="D35" s="884"/>
      <c r="E35" s="882">
        <v>1</v>
      </c>
      <c r="F35" s="885" t="s">
        <v>593</v>
      </c>
      <c r="G35" s="886"/>
      <c r="H35" s="878"/>
      <c r="I35" s="878"/>
    </row>
    <row r="36" spans="1:9" s="887" customFormat="1" ht="19.5" customHeight="1">
      <c r="A36" s="3277"/>
      <c r="B36" s="3277" t="s">
        <v>563</v>
      </c>
      <c r="C36" s="883" t="s">
        <v>594</v>
      </c>
      <c r="D36" s="884"/>
      <c r="E36" s="882">
        <v>1</v>
      </c>
      <c r="F36" s="885" t="s">
        <v>595</v>
      </c>
      <c r="G36" s="886"/>
      <c r="H36" s="878"/>
      <c r="I36" s="878"/>
    </row>
    <row r="37" spans="1:9" s="887" customFormat="1" ht="19.5" customHeight="1">
      <c r="A37" s="3277"/>
      <c r="B37" s="3277"/>
      <c r="C37" s="883" t="s">
        <v>596</v>
      </c>
      <c r="D37" s="884"/>
      <c r="E37" s="882">
        <v>1.5</v>
      </c>
      <c r="F37" s="885" t="s">
        <v>597</v>
      </c>
      <c r="G37" s="886"/>
      <c r="H37" s="878"/>
      <c r="I37" s="878"/>
    </row>
    <row r="38" spans="1:9" s="887" customFormat="1" ht="19.5" customHeight="1">
      <c r="A38" s="3277"/>
      <c r="B38" s="3277"/>
      <c r="C38" s="883" t="s">
        <v>598</v>
      </c>
      <c r="D38" s="884"/>
      <c r="E38" s="882">
        <v>1</v>
      </c>
      <c r="F38" s="885" t="s">
        <v>599</v>
      </c>
      <c r="G38" s="886"/>
      <c r="H38" s="878"/>
      <c r="I38" s="878"/>
    </row>
    <row r="39" spans="1:9" s="887" customFormat="1" ht="19.5" customHeight="1">
      <c r="A39" s="3277"/>
      <c r="B39" s="3277"/>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4.4">
      <c r="A60" s="940"/>
      <c r="B60" s="940"/>
      <c r="C60" s="940" t="s">
        <v>745</v>
      </c>
      <c r="D60" s="940"/>
      <c r="E60" s="895" t="s">
        <v>1</v>
      </c>
      <c r="F60" s="940" t="s">
        <v>1</v>
      </c>
    </row>
    <row r="61" spans="1:8" s="878" customFormat="1" ht="36">
      <c r="A61" s="882">
        <v>1</v>
      </c>
      <c r="B61" s="3277" t="s">
        <v>614</v>
      </c>
      <c r="C61" s="818" t="s">
        <v>615</v>
      </c>
      <c r="D61" s="818" t="s">
        <v>616</v>
      </c>
      <c r="E61" s="895">
        <v>0.5</v>
      </c>
      <c r="F61" s="882">
        <v>80</v>
      </c>
    </row>
    <row r="62" spans="1:8" s="878" customFormat="1" ht="36">
      <c r="A62" s="882">
        <v>2</v>
      </c>
      <c r="B62" s="3277"/>
      <c r="C62" s="818" t="s">
        <v>617</v>
      </c>
      <c r="D62" s="818" t="s">
        <v>618</v>
      </c>
      <c r="E62" s="895">
        <v>0.5</v>
      </c>
      <c r="F62" s="882">
        <v>80</v>
      </c>
    </row>
    <row r="63" spans="1:8" s="878" customFormat="1" ht="48">
      <c r="A63" s="882">
        <v>3</v>
      </c>
      <c r="B63" s="3277"/>
      <c r="C63" s="818" t="s">
        <v>619</v>
      </c>
      <c r="D63" s="818" t="s">
        <v>620</v>
      </c>
      <c r="E63" s="895">
        <v>0.5</v>
      </c>
      <c r="F63" s="882">
        <v>80</v>
      </c>
    </row>
    <row r="64" spans="1:8" s="878" customFormat="1" ht="48">
      <c r="A64" s="882">
        <v>4</v>
      </c>
      <c r="B64" s="3277"/>
      <c r="C64" s="818" t="s">
        <v>621</v>
      </c>
      <c r="D64" s="818" t="s">
        <v>622</v>
      </c>
      <c r="E64" s="895">
        <v>0.4</v>
      </c>
      <c r="F64" s="882">
        <v>60</v>
      </c>
    </row>
    <row r="65" spans="1:6" s="878" customFormat="1" ht="48">
      <c r="A65" s="882">
        <v>5</v>
      </c>
      <c r="B65" s="3277"/>
      <c r="C65" s="818" t="s">
        <v>623</v>
      </c>
      <c r="D65" s="818" t="s">
        <v>624</v>
      </c>
      <c r="E65" s="895">
        <v>0.2</v>
      </c>
      <c r="F65" s="882">
        <v>30</v>
      </c>
    </row>
    <row r="66" spans="1:6" s="878" customFormat="1" ht="48">
      <c r="A66" s="882">
        <v>6</v>
      </c>
      <c r="B66" s="3277"/>
      <c r="C66" s="818" t="s">
        <v>625</v>
      </c>
      <c r="D66" s="818" t="s">
        <v>626</v>
      </c>
      <c r="E66" s="895">
        <v>0.3</v>
      </c>
      <c r="F66" s="882">
        <v>50</v>
      </c>
    </row>
    <row r="67" spans="1:6" s="878" customFormat="1" ht="48">
      <c r="A67" s="882">
        <v>7</v>
      </c>
      <c r="B67" s="3277"/>
      <c r="C67" s="818" t="s">
        <v>627</v>
      </c>
      <c r="D67" s="818" t="s">
        <v>628</v>
      </c>
      <c r="E67" s="895">
        <v>0.2</v>
      </c>
      <c r="F67" s="882">
        <v>30</v>
      </c>
    </row>
    <row r="68" spans="1:6" s="878" customFormat="1" ht="48">
      <c r="A68" s="882">
        <v>8</v>
      </c>
      <c r="B68" s="3277"/>
      <c r="C68" s="818" t="s">
        <v>629</v>
      </c>
      <c r="D68" s="818" t="s">
        <v>630</v>
      </c>
      <c r="E68" s="895">
        <v>0.2</v>
      </c>
      <c r="F68" s="882">
        <v>30</v>
      </c>
    </row>
    <row r="69" spans="1:6" s="878" customFormat="1" ht="48">
      <c r="A69" s="882">
        <v>9</v>
      </c>
      <c r="B69" s="3277"/>
      <c r="C69" s="818" t="s">
        <v>631</v>
      </c>
      <c r="D69" s="818" t="s">
        <v>632</v>
      </c>
      <c r="E69" s="895">
        <v>0.2</v>
      </c>
      <c r="F69" s="882">
        <v>30</v>
      </c>
    </row>
    <row r="70" spans="1:6" s="878" customFormat="1" ht="60">
      <c r="A70" s="882">
        <v>10</v>
      </c>
      <c r="B70" s="3277"/>
      <c r="C70" s="818" t="s">
        <v>633</v>
      </c>
      <c r="D70" s="818" t="s">
        <v>634</v>
      </c>
      <c r="E70" s="895">
        <v>0.2</v>
      </c>
      <c r="F70" s="882">
        <v>30</v>
      </c>
    </row>
    <row r="71" spans="1:6" s="878" customFormat="1" ht="60">
      <c r="A71" s="882">
        <v>11</v>
      </c>
      <c r="B71" s="3277"/>
      <c r="C71" s="818" t="s">
        <v>635</v>
      </c>
      <c r="D71" s="818" t="s">
        <v>636</v>
      </c>
      <c r="E71" s="895">
        <v>0.2</v>
      </c>
      <c r="F71" s="882">
        <v>30</v>
      </c>
    </row>
    <row r="72" spans="1:6" s="878" customFormat="1" ht="36">
      <c r="A72" s="882">
        <v>12</v>
      </c>
      <c r="B72" s="3277"/>
      <c r="C72" s="818" t="s">
        <v>637</v>
      </c>
      <c r="D72" s="818" t="s">
        <v>638</v>
      </c>
      <c r="E72" s="895">
        <v>0.5</v>
      </c>
      <c r="F72" s="882">
        <v>80</v>
      </c>
    </row>
    <row r="73" spans="1:6" s="878" customFormat="1" ht="36">
      <c r="A73" s="882">
        <v>13</v>
      </c>
      <c r="B73" s="3277"/>
      <c r="C73" s="818" t="s">
        <v>639</v>
      </c>
      <c r="D73" s="818" t="s">
        <v>640</v>
      </c>
      <c r="E73" s="895">
        <v>0.4</v>
      </c>
      <c r="F73" s="882">
        <v>60</v>
      </c>
    </row>
    <row r="74" spans="1:6" s="878" customFormat="1" ht="36">
      <c r="A74" s="882">
        <v>14</v>
      </c>
      <c r="B74" s="3277"/>
      <c r="C74" s="818" t="s">
        <v>641</v>
      </c>
      <c r="D74" s="818" t="s">
        <v>642</v>
      </c>
      <c r="E74" s="895">
        <v>0.2</v>
      </c>
      <c r="F74" s="882">
        <v>30</v>
      </c>
    </row>
    <row r="75" spans="1:6" s="878" customFormat="1" ht="36">
      <c r="A75" s="882">
        <v>15</v>
      </c>
      <c r="B75" s="3277"/>
      <c r="C75" s="818" t="s">
        <v>643</v>
      </c>
      <c r="D75" s="818" t="s">
        <v>644</v>
      </c>
      <c r="E75" s="895">
        <v>0.2</v>
      </c>
      <c r="F75" s="882">
        <v>30</v>
      </c>
    </row>
    <row r="76" spans="1:6" s="878" customFormat="1" ht="36">
      <c r="A76" s="882">
        <v>16</v>
      </c>
      <c r="B76" s="3277" t="s">
        <v>645</v>
      </c>
      <c r="C76" s="818" t="s">
        <v>646</v>
      </c>
      <c r="D76" s="818" t="s">
        <v>647</v>
      </c>
      <c r="E76" s="895">
        <v>0.5</v>
      </c>
      <c r="F76" s="882">
        <v>80</v>
      </c>
    </row>
    <row r="77" spans="1:6" s="878" customFormat="1" ht="36">
      <c r="A77" s="882">
        <v>17</v>
      </c>
      <c r="B77" s="3277"/>
      <c r="C77" s="818" t="s">
        <v>648</v>
      </c>
      <c r="D77" s="818" t="s">
        <v>649</v>
      </c>
      <c r="E77" s="895">
        <v>0.5</v>
      </c>
      <c r="F77" s="882">
        <v>80</v>
      </c>
    </row>
    <row r="78" spans="1:6" s="878" customFormat="1" ht="36">
      <c r="A78" s="882">
        <v>18</v>
      </c>
      <c r="B78" s="3277"/>
      <c r="C78" s="818" t="s">
        <v>650</v>
      </c>
      <c r="D78" s="818" t="s">
        <v>651</v>
      </c>
      <c r="E78" s="895">
        <v>0.2</v>
      </c>
      <c r="F78" s="882">
        <v>30</v>
      </c>
    </row>
    <row r="79" spans="1:6" s="878" customFormat="1" ht="36">
      <c r="A79" s="882">
        <v>19</v>
      </c>
      <c r="B79" s="3277"/>
      <c r="C79" s="818" t="s">
        <v>652</v>
      </c>
      <c r="D79" s="818" t="s">
        <v>653</v>
      </c>
      <c r="E79" s="895">
        <v>0.5</v>
      </c>
      <c r="F79" s="882">
        <v>80</v>
      </c>
    </row>
    <row r="80" spans="1:6" s="878" customFormat="1" ht="36">
      <c r="A80" s="882">
        <v>20</v>
      </c>
      <c r="B80" s="3277"/>
      <c r="C80" s="818" t="s">
        <v>654</v>
      </c>
      <c r="D80" s="818" t="s">
        <v>655</v>
      </c>
      <c r="E80" s="895">
        <v>0.2</v>
      </c>
      <c r="F80" s="882">
        <v>30</v>
      </c>
    </row>
    <row r="81" spans="1:6" s="878" customFormat="1" ht="36">
      <c r="A81" s="882">
        <v>21</v>
      </c>
      <c r="B81" s="3277"/>
      <c r="C81" s="818" t="s">
        <v>656</v>
      </c>
      <c r="D81" s="818" t="s">
        <v>657</v>
      </c>
      <c r="E81" s="895">
        <v>0.2</v>
      </c>
      <c r="F81" s="882">
        <v>30</v>
      </c>
    </row>
    <row r="82" spans="1:6" s="878" customFormat="1" ht="60">
      <c r="A82" s="882">
        <v>22</v>
      </c>
      <c r="B82" s="3277"/>
      <c r="C82" s="818" t="s">
        <v>658</v>
      </c>
      <c r="D82" s="818" t="s">
        <v>659</v>
      </c>
      <c r="E82" s="895">
        <v>0.2</v>
      </c>
      <c r="F82" s="882">
        <v>30</v>
      </c>
    </row>
    <row r="83" spans="1:6" s="878" customFormat="1" ht="60">
      <c r="A83" s="882">
        <v>23</v>
      </c>
      <c r="B83" s="3277"/>
      <c r="C83" s="818" t="s">
        <v>660</v>
      </c>
      <c r="D83" s="818" t="s">
        <v>661</v>
      </c>
      <c r="E83" s="895">
        <v>0.2</v>
      </c>
      <c r="F83" s="882">
        <v>30</v>
      </c>
    </row>
    <row r="84" spans="1:6" s="878" customFormat="1" ht="48">
      <c r="A84" s="882">
        <v>24</v>
      </c>
      <c r="B84" s="3277"/>
      <c r="C84" s="818" t="s">
        <v>662</v>
      </c>
      <c r="D84" s="818" t="s">
        <v>663</v>
      </c>
      <c r="E84" s="895">
        <v>0.2</v>
      </c>
      <c r="F84" s="882">
        <v>30</v>
      </c>
    </row>
    <row r="85" spans="1:6" s="878" customFormat="1" ht="36">
      <c r="A85" s="882">
        <v>25</v>
      </c>
      <c r="B85" s="3277"/>
      <c r="C85" s="818" t="s">
        <v>664</v>
      </c>
      <c r="D85" s="818" t="s">
        <v>665</v>
      </c>
      <c r="E85" s="895">
        <v>0.5</v>
      </c>
      <c r="F85" s="882">
        <v>80</v>
      </c>
    </row>
    <row r="86" spans="1:6" s="878" customFormat="1" ht="36">
      <c r="A86" s="882">
        <v>26</v>
      </c>
      <c r="B86" s="3277"/>
      <c r="C86" s="818" t="s">
        <v>666</v>
      </c>
      <c r="D86" s="818" t="s">
        <v>667</v>
      </c>
      <c r="E86" s="895">
        <v>0.2</v>
      </c>
      <c r="F86" s="882">
        <v>30</v>
      </c>
    </row>
    <row r="87" spans="1:6" s="878" customFormat="1" ht="36">
      <c r="A87" s="882">
        <v>27</v>
      </c>
      <c r="B87" s="3277"/>
      <c r="C87" s="818" t="s">
        <v>668</v>
      </c>
      <c r="D87" s="818" t="s">
        <v>669</v>
      </c>
      <c r="E87" s="895">
        <v>0.2</v>
      </c>
      <c r="F87" s="882">
        <v>30</v>
      </c>
    </row>
    <row r="88" spans="1:6" s="878" customFormat="1" ht="36">
      <c r="A88" s="882">
        <v>28</v>
      </c>
      <c r="B88" s="3277"/>
      <c r="C88" s="818" t="s">
        <v>670</v>
      </c>
      <c r="D88" s="818" t="s">
        <v>671</v>
      </c>
      <c r="E88" s="895">
        <v>0.2</v>
      </c>
      <c r="F88" s="882">
        <v>30</v>
      </c>
    </row>
    <row r="89" spans="1:6" s="878" customFormat="1" ht="36">
      <c r="A89" s="882">
        <v>29</v>
      </c>
      <c r="B89" s="3277"/>
      <c r="C89" s="818" t="s">
        <v>672</v>
      </c>
      <c r="D89" s="818" t="s">
        <v>673</v>
      </c>
      <c r="E89" s="895">
        <v>0.2</v>
      </c>
      <c r="F89" s="882">
        <v>30</v>
      </c>
    </row>
    <row r="90" spans="1:6" s="878" customFormat="1" ht="36">
      <c r="A90" s="882">
        <v>30</v>
      </c>
      <c r="B90" s="3277"/>
      <c r="C90" s="818" t="s">
        <v>674</v>
      </c>
      <c r="D90" s="818" t="s">
        <v>675</v>
      </c>
      <c r="E90" s="895">
        <v>0.2</v>
      </c>
      <c r="F90" s="882">
        <v>30</v>
      </c>
    </row>
    <row r="91" spans="1:6" s="878" customFormat="1" ht="48">
      <c r="A91" s="882">
        <v>31</v>
      </c>
      <c r="B91" s="3277"/>
      <c r="C91" s="818" t="s">
        <v>676</v>
      </c>
      <c r="D91" s="818" t="s">
        <v>677</v>
      </c>
      <c r="E91" s="895">
        <v>0.2</v>
      </c>
      <c r="F91" s="882">
        <v>30</v>
      </c>
    </row>
    <row r="92" spans="1:6" s="878" customFormat="1" ht="36">
      <c r="A92" s="882">
        <v>32</v>
      </c>
      <c r="B92" s="3277" t="s">
        <v>678</v>
      </c>
      <c r="C92" s="882" t="s">
        <v>679</v>
      </c>
      <c r="D92" s="818" t="s">
        <v>680</v>
      </c>
      <c r="E92" s="895">
        <v>0.2</v>
      </c>
      <c r="F92" s="882">
        <v>30</v>
      </c>
    </row>
    <row r="93" spans="1:6" s="878" customFormat="1" ht="36">
      <c r="A93" s="882">
        <v>33</v>
      </c>
      <c r="B93" s="3277"/>
      <c r="C93" s="882" t="s">
        <v>681</v>
      </c>
      <c r="D93" s="818" t="s">
        <v>682</v>
      </c>
      <c r="E93" s="895">
        <v>0.2</v>
      </c>
      <c r="F93" s="882">
        <v>30</v>
      </c>
    </row>
    <row r="94" spans="1:6" s="878" customFormat="1" ht="60">
      <c r="A94" s="882">
        <v>34</v>
      </c>
      <c r="B94" s="3277"/>
      <c r="C94" s="882" t="s">
        <v>683</v>
      </c>
      <c r="D94" s="818" t="s">
        <v>684</v>
      </c>
      <c r="E94" s="895">
        <v>0.2</v>
      </c>
      <c r="F94" s="882">
        <v>30</v>
      </c>
    </row>
    <row r="95" spans="1:6" s="878" customFormat="1" ht="48">
      <c r="A95" s="882">
        <v>35</v>
      </c>
      <c r="B95" s="3277"/>
      <c r="C95" s="882" t="s">
        <v>685</v>
      </c>
      <c r="D95" s="818" t="s">
        <v>686</v>
      </c>
      <c r="E95" s="895">
        <v>0.2</v>
      </c>
      <c r="F95" s="882">
        <v>30</v>
      </c>
    </row>
    <row r="96" spans="1:6" s="878" customFormat="1" ht="72">
      <c r="A96" s="882">
        <v>36</v>
      </c>
      <c r="B96" s="3277"/>
      <c r="C96" s="818" t="s">
        <v>687</v>
      </c>
      <c r="D96" s="818" t="s">
        <v>688</v>
      </c>
      <c r="E96" s="895">
        <v>0.2</v>
      </c>
      <c r="F96" s="882">
        <v>30</v>
      </c>
    </row>
    <row r="97" spans="1:6" s="878" customFormat="1" ht="36">
      <c r="A97" s="882">
        <v>37</v>
      </c>
      <c r="B97" s="3277"/>
      <c r="C97" s="882" t="s">
        <v>689</v>
      </c>
      <c r="D97" s="818" t="s">
        <v>690</v>
      </c>
      <c r="E97" s="895">
        <v>0.2</v>
      </c>
      <c r="F97" s="882">
        <v>30</v>
      </c>
    </row>
    <row r="98" spans="1:6" s="878" customFormat="1" ht="36">
      <c r="A98" s="882">
        <v>38</v>
      </c>
      <c r="B98" s="3277"/>
      <c r="C98" s="882" t="s">
        <v>691</v>
      </c>
      <c r="D98" s="818" t="s">
        <v>692</v>
      </c>
      <c r="E98" s="895">
        <v>0.2</v>
      </c>
      <c r="F98" s="882">
        <v>30</v>
      </c>
    </row>
    <row r="99" spans="1:6" s="878" customFormat="1" ht="36">
      <c r="A99" s="882">
        <v>39</v>
      </c>
      <c r="B99" s="3277" t="s">
        <v>693</v>
      </c>
      <c r="C99" s="882" t="s">
        <v>694</v>
      </c>
      <c r="D99" s="818" t="s">
        <v>695</v>
      </c>
      <c r="E99" s="895">
        <v>0.3</v>
      </c>
      <c r="F99" s="882">
        <v>50</v>
      </c>
    </row>
    <row r="100" spans="1:6" s="878" customFormat="1" ht="36">
      <c r="A100" s="882">
        <v>40</v>
      </c>
      <c r="B100" s="3277"/>
      <c r="C100" s="882" t="s">
        <v>696</v>
      </c>
      <c r="D100" s="818" t="s">
        <v>697</v>
      </c>
      <c r="E100" s="895">
        <v>0.2</v>
      </c>
      <c r="F100" s="882">
        <v>30</v>
      </c>
    </row>
    <row r="101" spans="1:6" s="878" customFormat="1" ht="36">
      <c r="A101" s="882">
        <v>41</v>
      </c>
      <c r="B101" s="3277"/>
      <c r="C101" s="882" t="s">
        <v>698</v>
      </c>
      <c r="D101" s="818" t="s">
        <v>695</v>
      </c>
      <c r="E101" s="895">
        <v>0.2</v>
      </c>
      <c r="F101" s="882">
        <v>30</v>
      </c>
    </row>
    <row r="102" spans="1:6" s="878" customFormat="1" ht="72">
      <c r="A102" s="882">
        <v>42</v>
      </c>
      <c r="B102" s="882" t="s">
        <v>699</v>
      </c>
      <c r="C102" s="818" t="s">
        <v>700</v>
      </c>
      <c r="D102" s="818" t="s">
        <v>701</v>
      </c>
      <c r="E102" s="895">
        <v>0.2</v>
      </c>
      <c r="F102" s="882">
        <v>30</v>
      </c>
    </row>
    <row r="103" spans="1:6" s="878" customFormat="1" ht="36">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48">
      <c r="A105" s="882">
        <v>45</v>
      </c>
      <c r="B105" s="3277" t="s">
        <v>708</v>
      </c>
      <c r="C105" s="882" t="s">
        <v>709</v>
      </c>
      <c r="D105" s="818" t="s">
        <v>710</v>
      </c>
      <c r="E105" s="895">
        <v>0.2</v>
      </c>
      <c r="F105" s="882">
        <v>30</v>
      </c>
    </row>
    <row r="106" spans="1:6" s="878" customFormat="1" ht="48">
      <c r="A106" s="882">
        <v>46</v>
      </c>
      <c r="B106" s="3277"/>
      <c r="C106" s="882" t="s">
        <v>711</v>
      </c>
      <c r="D106" s="818" t="s">
        <v>712</v>
      </c>
      <c r="E106" s="895">
        <v>0.2</v>
      </c>
      <c r="F106" s="882">
        <v>30</v>
      </c>
    </row>
    <row r="107" spans="1:6" s="878" customFormat="1" ht="36">
      <c r="A107" s="882">
        <v>47</v>
      </c>
      <c r="B107" s="3277" t="s">
        <v>713</v>
      </c>
      <c r="C107" s="882" t="s">
        <v>714</v>
      </c>
      <c r="D107" s="818" t="s">
        <v>715</v>
      </c>
      <c r="E107" s="895">
        <v>0.3</v>
      </c>
      <c r="F107" s="882">
        <v>50</v>
      </c>
    </row>
    <row r="108" spans="1:6" s="878" customFormat="1" ht="48">
      <c r="A108" s="882">
        <v>48</v>
      </c>
      <c r="B108" s="3277"/>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48">
      <c r="A110" s="882">
        <v>50</v>
      </c>
      <c r="B110" s="882" t="s">
        <v>721</v>
      </c>
      <c r="C110" s="882" t="s">
        <v>722</v>
      </c>
      <c r="D110" s="818" t="s">
        <v>723</v>
      </c>
      <c r="E110" s="895">
        <v>0.2</v>
      </c>
      <c r="F110" s="882">
        <v>30</v>
      </c>
    </row>
    <row r="111" spans="1:6" s="878" customFormat="1" ht="48">
      <c r="A111" s="882">
        <v>51</v>
      </c>
      <c r="B111" s="3277" t="s">
        <v>724</v>
      </c>
      <c r="C111" s="882" t="s">
        <v>725</v>
      </c>
      <c r="D111" s="818" t="s">
        <v>726</v>
      </c>
      <c r="E111" s="895">
        <v>0.2</v>
      </c>
      <c r="F111" s="882">
        <v>30</v>
      </c>
    </row>
    <row r="112" spans="1:6" s="878" customFormat="1" ht="36">
      <c r="A112" s="882">
        <v>52</v>
      </c>
      <c r="B112" s="3277"/>
      <c r="C112" s="882" t="s">
        <v>727</v>
      </c>
      <c r="D112" s="818" t="s">
        <v>728</v>
      </c>
      <c r="E112" s="895">
        <v>0.2</v>
      </c>
      <c r="F112" s="882">
        <v>30</v>
      </c>
    </row>
    <row r="113" spans="1:6" s="878" customFormat="1" ht="36">
      <c r="A113" s="882">
        <v>53</v>
      </c>
      <c r="B113" s="3277"/>
      <c r="C113" s="882" t="s">
        <v>729</v>
      </c>
      <c r="D113" s="818" t="s">
        <v>730</v>
      </c>
      <c r="E113" s="895">
        <v>0.2</v>
      </c>
      <c r="F113" s="882">
        <v>30</v>
      </c>
    </row>
    <row r="114" spans="1:6" ht="48">
      <c r="A114" s="882">
        <v>54</v>
      </c>
      <c r="B114" s="882" t="s">
        <v>731</v>
      </c>
      <c r="C114" s="882" t="s">
        <v>732</v>
      </c>
      <c r="D114" s="818" t="s">
        <v>733</v>
      </c>
      <c r="E114" s="895">
        <v>0.2</v>
      </c>
      <c r="F114" s="882">
        <v>30</v>
      </c>
    </row>
    <row r="115" spans="1:6" ht="36">
      <c r="A115" s="882">
        <v>55</v>
      </c>
      <c r="B115" s="882" t="s">
        <v>734</v>
      </c>
      <c r="C115" s="882" t="s">
        <v>735</v>
      </c>
      <c r="D115" s="818" t="s">
        <v>736</v>
      </c>
      <c r="E115" s="895">
        <v>0.2</v>
      </c>
      <c r="F115" s="882">
        <v>30</v>
      </c>
    </row>
    <row r="116" spans="1:6" ht="36">
      <c r="A116" s="882">
        <v>56</v>
      </c>
      <c r="B116" s="3277" t="s">
        <v>737</v>
      </c>
      <c r="C116" s="882" t="s">
        <v>738</v>
      </c>
      <c r="D116" s="818" t="s">
        <v>739</v>
      </c>
      <c r="E116" s="895">
        <v>0.2</v>
      </c>
      <c r="F116" s="882">
        <v>30</v>
      </c>
    </row>
    <row r="117" spans="1:6" ht="36">
      <c r="A117" s="882">
        <v>57</v>
      </c>
      <c r="B117" s="3277"/>
      <c r="C117" s="882" t="s">
        <v>740</v>
      </c>
      <c r="D117" s="818" t="s">
        <v>741</v>
      </c>
      <c r="E117" s="895">
        <v>0.2</v>
      </c>
      <c r="F117" s="882">
        <v>30</v>
      </c>
    </row>
    <row r="118" spans="1:6" ht="36">
      <c r="A118" s="882">
        <v>58</v>
      </c>
      <c r="B118" s="882" t="s">
        <v>742</v>
      </c>
      <c r="C118" s="882" t="s">
        <v>743</v>
      </c>
      <c r="D118" s="818" t="s">
        <v>744</v>
      </c>
      <c r="E118" s="895">
        <v>0.2</v>
      </c>
      <c r="F118" s="882">
        <v>30</v>
      </c>
    </row>
    <row r="119" spans="1:6" ht="14.4">
      <c r="A119" s="882"/>
      <c r="B119" s="882"/>
      <c r="C119" s="882" t="s">
        <v>745</v>
      </c>
      <c r="D119" s="882"/>
      <c r="E119" s="895" t="s">
        <v>555</v>
      </c>
      <c r="F119" s="882"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5"/>
    <col min="2" max="16384" width="9" style="898"/>
  </cols>
  <sheetData>
    <row r="1" spans="1:14" ht="15.6">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5.6">
      <c r="A103" s="896" t="s">
        <v>748</v>
      </c>
      <c r="B103" s="897"/>
      <c r="C103" s="897"/>
      <c r="D103" s="897"/>
      <c r="E103" s="897"/>
      <c r="F103" s="897"/>
      <c r="G103" s="897"/>
      <c r="H103" s="897"/>
      <c r="I103" s="897"/>
      <c r="J103" s="897"/>
      <c r="K103" s="897"/>
      <c r="L103" s="897"/>
      <c r="M103" s="897"/>
      <c r="N103" s="897"/>
    </row>
    <row r="104" spans="1:14" ht="15.6">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5.6">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5.6">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3.8"/>
  <cols>
    <col min="1" max="1" width="23.33203125" style="1944" customWidth="1"/>
    <col min="2" max="2" width="12.44140625" style="1944" customWidth="1"/>
    <col min="3" max="3" width="12.109375" style="1944" customWidth="1"/>
    <col min="4" max="4" width="14.109375" style="1944" customWidth="1"/>
    <col min="5" max="5" width="12.44140625" style="1944" customWidth="1"/>
    <col min="6" max="16384" width="9" style="1944"/>
  </cols>
  <sheetData>
    <row r="1" spans="1:5" ht="21.6">
      <c r="A1" s="2560" t="s">
        <v>2999</v>
      </c>
    </row>
    <row r="2" spans="1:5" ht="15.6">
      <c r="A2" s="2901" t="s">
        <v>2991</v>
      </c>
      <c r="B2" s="2902" t="e">
        <f ca="1">SUMIF(B6:B13,"&lt;&gt;#ref!",B6:B13)</f>
        <v>#DIV/0!</v>
      </c>
      <c r="C2" s="2901" t="s">
        <v>2992</v>
      </c>
      <c r="D2" s="2901" t="s">
        <v>2993</v>
      </c>
      <c r="E2" s="2902">
        <f ca="1">SUMIF(E6:E13,"&lt;&gt;#ref!",E6:E13)</f>
        <v>0</v>
      </c>
    </row>
    <row r="3" spans="1:5" ht="15.6">
      <c r="A3" s="2901" t="s">
        <v>2994</v>
      </c>
      <c r="B3" s="2902" t="e">
        <f ca="1">ROUND(B2*10000/E2,0)</f>
        <v>#DIV/0!</v>
      </c>
      <c r="C3" s="2901" t="s">
        <v>3000</v>
      </c>
      <c r="D3" s="2903"/>
      <c r="E3" s="2903"/>
    </row>
    <row r="4" spans="1:5" ht="15.6">
      <c r="A4" s="2904"/>
      <c r="B4" s="2903"/>
      <c r="C4" s="2903"/>
      <c r="D4" s="2903"/>
      <c r="E4" s="2903"/>
    </row>
    <row r="5" spans="1:5" ht="31.2">
      <c r="A5" s="2905" t="s">
        <v>2995</v>
      </c>
      <c r="B5" s="2901" t="s">
        <v>2996</v>
      </c>
      <c r="C5" s="2902"/>
      <c r="D5" s="2903"/>
      <c r="E5" s="2901" t="s">
        <v>2997</v>
      </c>
    </row>
    <row r="6" spans="1:5" ht="15.6">
      <c r="A6" s="2906" t="s">
        <v>2998</v>
      </c>
      <c r="B6" s="2902" t="e">
        <f ca="1">SUMIF(INDIRECT("'"&amp;A6&amp;"'"&amp;"!A:A"),"总价",INDIRECT("'"&amp;A6&amp;"'"&amp;"!B:B"))</f>
        <v>#DIV/0!</v>
      </c>
      <c r="C6" s="2901" t="s">
        <v>2992</v>
      </c>
      <c r="D6" s="2903"/>
      <c r="E6" s="2574">
        <f ca="1">SUMIF(INDIRECT("'"&amp;A6&amp;"'"&amp;"!C:C"),"建筑面积",INDIRECT("'"&amp;A6&amp;"'"&amp;"!D:D"))</f>
        <v>0</v>
      </c>
    </row>
    <row r="7" spans="1:5" ht="15.6">
      <c r="A7" s="2906"/>
      <c r="B7" s="2902" t="e">
        <f ca="1">SUMIF(INDIRECT("'"&amp;A7&amp;"'"&amp;"!A:A"),"总价",INDIRECT("'"&amp;A7&amp;"'"&amp;"!B:B"))</f>
        <v>#REF!</v>
      </c>
      <c r="C7" s="2901" t="s">
        <v>2992</v>
      </c>
      <c r="D7" s="2903"/>
      <c r="E7" s="2574" t="e">
        <f t="shared" ref="E7:E13" ca="1" si="0">SUMIF(INDIRECT("'"&amp;A7&amp;"'"&amp;"!C:C"),"建筑面积",INDIRECT("'"&amp;A7&amp;"'"&amp;"!D:D"))</f>
        <v>#REF!</v>
      </c>
    </row>
    <row r="8" spans="1:5" ht="15.6">
      <c r="A8" s="2906"/>
      <c r="B8" s="2902" t="e">
        <f t="shared" ref="B8:B13" ca="1" si="1">SUMIF(INDIRECT("'"&amp;A8&amp;"'"&amp;"!A:A"),"总价",INDIRECT("'"&amp;A8&amp;"'"&amp;"!B:B"))</f>
        <v>#REF!</v>
      </c>
      <c r="C8" s="2901" t="s">
        <v>2992</v>
      </c>
      <c r="D8" s="2903"/>
      <c r="E8" s="2574" t="e">
        <f t="shared" ca="1" si="0"/>
        <v>#REF!</v>
      </c>
    </row>
    <row r="9" spans="1:5" ht="15.6">
      <c r="A9" s="2906"/>
      <c r="B9" s="2902" t="e">
        <f t="shared" ca="1" si="1"/>
        <v>#REF!</v>
      </c>
      <c r="C9" s="2901" t="s">
        <v>2992</v>
      </c>
      <c r="D9" s="2903"/>
      <c r="E9" s="2574" t="e">
        <f t="shared" ca="1" si="0"/>
        <v>#REF!</v>
      </c>
    </row>
    <row r="10" spans="1:5" ht="15.6">
      <c r="A10" s="2906"/>
      <c r="B10" s="2902" t="e">
        <f t="shared" ca="1" si="1"/>
        <v>#REF!</v>
      </c>
      <c r="C10" s="2901" t="s">
        <v>2992</v>
      </c>
      <c r="D10" s="2903"/>
      <c r="E10" s="2574" t="e">
        <f t="shared" ca="1" si="0"/>
        <v>#REF!</v>
      </c>
    </row>
    <row r="11" spans="1:5" ht="15.6">
      <c r="A11" s="2906"/>
      <c r="B11" s="2902" t="e">
        <f t="shared" ca="1" si="1"/>
        <v>#REF!</v>
      </c>
      <c r="C11" s="2901" t="s">
        <v>2992</v>
      </c>
      <c r="D11" s="2903"/>
      <c r="E11" s="2574" t="e">
        <f t="shared" ca="1" si="0"/>
        <v>#REF!</v>
      </c>
    </row>
    <row r="12" spans="1:5" ht="15.6">
      <c r="A12" s="2906"/>
      <c r="B12" s="2902" t="e">
        <f t="shared" ca="1" si="1"/>
        <v>#REF!</v>
      </c>
      <c r="C12" s="2901" t="s">
        <v>2992</v>
      </c>
      <c r="D12" s="2903"/>
      <c r="E12" s="2574" t="e">
        <f t="shared" ca="1" si="0"/>
        <v>#REF!</v>
      </c>
    </row>
    <row r="13" spans="1:5" ht="15.6">
      <c r="A13" s="2906"/>
      <c r="B13" s="2902" t="e">
        <f t="shared" ca="1" si="1"/>
        <v>#REF!</v>
      </c>
      <c r="C13" s="2901" t="s">
        <v>2992</v>
      </c>
      <c r="D13" s="2903"/>
      <c r="E13" s="2574"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R43" sqref="R43:W43"/>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283" t="s">
        <v>1146</v>
      </c>
      <c r="C1" s="3283"/>
      <c r="D1" s="3283"/>
      <c r="E1" s="3283"/>
      <c r="F1" s="3283"/>
      <c r="G1" s="3279" t="s">
        <v>1147</v>
      </c>
      <c r="H1" s="3279"/>
      <c r="I1" s="3279"/>
      <c r="J1" s="3279"/>
      <c r="K1" s="3279"/>
      <c r="L1" s="3279"/>
      <c r="N1" s="3279" t="s">
        <v>1148</v>
      </c>
      <c r="O1" s="3279"/>
      <c r="P1" s="3279"/>
      <c r="Q1" s="3279"/>
      <c r="R1" s="1446"/>
      <c r="S1" s="3279" t="s">
        <v>1149</v>
      </c>
      <c r="T1" s="3279"/>
      <c r="U1" s="3279"/>
      <c r="V1" s="3279"/>
      <c r="X1" s="3278" t="s">
        <v>1150</v>
      </c>
      <c r="Y1" s="3279"/>
      <c r="Z1" s="3279"/>
      <c r="AA1" s="3279"/>
      <c r="AB1" s="3279"/>
      <c r="AD1" s="3278" t="s">
        <v>1151</v>
      </c>
      <c r="AE1" s="3279"/>
      <c r="AF1" s="3279"/>
      <c r="AG1" s="3279"/>
      <c r="AH1" s="3279"/>
    </row>
    <row r="2" spans="1:34" s="1447" customFormat="1" ht="15" thickBot="1">
      <c r="B2" s="1448" t="s">
        <v>1152</v>
      </c>
      <c r="C2" s="1448" t="s">
        <v>1153</v>
      </c>
      <c r="D2" s="1449" t="s">
        <v>1154</v>
      </c>
      <c r="E2" s="1449" t="s">
        <v>1155</v>
      </c>
      <c r="F2" s="1448" t="s">
        <v>1156</v>
      </c>
      <c r="G2" s="1450"/>
      <c r="H2" s="1451"/>
      <c r="I2" s="1448" t="s">
        <v>1152</v>
      </c>
      <c r="J2" s="1449" t="s">
        <v>1380</v>
      </c>
      <c r="K2" s="1449" t="s">
        <v>751</v>
      </c>
      <c r="L2" s="1448" t="s">
        <v>1156</v>
      </c>
      <c r="N2" s="1448" t="s">
        <v>1152</v>
      </c>
      <c r="O2" s="1449" t="s">
        <v>1380</v>
      </c>
      <c r="P2" s="1449" t="s">
        <v>751</v>
      </c>
      <c r="Q2" s="1448" t="s">
        <v>1156</v>
      </c>
      <c r="R2" s="1452"/>
      <c r="S2" s="1448" t="s">
        <v>1152</v>
      </c>
      <c r="T2" s="1449" t="s">
        <v>1380</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17" customFormat="1" ht="14.4">
      <c r="A3" s="2926" t="s">
        <v>3034</v>
      </c>
      <c r="B3" s="2918"/>
      <c r="C3" s="2918"/>
      <c r="D3" s="2919"/>
      <c r="E3" s="2919"/>
      <c r="F3" s="2918"/>
      <c r="G3" s="2920"/>
      <c r="H3" s="2921"/>
      <c r="I3" s="2922">
        <f>ROUND(AVERAGE($I4:$I27),2)</f>
        <v>2.04</v>
      </c>
      <c r="J3" s="2922">
        <f>ROUND(AVERAGE($J4:$J27),2)</f>
        <v>1.44</v>
      </c>
      <c r="K3" s="2922">
        <f>ROUND(AVERAGE($K4:$K27),2)</f>
        <v>2.23</v>
      </c>
      <c r="L3" s="2922">
        <f>ROUND(AVERAGE($L4:$L27),2)</f>
        <v>1.4</v>
      </c>
      <c r="N3" s="2920"/>
      <c r="O3" s="2923"/>
      <c r="P3" s="2923"/>
      <c r="Q3" s="2923"/>
      <c r="R3" s="2923"/>
      <c r="S3" s="2920"/>
      <c r="T3" s="2923"/>
      <c r="U3" s="2923"/>
      <c r="V3" s="2923"/>
      <c r="W3" s="2915"/>
      <c r="X3" s="2924">
        <f>ROUND(SUMPRODUCT(PRODUCT(1+N3:N$26)),4)</f>
        <v>1.5422</v>
      </c>
      <c r="Y3" s="2924">
        <f>ROUND(SUMPRODUCT(PRODUCT(1+O3:O$26)),4)</f>
        <v>1.3557999999999999</v>
      </c>
      <c r="Z3" s="2924">
        <f t="shared" ref="Z3:Z24" si="0">Y3</f>
        <v>1.3557999999999999</v>
      </c>
      <c r="AA3" s="2924">
        <f>ROUND(SUMPRODUCT(PRODUCT(1+P3:P$26)),4)</f>
        <v>1.6036999999999999</v>
      </c>
      <c r="AB3" s="2924">
        <f>ROUND(SUMPRODUCT(PRODUCT(1+Q3:Q$26)),4)</f>
        <v>1.3573</v>
      </c>
      <c r="AD3" s="2925">
        <f>ROUND(AVERAGE(I3:I$27)/100,4)</f>
        <v>2.0400000000000001E-2</v>
      </c>
      <c r="AE3" s="2925">
        <f>ROUND(AVERAGE(J3:J$27)/100,4)</f>
        <v>1.44E-2</v>
      </c>
      <c r="AF3" s="2925">
        <f t="shared" ref="AF3:AF25" si="1">AE3</f>
        <v>1.44E-2</v>
      </c>
      <c r="AG3" s="2925">
        <f>ROUND(AVERAGE(K3:K$27)/100,4)</f>
        <v>2.23E-2</v>
      </c>
      <c r="AH3" s="2925">
        <f>ROUND(AVERAGE(L3:L$27)/100,4)</f>
        <v>1.4E-2</v>
      </c>
    </row>
    <row r="4" spans="1:34" s="1453" customFormat="1" ht="14.4">
      <c r="B4" s="1454"/>
      <c r="C4" s="1454"/>
      <c r="D4" s="1455"/>
      <c r="E4" s="1455"/>
      <c r="F4" s="1454"/>
      <c r="G4" s="1456"/>
      <c r="H4" s="1457"/>
      <c r="I4" s="2912"/>
      <c r="J4" s="2912"/>
      <c r="K4" s="2912"/>
      <c r="L4" s="2912"/>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8" thickBot="1">
      <c r="A5" s="1729" t="s">
        <v>3051</v>
      </c>
      <c r="B5" s="1791">
        <f t="shared" ref="B5" si="2">B6*(1+N5)</f>
        <v>474.30670301923408</v>
      </c>
      <c r="C5" s="1791">
        <f t="shared" ref="C5" si="3">C6*(1+O5)</f>
        <v>349.50705005996491</v>
      </c>
      <c r="D5" s="1791">
        <f t="shared" ref="D5" si="4">C5</f>
        <v>349.50705005996491</v>
      </c>
      <c r="E5" s="1791">
        <f t="shared" ref="E5" si="5">E6*(1+P5)</f>
        <v>678.22831959706957</v>
      </c>
      <c r="F5" s="1791">
        <f t="shared" ref="F5" si="6">F6*(1+Q5)</f>
        <v>312.0556832169558</v>
      </c>
      <c r="G5" s="2946">
        <v>2019</v>
      </c>
      <c r="H5" s="1730">
        <v>3</v>
      </c>
      <c r="I5" s="2913">
        <v>0</v>
      </c>
      <c r="J5" s="2913">
        <v>0</v>
      </c>
      <c r="K5" s="2913">
        <v>0</v>
      </c>
      <c r="L5" s="2913">
        <v>0</v>
      </c>
      <c r="N5" s="1467">
        <f>I5/100</f>
        <v>0</v>
      </c>
      <c r="O5" s="1467">
        <f t="shared" ref="O5" si="7">J5/100</f>
        <v>0</v>
      </c>
      <c r="P5" s="1467">
        <f t="shared" ref="P5" si="8">K5/100</f>
        <v>0</v>
      </c>
      <c r="Q5" s="1467">
        <f t="shared" ref="Q5" si="9">L5/100</f>
        <v>0</v>
      </c>
      <c r="R5" s="1732"/>
      <c r="S5" s="1733"/>
      <c r="T5" s="1732"/>
      <c r="U5" s="1732"/>
      <c r="V5" s="1732"/>
      <c r="W5" s="2916" t="s">
        <v>3035</v>
      </c>
      <c r="X5" s="1726">
        <f>ROUND(IF(项目基本情况!B8="出让",SUMPRODUCT(PRODUCT(1+N5:N$27)),SUMPRODUCT(PRODUCT(1+N5:N$26))),4)</f>
        <v>1.5422</v>
      </c>
      <c r="Y5" s="1726">
        <f>ROUND(IF(项目基本情况!B8="出让",SUMPRODUCT(PRODUCT(1+O5:O$27)),SUMPRODUCT(PRODUCT(1+O5:O$26))),4)</f>
        <v>1.3557999999999999</v>
      </c>
      <c r="Z5" s="1726">
        <f t="shared" ref="Z5" si="10">Y5</f>
        <v>1.3557999999999999</v>
      </c>
      <c r="AA5" s="1726">
        <f>ROUND(IF(项目基本情况!B8="出让",SUMPRODUCT(PRODUCT(1+P5:P$27)),SUMPRODUCT(PRODUCT(1+P5:P$26))),4)</f>
        <v>1.6036999999999999</v>
      </c>
      <c r="AB5" s="1726">
        <f>ROUND(IF(项目基本情况!B8="出让",SUMPRODUCT(PRODUCT(1+Q5:Q$27)),SUMPRODUCT(PRODUCT(1+Q5:Q$26))),4)</f>
        <v>1.3573</v>
      </c>
      <c r="AD5" s="1468">
        <f>ROUND(AVERAGE(I5:I$27)/100,4)</f>
        <v>2.0400000000000001E-2</v>
      </c>
      <c r="AE5" s="1468">
        <f>ROUND(AVERAGE(J5:J$27)/100,4)</f>
        <v>1.44E-2</v>
      </c>
      <c r="AF5" s="1468">
        <f t="shared" ref="AF5" si="11">AE5</f>
        <v>1.44E-2</v>
      </c>
      <c r="AG5" s="1468">
        <f>ROUND(AVERAGE(K5:K$27)/100,4)</f>
        <v>2.23E-2</v>
      </c>
      <c r="AH5" s="1468">
        <f>ROUND(AVERAGE(L5:L$27)/100,4)</f>
        <v>1.4E-2</v>
      </c>
    </row>
    <row r="6" spans="1:34" s="1466" customFormat="1">
      <c r="A6" s="1461" t="s">
        <v>3050</v>
      </c>
      <c r="B6" s="1477">
        <f t="shared" ref="B6" si="12">B7*(1+N6)</f>
        <v>474.30670301923408</v>
      </c>
      <c r="C6" s="1477">
        <f t="shared" ref="C6" si="13">C7*(1+O6)</f>
        <v>349.50705005996491</v>
      </c>
      <c r="D6" s="1477">
        <f t="shared" ref="D6" si="14">C6</f>
        <v>349.50705005996491</v>
      </c>
      <c r="E6" s="1477">
        <f t="shared" ref="E6" si="15">E7*(1+P6)</f>
        <v>678.22831959706957</v>
      </c>
      <c r="F6" s="1477">
        <f t="shared" ref="F6" si="16">F7*(1+Q6)</f>
        <v>312.0556832169558</v>
      </c>
      <c r="G6" s="2946">
        <v>2019</v>
      </c>
      <c r="H6" s="1462">
        <v>2</v>
      </c>
      <c r="I6" s="2950">
        <v>1.53</v>
      </c>
      <c r="J6" s="2950">
        <v>1.01</v>
      </c>
      <c r="K6" s="2950">
        <v>1.62</v>
      </c>
      <c r="L6" s="2951">
        <v>1.25</v>
      </c>
      <c r="M6" s="1471"/>
      <c r="N6" s="1472">
        <f>I6/100</f>
        <v>1.5300000000000001E-2</v>
      </c>
      <c r="O6" s="1473">
        <f t="shared" ref="O6" si="17">J6/100</f>
        <v>1.01E-2</v>
      </c>
      <c r="P6" s="1473">
        <f t="shared" ref="P6" si="18">K6/100</f>
        <v>1.6200000000000003E-2</v>
      </c>
      <c r="Q6" s="1473">
        <f t="shared" ref="Q6" si="19">L6/100</f>
        <v>1.2500000000000001E-2</v>
      </c>
      <c r="R6" s="1474"/>
      <c r="S6" s="1472"/>
      <c r="T6" s="1473"/>
      <c r="U6" s="1473"/>
      <c r="V6" s="1473"/>
      <c r="W6" s="1790"/>
      <c r="X6" s="1788">
        <f>ROUND(IF(项目基本情况!B8="出让",SUMPRODUCT(PRODUCT(1+N6:N$27)),SUMPRODUCT(PRODUCT(1+N6:N$26))),4)</f>
        <v>1.5422</v>
      </c>
      <c r="Y6" s="1788">
        <f>ROUND(IF(项目基本情况!B8="出让",SUMPRODUCT(PRODUCT(1+O6:O$27)),SUMPRODUCT(PRODUCT(1+O6:O$26))),4)</f>
        <v>1.3557999999999999</v>
      </c>
      <c r="Z6" s="1788">
        <f t="shared" ref="Z6" si="20">Y6</f>
        <v>1.3557999999999999</v>
      </c>
      <c r="AA6" s="1788">
        <f>ROUND(IF(项目基本情况!B8="出让",SUMPRODUCT(PRODUCT(1+P6:P$27)),SUMPRODUCT(PRODUCT(1+P6:P$26))),4)</f>
        <v>1.6036999999999999</v>
      </c>
      <c r="AB6" s="1788">
        <f>ROUND(IF(项目基本情况!B8="出让",SUMPRODUCT(PRODUCT(1+Q6:Q$27)),SUMPRODUCT(PRODUCT(1+Q6:Q$26))),4)</f>
        <v>1.3573</v>
      </c>
      <c r="AC6" s="1790"/>
      <c r="AD6" s="1789">
        <f>ROUND(AVERAGE(I6:I$27)/100,4)</f>
        <v>2.1299999999999999E-2</v>
      </c>
      <c r="AE6" s="1789">
        <f>ROUND(AVERAGE(J6:J$27)/100,4)</f>
        <v>1.4999999999999999E-2</v>
      </c>
      <c r="AF6" s="1789">
        <f t="shared" ref="AF6" si="21">AE6</f>
        <v>1.4999999999999999E-2</v>
      </c>
      <c r="AG6" s="1789">
        <f>ROUND(AVERAGE(K6:K$27)/100,4)</f>
        <v>2.3300000000000001E-2</v>
      </c>
      <c r="AH6" s="1789">
        <f>ROUND(AVERAGE(L6:L$27)/100,4)</f>
        <v>1.46E-2</v>
      </c>
    </row>
    <row r="7" spans="1:34" s="1466" customFormat="1" ht="13.8" thickBot="1">
      <c r="A7" s="1461" t="s">
        <v>3047</v>
      </c>
      <c r="B7" s="1477">
        <f t="shared" ref="B7" si="22">B8*(1+N7)</f>
        <v>467.15916775261894</v>
      </c>
      <c r="C7" s="1477">
        <f t="shared" ref="C7" si="23">C8*(1+O7)</f>
        <v>346.01232557169084</v>
      </c>
      <c r="D7" s="1477">
        <f t="shared" ref="D7" si="24">C7</f>
        <v>346.01232557169084</v>
      </c>
      <c r="E7" s="1477">
        <f t="shared" ref="E7" si="25">E8*(1+P7)</f>
        <v>667.41617752122568</v>
      </c>
      <c r="F7" s="1477">
        <f t="shared" ref="F7" si="26">F8*(1+Q7)</f>
        <v>308.20314391798104</v>
      </c>
      <c r="G7" s="2930">
        <v>2019</v>
      </c>
      <c r="H7" s="1464">
        <v>1</v>
      </c>
      <c r="I7" s="1464">
        <v>0.6</v>
      </c>
      <c r="J7" s="1464">
        <v>0.37</v>
      </c>
      <c r="K7" s="1464">
        <v>0.63</v>
      </c>
      <c r="L7" s="1478">
        <v>1.1299999999999999</v>
      </c>
      <c r="M7" s="1471"/>
      <c r="N7" s="1472">
        <f>I7/100</f>
        <v>6.0000000000000001E-3</v>
      </c>
      <c r="O7" s="1473">
        <f t="shared" ref="O7" si="27">J7/100</f>
        <v>3.7000000000000002E-3</v>
      </c>
      <c r="P7" s="1473">
        <f t="shared" ref="P7" si="28">K7/100</f>
        <v>6.3E-3</v>
      </c>
      <c r="Q7" s="1473">
        <f t="shared" ref="Q7" si="29">L7/100</f>
        <v>1.1299999999999999E-2</v>
      </c>
      <c r="R7" s="1474"/>
      <c r="S7" s="1472">
        <f>B7/B8-1</f>
        <v>6.0000000000000053E-3</v>
      </c>
      <c r="T7" s="1473">
        <f t="shared" ref="T7" si="30">C7/C8-1</f>
        <v>3.7000000000000366E-3</v>
      </c>
      <c r="U7" s="1473">
        <f t="shared" ref="U7" si="31">D7/D8-1</f>
        <v>3.7000000000000366E-3</v>
      </c>
      <c r="V7" s="1473">
        <f t="shared" ref="V7" si="32">E7/E8-1</f>
        <v>6.2999999999999723E-3</v>
      </c>
      <c r="W7" s="1790"/>
      <c r="X7" s="1788">
        <f>ROUND(IF(项目基本情况!B8="出让",SUMPRODUCT(PRODUCT(1+N7:N$27)),SUMPRODUCT(PRODUCT(1+N7:N$26))),4)</f>
        <v>1.5189999999999999</v>
      </c>
      <c r="Y7" s="1788">
        <f>ROUND(IF(项目基本情况!B8="出让",SUMPRODUCT(PRODUCT(1+O7:O$27)),SUMPRODUCT(PRODUCT(1+O7:O$26))),4)</f>
        <v>1.3423</v>
      </c>
      <c r="Z7" s="1788">
        <f t="shared" ref="Z7" si="33">Y7</f>
        <v>1.3423</v>
      </c>
      <c r="AA7" s="1788">
        <f>ROUND(IF(项目基本情况!B8="出让",SUMPRODUCT(PRODUCT(1+P7:P$27)),SUMPRODUCT(PRODUCT(1+P7:P$26))),4)</f>
        <v>1.5782</v>
      </c>
      <c r="AB7" s="1788">
        <f>ROUND(IF(项目基本情况!B8="出让",SUMPRODUCT(PRODUCT(1+Q7:Q$27)),SUMPRODUCT(PRODUCT(1+Q7:Q$26))),4)</f>
        <v>1.3405</v>
      </c>
      <c r="AC7" s="1790"/>
      <c r="AD7" s="1789">
        <f>ROUND(AVERAGE(I7:I$27)/100,4)</f>
        <v>2.1600000000000001E-2</v>
      </c>
      <c r="AE7" s="1789">
        <f>ROUND(AVERAGE(J7:J$27)/100,4)</f>
        <v>1.5299999999999999E-2</v>
      </c>
      <c r="AF7" s="1789">
        <f t="shared" ref="AF7" si="34">AE7</f>
        <v>1.5299999999999999E-2</v>
      </c>
      <c r="AG7" s="1789">
        <f>ROUND(AVERAGE(K7:K$27)/100,4)</f>
        <v>2.3699999999999999E-2</v>
      </c>
      <c r="AH7" s="1789">
        <f>ROUND(AVERAGE(L7:L$27)/100,4)</f>
        <v>1.47E-2</v>
      </c>
    </row>
    <row r="8" spans="1:34" s="1466" customFormat="1">
      <c r="A8" s="1461" t="s">
        <v>3052</v>
      </c>
      <c r="B8" s="2947">
        <f t="shared" ref="B8" si="35">B9*(1+N8)</f>
        <v>464.37293017158942</v>
      </c>
      <c r="C8" s="2947">
        <f t="shared" ref="C8" si="36">C9*(1+O8)</f>
        <v>344.73679941385956</v>
      </c>
      <c r="D8" s="2947">
        <f t="shared" ref="D8" si="37">C8</f>
        <v>344.73679941385956</v>
      </c>
      <c r="E8" s="2947">
        <f t="shared" ref="E8" si="38">E9*(1+P8)</f>
        <v>663.2377795103107</v>
      </c>
      <c r="F8" s="2948">
        <f t="shared" ref="F8" si="39">F9*(1+Q8)</f>
        <v>304.75936311478398</v>
      </c>
      <c r="G8" s="3281">
        <v>2018</v>
      </c>
      <c r="H8" s="1462">
        <v>4</v>
      </c>
      <c r="I8" s="1462">
        <v>0.96</v>
      </c>
      <c r="J8" s="1462">
        <v>1.03</v>
      </c>
      <c r="K8" s="1462">
        <v>0.92</v>
      </c>
      <c r="L8" s="1463">
        <v>1.29</v>
      </c>
      <c r="M8" s="1471"/>
      <c r="N8" s="1472">
        <f>I8/100</f>
        <v>9.5999999999999992E-3</v>
      </c>
      <c r="O8" s="1473">
        <f t="shared" ref="O8" si="40">J8/100</f>
        <v>1.03E-2</v>
      </c>
      <c r="P8" s="1473">
        <f t="shared" ref="P8" si="41">K8/100</f>
        <v>9.1999999999999998E-3</v>
      </c>
      <c r="Q8" s="1473">
        <f t="shared" ref="Q8" si="42">L8/100</f>
        <v>1.29E-2</v>
      </c>
      <c r="R8" s="1474"/>
      <c r="S8" s="1472"/>
      <c r="T8" s="1473"/>
      <c r="U8" s="1473"/>
      <c r="V8" s="1473"/>
      <c r="W8" s="1790"/>
      <c r="X8" s="1788">
        <f>ROUND(SUMPRODUCT(PRODUCT(1+N8:N$26)),4)</f>
        <v>1.5099</v>
      </c>
      <c r="Y8" s="1788">
        <f>ROUND(SUMPRODUCT(PRODUCT(1+O8:O$26)),4)</f>
        <v>1.3372999999999999</v>
      </c>
      <c r="Z8" s="1788">
        <f t="shared" ref="Z8" si="43">Y8</f>
        <v>1.3372999999999999</v>
      </c>
      <c r="AA8" s="1788">
        <f>ROUND(SUMPRODUCT(PRODUCT(1+P8:P$26)),4)</f>
        <v>1.5683</v>
      </c>
      <c r="AB8" s="1788">
        <f>ROUND(SUMPRODUCT(PRODUCT(1+Q8:Q$26)),4)</f>
        <v>1.3255999999999999</v>
      </c>
      <c r="AC8" s="1790"/>
      <c r="AD8" s="1789">
        <f>ROUND(AVERAGE(I8:I$27)/100,4)</f>
        <v>2.24E-2</v>
      </c>
      <c r="AE8" s="1789">
        <f>ROUND(AVERAGE(J8:J$27)/100,4)</f>
        <v>1.5800000000000002E-2</v>
      </c>
      <c r="AF8" s="1789">
        <f t="shared" ref="AF8" si="44">AE8</f>
        <v>1.5800000000000002E-2</v>
      </c>
      <c r="AG8" s="1789">
        <f>ROUND(AVERAGE(K8:K$27)/100,4)</f>
        <v>2.4500000000000001E-2</v>
      </c>
      <c r="AH8" s="1789">
        <f>ROUND(AVERAGE(L8:L$27)/100,4)</f>
        <v>1.49E-2</v>
      </c>
    </row>
    <row r="9" spans="1:34" s="1466" customFormat="1" ht="14.4" customHeight="1">
      <c r="A9" s="1461" t="s">
        <v>3041</v>
      </c>
      <c r="B9" s="1477">
        <f t="shared" ref="B9" si="45">B10*(1+N9)</f>
        <v>459.95733971036987</v>
      </c>
      <c r="C9" s="1477">
        <f t="shared" ref="C9" si="46">C10*(1+O9)</f>
        <v>341.22221064422405</v>
      </c>
      <c r="D9" s="1477">
        <f t="shared" ref="D9" si="47">C9</f>
        <v>341.22221064422405</v>
      </c>
      <c r="E9" s="1477">
        <f t="shared" ref="E9" si="48">E10*(1+P9)</f>
        <v>657.19161663724799</v>
      </c>
      <c r="F9" s="1477">
        <f t="shared" ref="F9" si="49">F10*(1+Q9)</f>
        <v>300.87803644464805</v>
      </c>
      <c r="G9" s="3281"/>
      <c r="H9" s="1464">
        <v>3</v>
      </c>
      <c r="I9" s="1464">
        <v>1.51</v>
      </c>
      <c r="J9" s="1464">
        <v>1.41</v>
      </c>
      <c r="K9" s="1464">
        <v>1.52</v>
      </c>
      <c r="L9" s="1478">
        <v>1.74</v>
      </c>
      <c r="M9" s="1471"/>
      <c r="N9" s="1472">
        <f>I9/100</f>
        <v>1.5100000000000001E-2</v>
      </c>
      <c r="O9" s="1473">
        <f t="shared" ref="O9" si="50">J9/100</f>
        <v>1.41E-2</v>
      </c>
      <c r="P9" s="1473">
        <f t="shared" ref="P9" si="51">K9/100</f>
        <v>1.52E-2</v>
      </c>
      <c r="Q9" s="1473">
        <f t="shared" ref="Q9" si="52">L9/100</f>
        <v>1.7399999999999999E-2</v>
      </c>
      <c r="R9" s="1474"/>
      <c r="S9" s="1472"/>
      <c r="T9" s="1473"/>
      <c r="U9" s="1473"/>
      <c r="V9" s="1473"/>
      <c r="W9" s="1790"/>
      <c r="X9" s="1788">
        <f>ROUND(SUMPRODUCT(PRODUCT(1+N9:N$26)),4)</f>
        <v>1.4956</v>
      </c>
      <c r="Y9" s="1788">
        <f>ROUND(SUMPRODUCT(PRODUCT(1+O9:O$26)),4)</f>
        <v>1.3237000000000001</v>
      </c>
      <c r="Z9" s="1788">
        <f t="shared" ref="Z9" si="53">Y9</f>
        <v>1.3237000000000001</v>
      </c>
      <c r="AA9" s="1788">
        <f>ROUND(SUMPRODUCT(PRODUCT(1+P9:P$26)),4)</f>
        <v>1.554</v>
      </c>
      <c r="AB9" s="1788">
        <f>ROUND(SUMPRODUCT(PRODUCT(1+Q9:Q$26)),4)</f>
        <v>1.3087</v>
      </c>
      <c r="AC9" s="1790"/>
      <c r="AD9" s="1789">
        <f>ROUND(AVERAGE(I9:I$27)/100,4)</f>
        <v>2.3099999999999999E-2</v>
      </c>
      <c r="AE9" s="1789">
        <f>ROUND(AVERAGE(J9:J$27)/100,4)</f>
        <v>1.61E-2</v>
      </c>
      <c r="AF9" s="1789">
        <f t="shared" ref="AF9" si="54">AE9</f>
        <v>1.61E-2</v>
      </c>
      <c r="AG9" s="1789">
        <f>ROUND(AVERAGE(K9:K$27)/100,4)</f>
        <v>2.53E-2</v>
      </c>
      <c r="AH9" s="1789">
        <f>ROUND(AVERAGE(L9:L$27)/100,4)</f>
        <v>1.4999999999999999E-2</v>
      </c>
    </row>
    <row r="10" spans="1:34" s="1466" customFormat="1" ht="14.4" customHeight="1">
      <c r="A10" s="1461" t="s">
        <v>3040</v>
      </c>
      <c r="B10" s="1477">
        <f t="shared" ref="B10" si="55">B11*(1+N10)</f>
        <v>453.11529869999993</v>
      </c>
      <c r="C10" s="1477">
        <f t="shared" ref="C10" si="56">C11*(1+O10)</f>
        <v>336.47787264000004</v>
      </c>
      <c r="D10" s="1477">
        <f t="shared" ref="D10" si="57">C10</f>
        <v>336.47787264000004</v>
      </c>
      <c r="E10" s="1477">
        <f t="shared" ref="E10" si="58">E11*(1+P10)</f>
        <v>647.35186823999993</v>
      </c>
      <c r="F10" s="1477">
        <f t="shared" ref="F10" si="59">F11*(1+Q10)</f>
        <v>295.73229452000004</v>
      </c>
      <c r="G10" s="3281"/>
      <c r="H10" s="1465">
        <v>2</v>
      </c>
      <c r="I10" s="1465">
        <v>1.49</v>
      </c>
      <c r="J10" s="1465">
        <v>0.96</v>
      </c>
      <c r="K10" s="1465">
        <v>1.58</v>
      </c>
      <c r="L10" s="1479">
        <v>2.44</v>
      </c>
      <c r="M10" s="1471"/>
      <c r="N10" s="1472">
        <f t="shared" ref="N10" si="60">I10/100</f>
        <v>1.49E-2</v>
      </c>
      <c r="O10" s="1473">
        <f t="shared" ref="O10" si="61">J10/100</f>
        <v>9.5999999999999992E-3</v>
      </c>
      <c r="P10" s="1473">
        <f t="shared" ref="P10" si="62">K10/100</f>
        <v>1.5800000000000002E-2</v>
      </c>
      <c r="Q10" s="1473">
        <f t="shared" ref="Q10" si="63">L10/100</f>
        <v>2.4399999999999998E-2</v>
      </c>
      <c r="R10" s="1474"/>
      <c r="S10" s="1472"/>
      <c r="T10" s="1473"/>
      <c r="U10" s="1473"/>
      <c r="V10" s="1473"/>
      <c r="W10" s="1790"/>
      <c r="X10" s="1788">
        <f>ROUND(SUMPRODUCT(PRODUCT(1+N10:N$26)),4)</f>
        <v>1.4733000000000001</v>
      </c>
      <c r="Y10" s="1788">
        <f>ROUND(SUMPRODUCT(PRODUCT(1+O10:O$26)),4)</f>
        <v>1.3052999999999999</v>
      </c>
      <c r="Z10" s="1788">
        <f t="shared" ref="Z10" si="64">Y10</f>
        <v>1.3052999999999999</v>
      </c>
      <c r="AA10" s="1788">
        <f>ROUND(SUMPRODUCT(PRODUCT(1+P10:P$26)),4)</f>
        <v>1.5306999999999999</v>
      </c>
      <c r="AB10" s="1788">
        <f>ROUND(SUMPRODUCT(PRODUCT(1+Q10:Q$26)),4)</f>
        <v>1.2863</v>
      </c>
      <c r="AC10" s="1790"/>
      <c r="AD10" s="1789">
        <f>ROUND(AVERAGE(I10:I$27)/100,4)</f>
        <v>2.35E-2</v>
      </c>
      <c r="AE10" s="1789">
        <f>ROUND(AVERAGE(J10:J$27)/100,4)</f>
        <v>1.6199999999999999E-2</v>
      </c>
      <c r="AF10" s="1789">
        <f t="shared" ref="AF10" si="65">AE10</f>
        <v>1.6199999999999999E-2</v>
      </c>
      <c r="AG10" s="1789">
        <f>ROUND(AVERAGE(K10:K$27)/100,4)</f>
        <v>2.5899999999999999E-2</v>
      </c>
      <c r="AH10" s="1789">
        <f>ROUND(AVERAGE(L10:L$27)/100,4)</f>
        <v>1.49E-2</v>
      </c>
    </row>
    <row r="11" spans="1:34" s="1466" customFormat="1" ht="15" customHeight="1" thickBot="1">
      <c r="A11" s="1461" t="s">
        <v>3033</v>
      </c>
      <c r="B11" s="1477">
        <f t="shared" ref="B11" si="66">B12*(1+N11)</f>
        <v>446.46299999999997</v>
      </c>
      <c r="C11" s="1477">
        <f t="shared" ref="C11" si="67">C12*(1+O11)</f>
        <v>333.27840000000003</v>
      </c>
      <c r="D11" s="1477">
        <f t="shared" ref="D11" si="68">C11</f>
        <v>333.27840000000003</v>
      </c>
      <c r="E11" s="1477">
        <f t="shared" ref="E11" si="69">E12*(1+P11)</f>
        <v>637.28279999999995</v>
      </c>
      <c r="F11" s="1477">
        <f t="shared" ref="F11" si="70">F12*(1+Q11)</f>
        <v>288.68830000000003</v>
      </c>
      <c r="G11" s="3288"/>
      <c r="H11" s="1464">
        <v>1</v>
      </c>
      <c r="I11" s="1464">
        <v>1.7</v>
      </c>
      <c r="J11" s="1464">
        <v>1.92</v>
      </c>
      <c r="K11" s="1464">
        <v>1.64</v>
      </c>
      <c r="L11" s="1478">
        <v>2.0099999999999998</v>
      </c>
      <c r="M11" s="1471"/>
      <c r="N11" s="1472">
        <f t="shared" ref="N11:N16" si="71">I11/100</f>
        <v>1.7000000000000001E-2</v>
      </c>
      <c r="O11" s="1473">
        <f t="shared" ref="O11" si="72">J11/100</f>
        <v>1.9199999999999998E-2</v>
      </c>
      <c r="P11" s="1473">
        <f t="shared" ref="P11" si="73">K11/100</f>
        <v>1.6399999999999998E-2</v>
      </c>
      <c r="Q11" s="1473">
        <f t="shared" ref="Q11" si="74">L11/100</f>
        <v>2.0099999999999996E-2</v>
      </c>
      <c r="R11" s="1474"/>
      <c r="S11" s="1472">
        <f>B11/B12-1</f>
        <v>1.6999999999999904E-2</v>
      </c>
      <c r="T11" s="1473">
        <f t="shared" ref="T11" si="75">C11/C12-1</f>
        <v>1.9200000000000106E-2</v>
      </c>
      <c r="U11" s="1473">
        <f t="shared" ref="U11" si="76">D11/D12-1</f>
        <v>1.9200000000000106E-2</v>
      </c>
      <c r="V11" s="1473">
        <f t="shared" ref="V11" si="77">E11/E12-1</f>
        <v>1.639999999999997E-2</v>
      </c>
      <c r="W11" s="1790"/>
      <c r="X11" s="1788">
        <f>ROUND(SUMPRODUCT(PRODUCT(1+N11:N$26)),4)</f>
        <v>1.4517</v>
      </c>
      <c r="Y11" s="1788">
        <f>ROUND(SUMPRODUCT(PRODUCT(1+O11:O$26)),4)</f>
        <v>1.2928999999999999</v>
      </c>
      <c r="Z11" s="1788">
        <f t="shared" ref="Z11" si="78">Y11</f>
        <v>1.2928999999999999</v>
      </c>
      <c r="AA11" s="1788">
        <f>ROUND(SUMPRODUCT(PRODUCT(1+P11:P$26)),4)</f>
        <v>1.5068999999999999</v>
      </c>
      <c r="AB11" s="1788">
        <f>ROUND(SUMPRODUCT(PRODUCT(1+Q11:Q$26)),4)</f>
        <v>1.2557</v>
      </c>
      <c r="AC11" s="1790"/>
      <c r="AD11" s="1789">
        <f>ROUND(AVERAGE(I11:I$27)/100,4)</f>
        <v>2.4E-2</v>
      </c>
      <c r="AE11" s="1789">
        <f>ROUND(AVERAGE(J11:J$27)/100,4)</f>
        <v>1.66E-2</v>
      </c>
      <c r="AF11" s="1789">
        <f t="shared" ref="AF11" si="79">AE11</f>
        <v>1.66E-2</v>
      </c>
      <c r="AG11" s="1789">
        <f>ROUND(AVERAGE(K11:K$27)/100,4)</f>
        <v>2.6499999999999999E-2</v>
      </c>
      <c r="AH11" s="1789">
        <f>ROUND(AVERAGE(L11:L$27)/100,4)</f>
        <v>1.43E-2</v>
      </c>
    </row>
    <row r="12" spans="1:34">
      <c r="A12" s="1461" t="s">
        <v>3030</v>
      </c>
      <c r="B12" s="1469">
        <v>439</v>
      </c>
      <c r="C12" s="1469">
        <v>327</v>
      </c>
      <c r="D12" s="1469">
        <f>C12</f>
        <v>327</v>
      </c>
      <c r="E12" s="1469">
        <v>627</v>
      </c>
      <c r="F12" s="1470">
        <v>283</v>
      </c>
      <c r="G12" s="3284">
        <v>2017</v>
      </c>
      <c r="H12" s="1462">
        <v>4</v>
      </c>
      <c r="I12" s="1462">
        <v>1.71</v>
      </c>
      <c r="J12" s="1462">
        <v>1.78</v>
      </c>
      <c r="K12" s="1462">
        <v>1.71</v>
      </c>
      <c r="L12" s="1463">
        <v>1.43</v>
      </c>
      <c r="N12" s="1472">
        <f t="shared" si="71"/>
        <v>1.7100000000000001E-2</v>
      </c>
      <c r="O12" s="1473">
        <f t="shared" ref="O12" si="80">J12/100</f>
        <v>1.78E-2</v>
      </c>
      <c r="P12" s="1473">
        <f t="shared" ref="P12" si="81">K12/100</f>
        <v>1.7100000000000001E-2</v>
      </c>
      <c r="Q12" s="1473">
        <f t="shared" ref="Q12" si="82">L12/100</f>
        <v>1.43E-2</v>
      </c>
      <c r="R12" s="1474"/>
      <c r="S12" s="1475"/>
      <c r="T12" s="1476"/>
      <c r="U12" s="1476"/>
      <c r="V12" s="1476"/>
      <c r="X12" s="1459">
        <f>ROUND(SUMPRODUCT(PRODUCT(1+N12:N$26)),4)</f>
        <v>1.4274</v>
      </c>
      <c r="Y12" s="1459">
        <f>ROUND(SUMPRODUCT(PRODUCT(1+O12:O$26)),4)</f>
        <v>1.2685</v>
      </c>
      <c r="Z12" s="1459">
        <f t="shared" si="0"/>
        <v>1.2685</v>
      </c>
      <c r="AA12" s="1459">
        <f>ROUND(SUMPRODUCT(PRODUCT(1+P12:P$26)),4)</f>
        <v>1.4825999999999999</v>
      </c>
      <c r="AB12" s="1459">
        <f>ROUND(SUMPRODUCT(PRODUCT(1+Q12:Q$26)),4)</f>
        <v>1.2309000000000001</v>
      </c>
      <c r="AD12" s="1460">
        <f>ROUND(AVERAGE(I12:I$27)/100,4)</f>
        <v>2.4500000000000001E-2</v>
      </c>
      <c r="AE12" s="1460">
        <f>ROUND(AVERAGE(J12:J$27)/100,4)</f>
        <v>1.6500000000000001E-2</v>
      </c>
      <c r="AF12" s="1460">
        <f t="shared" si="1"/>
        <v>1.6500000000000001E-2</v>
      </c>
      <c r="AG12" s="1460">
        <f>ROUND(AVERAGE(K12:K$27)/100,4)</f>
        <v>2.7099999999999999E-2</v>
      </c>
      <c r="AH12" s="1460">
        <f>ROUND(AVERAGE(L12:L$27)/100,4)</f>
        <v>1.3899999999999999E-2</v>
      </c>
    </row>
    <row r="13" spans="1:34" s="1466" customFormat="1" ht="14.4" customHeight="1">
      <c r="A13" s="1461" t="s">
        <v>3031</v>
      </c>
      <c r="B13" s="1477">
        <f t="shared" ref="B13:B14" si="83">B14*(1+N13)</f>
        <v>431.80730811680002</v>
      </c>
      <c r="C13" s="1477">
        <f t="shared" ref="C13:C14" si="84">C14*(1+O13)</f>
        <v>320.57880516480003</v>
      </c>
      <c r="D13" s="1477">
        <f t="shared" ref="D13:D14" si="85">C13</f>
        <v>320.57880516480003</v>
      </c>
      <c r="E13" s="1477">
        <f t="shared" ref="E13:E14" si="86">E14*(1+P13)</f>
        <v>615.96110553196797</v>
      </c>
      <c r="F13" s="1477">
        <f t="shared" ref="F13:F14" si="87">F14*(1+Q13)</f>
        <v>279.46777300108801</v>
      </c>
      <c r="G13" s="3281"/>
      <c r="H13" s="1464">
        <v>3</v>
      </c>
      <c r="I13" s="1464">
        <v>2.98</v>
      </c>
      <c r="J13" s="1464">
        <v>2.11</v>
      </c>
      <c r="K13" s="1464">
        <v>3.24</v>
      </c>
      <c r="L13" s="1478">
        <v>1.72</v>
      </c>
      <c r="M13" s="1471"/>
      <c r="N13" s="1472">
        <f t="shared" si="71"/>
        <v>2.98E-2</v>
      </c>
      <c r="O13" s="1473">
        <f t="shared" ref="O13" si="88">J13/100</f>
        <v>2.1099999999999997E-2</v>
      </c>
      <c r="P13" s="1473">
        <f t="shared" ref="P13" si="89">K13/100</f>
        <v>3.2400000000000005E-2</v>
      </c>
      <c r="Q13" s="1473">
        <f t="shared" ref="Q13" si="90">L13/100</f>
        <v>1.72E-2</v>
      </c>
      <c r="R13" s="1474"/>
      <c r="S13" s="1472"/>
      <c r="T13" s="1473"/>
      <c r="U13" s="1473"/>
      <c r="V13" s="1473"/>
      <c r="W13" s="1790"/>
      <c r="X13" s="1788">
        <f>ROUND(SUMPRODUCT(PRODUCT(1+N13:N$26)),4)</f>
        <v>1.4034</v>
      </c>
      <c r="Y13" s="1788">
        <f>ROUND(SUMPRODUCT(PRODUCT(1+O13:O$26)),4)</f>
        <v>1.2463</v>
      </c>
      <c r="Z13" s="1788">
        <f t="shared" si="0"/>
        <v>1.2463</v>
      </c>
      <c r="AA13" s="1788">
        <f>ROUND(SUMPRODUCT(PRODUCT(1+P13:P$26)),4)</f>
        <v>1.4577</v>
      </c>
      <c r="AB13" s="1788">
        <f>ROUND(SUMPRODUCT(PRODUCT(1+Q13:Q$26)),4)</f>
        <v>1.2136</v>
      </c>
      <c r="AC13" s="1790"/>
      <c r="AD13" s="1789">
        <f>ROUND(AVERAGE(I13:I$27)/100,4)</f>
        <v>2.4899999999999999E-2</v>
      </c>
      <c r="AE13" s="1789">
        <f>ROUND(AVERAGE(J13:J$27)/100,4)</f>
        <v>1.6400000000000001E-2</v>
      </c>
      <c r="AF13" s="1789">
        <f t="shared" si="1"/>
        <v>1.6400000000000001E-2</v>
      </c>
      <c r="AG13" s="1789">
        <f>ROUND(AVERAGE(K13:K$27)/100,4)</f>
        <v>2.7799999999999998E-2</v>
      </c>
      <c r="AH13" s="1789">
        <f>ROUND(AVERAGE(L13:L$27)/100,4)</f>
        <v>1.3899999999999999E-2</v>
      </c>
    </row>
    <row r="14" spans="1:34" s="1731" customFormat="1" ht="14.4" customHeight="1">
      <c r="A14" s="1461" t="s">
        <v>1381</v>
      </c>
      <c r="B14" s="1477">
        <f t="shared" si="83"/>
        <v>419.31181600000002</v>
      </c>
      <c r="C14" s="1477">
        <f t="shared" si="84"/>
        <v>313.95436800000004</v>
      </c>
      <c r="D14" s="1477">
        <f t="shared" si="85"/>
        <v>313.95436800000004</v>
      </c>
      <c r="E14" s="1477">
        <f t="shared" si="86"/>
        <v>596.63028431999999</v>
      </c>
      <c r="F14" s="1477">
        <f t="shared" si="87"/>
        <v>274.74220703999998</v>
      </c>
      <c r="G14" s="3281"/>
      <c r="H14" s="1465">
        <v>2</v>
      </c>
      <c r="I14" s="1465">
        <v>3.4</v>
      </c>
      <c r="J14" s="1465">
        <v>2</v>
      </c>
      <c r="K14" s="1465">
        <v>3.82</v>
      </c>
      <c r="L14" s="1479">
        <v>1.68</v>
      </c>
      <c r="M14" s="1471"/>
      <c r="N14" s="1472">
        <f t="shared" si="71"/>
        <v>3.4000000000000002E-2</v>
      </c>
      <c r="O14" s="1473">
        <f t="shared" ref="O14" si="91">J14/100</f>
        <v>0.02</v>
      </c>
      <c r="P14" s="1473">
        <f t="shared" ref="P14" si="92">K14/100</f>
        <v>3.8199999999999998E-2</v>
      </c>
      <c r="Q14" s="1473">
        <f t="shared" ref="Q14" si="93">L14/100</f>
        <v>1.6799999999999999E-2</v>
      </c>
      <c r="R14" s="1474"/>
      <c r="S14" s="1475"/>
      <c r="T14" s="1476"/>
      <c r="U14" s="1476"/>
      <c r="V14" s="1476"/>
      <c r="W14" s="1453"/>
      <c r="X14" s="1788">
        <f>ROUND(SUMPRODUCT(PRODUCT(1+N14:N$26)),4)</f>
        <v>1.3628</v>
      </c>
      <c r="Y14" s="1788">
        <f>ROUND(SUMPRODUCT(PRODUCT(1+O14:O$26)),4)</f>
        <v>1.2205999999999999</v>
      </c>
      <c r="Z14" s="1788">
        <f t="shared" si="0"/>
        <v>1.2205999999999999</v>
      </c>
      <c r="AA14" s="1788">
        <f>ROUND(SUMPRODUCT(PRODUCT(1+P14:P$26)),4)</f>
        <v>1.4118999999999999</v>
      </c>
      <c r="AB14" s="1788">
        <f>ROUND(SUMPRODUCT(PRODUCT(1+Q14:Q$26)),4)</f>
        <v>1.1930000000000001</v>
      </c>
      <c r="AC14" s="1453"/>
      <c r="AD14" s="1789">
        <f>ROUND(AVERAGE(I14:I$27)/100,4)</f>
        <v>2.46E-2</v>
      </c>
      <c r="AE14" s="1789">
        <f>ROUND(AVERAGE(J14:J$27)/100,4)</f>
        <v>1.6E-2</v>
      </c>
      <c r="AF14" s="1789">
        <f t="shared" si="1"/>
        <v>1.6E-2</v>
      </c>
      <c r="AG14" s="1789">
        <f>ROUND(AVERAGE(K14:K$27)/100,4)</f>
        <v>2.75E-2</v>
      </c>
      <c r="AH14" s="1789">
        <f>ROUND(AVERAGE(L14:L$27)/100,4)</f>
        <v>1.37E-2</v>
      </c>
    </row>
    <row r="15" spans="1:34" s="1466" customFormat="1" ht="15" customHeight="1" thickBot="1">
      <c r="A15" s="1461" t="s">
        <v>1157</v>
      </c>
      <c r="B15" s="1477">
        <f>B16*(1+N15)</f>
        <v>405.524</v>
      </c>
      <c r="C15" s="1477">
        <f>C16*(1+O15)</f>
        <v>307.79840000000002</v>
      </c>
      <c r="D15" s="1477">
        <f>C15</f>
        <v>307.79840000000002</v>
      </c>
      <c r="E15" s="1477">
        <f>E16*(1+P15)</f>
        <v>574.67759999999998</v>
      </c>
      <c r="F15" s="1477">
        <f>F16*(1+Q15)</f>
        <v>270.20280000000002</v>
      </c>
      <c r="G15" s="3288"/>
      <c r="H15" s="1464">
        <v>1</v>
      </c>
      <c r="I15" s="1464">
        <v>3.45</v>
      </c>
      <c r="J15" s="1464">
        <v>1.92</v>
      </c>
      <c r="K15" s="1464">
        <v>3.92</v>
      </c>
      <c r="L15" s="1478">
        <v>1.58</v>
      </c>
      <c r="M15" s="1471"/>
      <c r="N15" s="1472">
        <f t="shared" si="71"/>
        <v>3.4500000000000003E-2</v>
      </c>
      <c r="O15" s="1473">
        <f t="shared" ref="O15:Q30" si="94">J15/100</f>
        <v>1.9199999999999998E-2</v>
      </c>
      <c r="P15" s="1473">
        <f t="shared" si="94"/>
        <v>3.9199999999999999E-2</v>
      </c>
      <c r="Q15" s="1473">
        <f t="shared" si="94"/>
        <v>1.5800000000000002E-2</v>
      </c>
      <c r="R15" s="1474"/>
      <c r="S15" s="1472">
        <f>B15/B16-1</f>
        <v>3.4499999999999975E-2</v>
      </c>
      <c r="T15" s="1473">
        <f t="shared" ref="T15:V15" si="95">C15/C16-1</f>
        <v>1.9200000000000106E-2</v>
      </c>
      <c r="U15" s="1473">
        <f t="shared" si="95"/>
        <v>1.9200000000000106E-2</v>
      </c>
      <c r="V15" s="1473">
        <f t="shared" si="95"/>
        <v>3.9199999999999902E-2</v>
      </c>
      <c r="W15" s="1790"/>
      <c r="X15" s="1788">
        <f>ROUND(SUMPRODUCT(PRODUCT(1+N15:N$26)),4)</f>
        <v>1.3180000000000001</v>
      </c>
      <c r="Y15" s="1788">
        <f>ROUND(SUMPRODUCT(PRODUCT(1+O15:O$26)),4)</f>
        <v>1.1966000000000001</v>
      </c>
      <c r="Z15" s="1788">
        <f t="shared" si="0"/>
        <v>1.1966000000000001</v>
      </c>
      <c r="AA15" s="1788">
        <f>ROUND(SUMPRODUCT(PRODUCT(1+P15:P$26)),4)</f>
        <v>1.36</v>
      </c>
      <c r="AB15" s="1788">
        <f>ROUND(SUMPRODUCT(PRODUCT(1+Q15:Q$26)),4)</f>
        <v>1.1733</v>
      </c>
      <c r="AC15" s="1790"/>
      <c r="AD15" s="1789">
        <f>ROUND(AVERAGE(I15:I$27)/100,4)</f>
        <v>2.3900000000000001E-2</v>
      </c>
      <c r="AE15" s="1789">
        <f>ROUND(AVERAGE(J15:J$27)/100,4)</f>
        <v>1.5699999999999999E-2</v>
      </c>
      <c r="AF15" s="1789">
        <f t="shared" si="1"/>
        <v>1.5699999999999999E-2</v>
      </c>
      <c r="AG15" s="1789">
        <f>ROUND(AVERAGE(K15:K$27)/100,4)</f>
        <v>2.6599999999999999E-2</v>
      </c>
      <c r="AH15" s="1789">
        <f>ROUND(AVERAGE(L15:L$27)/100,4)</f>
        <v>1.34E-2</v>
      </c>
    </row>
    <row r="16" spans="1:34">
      <c r="A16" s="1461" t="s">
        <v>154</v>
      </c>
      <c r="B16" s="1469">
        <v>392</v>
      </c>
      <c r="C16" s="1469">
        <v>302</v>
      </c>
      <c r="D16" s="1469">
        <f>C16</f>
        <v>302</v>
      </c>
      <c r="E16" s="1469">
        <v>553</v>
      </c>
      <c r="F16" s="1470">
        <v>266</v>
      </c>
      <c r="G16" s="3284">
        <v>2016</v>
      </c>
      <c r="H16" s="1462">
        <v>4</v>
      </c>
      <c r="I16" s="1462">
        <v>4.5599999999999996</v>
      </c>
      <c r="J16" s="1462">
        <v>2.15</v>
      </c>
      <c r="K16" s="1462">
        <v>5.32</v>
      </c>
      <c r="L16" s="1463">
        <v>1.57</v>
      </c>
      <c r="N16" s="1472">
        <f t="shared" si="71"/>
        <v>4.5599999999999995E-2</v>
      </c>
      <c r="O16" s="1473">
        <f t="shared" si="94"/>
        <v>2.1499999999999998E-2</v>
      </c>
      <c r="P16" s="1473">
        <f t="shared" si="94"/>
        <v>5.3200000000000004E-2</v>
      </c>
      <c r="Q16" s="1473">
        <f t="shared" si="94"/>
        <v>1.5700000000000002E-2</v>
      </c>
      <c r="R16" s="1474"/>
      <c r="S16" s="1475"/>
      <c r="T16" s="1476"/>
      <c r="U16" s="1476"/>
      <c r="V16" s="1476"/>
      <c r="X16" s="1459">
        <f>ROUND(SUMPRODUCT(PRODUCT(1+N16:N$26)),4)</f>
        <v>1.274</v>
      </c>
      <c r="Y16" s="1459">
        <f>ROUND(SUMPRODUCT(PRODUCT(1+O16:O$26)),4)</f>
        <v>1.1740999999999999</v>
      </c>
      <c r="Z16" s="1459">
        <f t="shared" si="0"/>
        <v>1.1740999999999999</v>
      </c>
      <c r="AA16" s="1459">
        <f>ROUND(SUMPRODUCT(PRODUCT(1+P16:P$26)),4)</f>
        <v>1.3087</v>
      </c>
      <c r="AB16" s="1459">
        <f>ROUND(SUMPRODUCT(PRODUCT(1+Q16:Q$26)),4)</f>
        <v>1.1551</v>
      </c>
      <c r="AD16" s="1460">
        <f>ROUND(AVERAGE(I16:I$27)/100,4)</f>
        <v>2.3E-2</v>
      </c>
      <c r="AE16" s="1460">
        <f>ROUND(AVERAGE(J16:J$27)/100,4)</f>
        <v>1.55E-2</v>
      </c>
      <c r="AF16" s="1460">
        <f t="shared" si="1"/>
        <v>1.55E-2</v>
      </c>
      <c r="AG16" s="1460">
        <f>ROUND(AVERAGE(K16:K$27)/100,4)</f>
        <v>2.5600000000000001E-2</v>
      </c>
      <c r="AH16" s="1460">
        <f>ROUND(AVERAGE(L16:L$27)/100,4)</f>
        <v>1.32E-2</v>
      </c>
    </row>
    <row r="17" spans="1:34">
      <c r="A17" s="1461" t="s">
        <v>153</v>
      </c>
      <c r="B17" s="1477">
        <f t="shared" ref="B17:C19" si="96">B16/(1+N16)</f>
        <v>374.90436113236416</v>
      </c>
      <c r="C17" s="1477">
        <f t="shared" si="96"/>
        <v>295.64366128242779</v>
      </c>
      <c r="D17" s="1477">
        <f t="shared" ref="D17:D76" si="97">C17</f>
        <v>295.64366128242779</v>
      </c>
      <c r="E17" s="1477">
        <f t="shared" ref="E17:F19" si="98">E16/(1+P16)</f>
        <v>525.06646410938095</v>
      </c>
      <c r="F17" s="1477">
        <f t="shared" si="98"/>
        <v>261.88835286009646</v>
      </c>
      <c r="G17" s="3281"/>
      <c r="H17" s="1464">
        <v>3</v>
      </c>
      <c r="I17" s="1464">
        <v>4.12</v>
      </c>
      <c r="J17" s="1464">
        <v>2</v>
      </c>
      <c r="K17" s="1464">
        <v>4.79</v>
      </c>
      <c r="L17" s="1478">
        <v>1.97</v>
      </c>
      <c r="N17" s="1472">
        <f t="shared" ref="N17:Q51" si="99">I17/100</f>
        <v>4.1200000000000001E-2</v>
      </c>
      <c r="O17" s="1473">
        <f t="shared" si="94"/>
        <v>0.02</v>
      </c>
      <c r="P17" s="1473">
        <f t="shared" si="94"/>
        <v>4.7899999999999998E-2</v>
      </c>
      <c r="Q17" s="1473">
        <f t="shared" si="94"/>
        <v>1.9699999999999999E-2</v>
      </c>
      <c r="R17" s="1474"/>
      <c r="S17" s="1472"/>
      <c r="T17" s="1473"/>
      <c r="U17" s="1473"/>
      <c r="V17" s="1473"/>
      <c r="X17" s="1459">
        <f>ROUND(SUMPRODUCT(PRODUCT(1+N17:N$26)),4)</f>
        <v>1.2184999999999999</v>
      </c>
      <c r="Y17" s="1459">
        <f>ROUND(SUMPRODUCT(PRODUCT(1+O17:O$26)),4)</f>
        <v>1.1494</v>
      </c>
      <c r="Z17" s="1459">
        <f t="shared" si="0"/>
        <v>1.1494</v>
      </c>
      <c r="AA17" s="1459">
        <f>ROUND(SUMPRODUCT(PRODUCT(1+P17:P$26)),4)</f>
        <v>1.2425999999999999</v>
      </c>
      <c r="AB17" s="1459">
        <f>ROUND(SUMPRODUCT(PRODUCT(1+Q17:Q$26)),4)</f>
        <v>1.1372</v>
      </c>
      <c r="AD17" s="1460">
        <f>ROUND(AVERAGE(I17:I$27)/100,4)</f>
        <v>2.0899999999999998E-2</v>
      </c>
      <c r="AE17" s="1460">
        <f>ROUND(AVERAGE(J17:J$27)/100,4)</f>
        <v>1.49E-2</v>
      </c>
      <c r="AF17" s="1460">
        <f t="shared" si="1"/>
        <v>1.49E-2</v>
      </c>
      <c r="AG17" s="1460">
        <f>ROUND(AVERAGE(K17:K$27)/100,4)</f>
        <v>2.3099999999999999E-2</v>
      </c>
      <c r="AH17" s="1460">
        <f>ROUND(AVERAGE(L17:L$27)/100,4)</f>
        <v>1.2999999999999999E-2</v>
      </c>
    </row>
    <row r="18" spans="1:34">
      <c r="A18" s="1461" t="s">
        <v>143</v>
      </c>
      <c r="B18" s="1477">
        <f t="shared" si="96"/>
        <v>360.06949782209392</v>
      </c>
      <c r="C18" s="1477">
        <f t="shared" si="96"/>
        <v>289.84672674747821</v>
      </c>
      <c r="D18" s="1477">
        <f t="shared" si="97"/>
        <v>289.84672674747821</v>
      </c>
      <c r="E18" s="1477">
        <f t="shared" si="98"/>
        <v>501.06543001181495</v>
      </c>
      <c r="F18" s="1477">
        <f t="shared" si="98"/>
        <v>256.82882500744967</v>
      </c>
      <c r="G18" s="3281"/>
      <c r="H18" s="1465">
        <v>2</v>
      </c>
      <c r="I18" s="1465">
        <v>3.85</v>
      </c>
      <c r="J18" s="1465">
        <v>1.95</v>
      </c>
      <c r="K18" s="1465">
        <v>4.4800000000000004</v>
      </c>
      <c r="L18" s="1479">
        <v>1.41</v>
      </c>
      <c r="N18" s="1472">
        <f t="shared" si="99"/>
        <v>3.85E-2</v>
      </c>
      <c r="O18" s="1473">
        <f t="shared" si="94"/>
        <v>1.95E-2</v>
      </c>
      <c r="P18" s="1473">
        <f t="shared" si="94"/>
        <v>4.4800000000000006E-2</v>
      </c>
      <c r="Q18" s="1473">
        <f t="shared" si="94"/>
        <v>1.41E-2</v>
      </c>
      <c r="R18" s="1474"/>
      <c r="S18" s="1472"/>
      <c r="T18" s="1473"/>
      <c r="U18" s="1473"/>
      <c r="V18" s="1473"/>
      <c r="X18" s="1459">
        <f>ROUND(SUMPRODUCT(PRODUCT(1+N18:N$26)),4)</f>
        <v>1.1702999999999999</v>
      </c>
      <c r="Y18" s="1459">
        <f>ROUND(SUMPRODUCT(PRODUCT(1+O18:O$26)),4)</f>
        <v>1.1269</v>
      </c>
      <c r="Z18" s="1459">
        <f t="shared" si="0"/>
        <v>1.1269</v>
      </c>
      <c r="AA18" s="1459">
        <f>ROUND(SUMPRODUCT(PRODUCT(1+P18:P$26)),4)</f>
        <v>1.1858</v>
      </c>
      <c r="AB18" s="1459">
        <f>ROUND(SUMPRODUCT(PRODUCT(1+Q18:Q$26)),4)</f>
        <v>1.1152</v>
      </c>
      <c r="AD18" s="1460">
        <f>ROUND(AVERAGE(I18:I$27)/100,4)</f>
        <v>1.89E-2</v>
      </c>
      <c r="AE18" s="1460">
        <f>ROUND(AVERAGE(J18:J$27)/100,4)</f>
        <v>1.44E-2</v>
      </c>
      <c r="AF18" s="1460">
        <f t="shared" si="1"/>
        <v>1.44E-2</v>
      </c>
      <c r="AG18" s="1460">
        <f>ROUND(AVERAGE(K18:K$27)/100,4)</f>
        <v>2.06E-2</v>
      </c>
      <c r="AH18" s="1460">
        <f>ROUND(AVERAGE(L18:L$27)/100,4)</f>
        <v>1.23E-2</v>
      </c>
    </row>
    <row r="19" spans="1:34" ht="13.8" thickBot="1">
      <c r="A19" s="1461" t="s">
        <v>152</v>
      </c>
      <c r="B19" s="1477">
        <f t="shared" si="96"/>
        <v>346.720748986128</v>
      </c>
      <c r="C19" s="1477">
        <f t="shared" si="96"/>
        <v>284.30282172386285</v>
      </c>
      <c r="D19" s="1477">
        <f t="shared" si="97"/>
        <v>284.30282172386285</v>
      </c>
      <c r="E19" s="1477">
        <f t="shared" si="98"/>
        <v>479.58023546306947</v>
      </c>
      <c r="F19" s="1477">
        <f t="shared" si="98"/>
        <v>253.25788877571213</v>
      </c>
      <c r="G19" s="3282"/>
      <c r="H19" s="1464">
        <v>1</v>
      </c>
      <c r="I19" s="1464">
        <v>4.09</v>
      </c>
      <c r="J19" s="1464">
        <v>2.93</v>
      </c>
      <c r="K19" s="1464">
        <v>4.54</v>
      </c>
      <c r="L19" s="1478">
        <v>1.48</v>
      </c>
      <c r="N19" s="1472">
        <f t="shared" si="99"/>
        <v>4.0899999999999999E-2</v>
      </c>
      <c r="O19" s="1473">
        <f t="shared" si="94"/>
        <v>2.9300000000000003E-2</v>
      </c>
      <c r="P19" s="1473">
        <f t="shared" si="94"/>
        <v>4.5400000000000003E-2</v>
      </c>
      <c r="Q19" s="1473">
        <f t="shared" si="94"/>
        <v>1.4800000000000001E-2</v>
      </c>
      <c r="R19" s="1474"/>
      <c r="S19" s="1480">
        <f>B19/B20-1</f>
        <v>4.1203450408792808E-2</v>
      </c>
      <c r="T19" s="1481">
        <f>C19/C20-1</f>
        <v>2.6363977342465095E-2</v>
      </c>
      <c r="U19" s="1481">
        <f>E19/E20-1</f>
        <v>4.4837114298626357E-2</v>
      </c>
      <c r="V19" s="1481">
        <f>F19/F20-1</f>
        <v>1.7099954922538574E-2</v>
      </c>
      <c r="X19" s="1459">
        <f>ROUND(SUMPRODUCT(PRODUCT(1+N19:N$26)),4)</f>
        <v>1.1269</v>
      </c>
      <c r="Y19" s="1459">
        <f>ROUND(SUMPRODUCT(PRODUCT(1+O19:O$26)),4)</f>
        <v>1.1052999999999999</v>
      </c>
      <c r="Z19" s="1459">
        <f t="shared" si="0"/>
        <v>1.1052999999999999</v>
      </c>
      <c r="AA19" s="1459">
        <f>ROUND(SUMPRODUCT(PRODUCT(1+P19:P$26)),4)</f>
        <v>1.1349</v>
      </c>
      <c r="AB19" s="1459">
        <f>ROUND(SUMPRODUCT(PRODUCT(1+Q19:Q$26)),4)</f>
        <v>1.0996999999999999</v>
      </c>
      <c r="AD19" s="1460">
        <f>ROUND(AVERAGE(I19:I$27)/100,4)</f>
        <v>1.67E-2</v>
      </c>
      <c r="AE19" s="1460">
        <f>ROUND(AVERAGE(J19:J$27)/100,4)</f>
        <v>1.38E-2</v>
      </c>
      <c r="AF19" s="1460">
        <f t="shared" si="1"/>
        <v>1.38E-2</v>
      </c>
      <c r="AG19" s="1460">
        <f>ROUND(AVERAGE(K19:K$27)/100,4)</f>
        <v>1.7899999999999999E-2</v>
      </c>
      <c r="AH19" s="1460">
        <f>ROUND(AVERAGE(L19:L$27)/100,4)</f>
        <v>1.21E-2</v>
      </c>
    </row>
    <row r="20" spans="1:34" ht="13.8" thickBot="1">
      <c r="A20" s="1461" t="s">
        <v>151</v>
      </c>
      <c r="B20" s="1469">
        <v>333</v>
      </c>
      <c r="C20" s="1469">
        <v>277</v>
      </c>
      <c r="D20" s="1469">
        <f t="shared" si="97"/>
        <v>277</v>
      </c>
      <c r="E20" s="1469">
        <v>459</v>
      </c>
      <c r="F20" s="1470">
        <v>249</v>
      </c>
      <c r="G20" s="3280">
        <v>2015</v>
      </c>
      <c r="H20" s="1482">
        <v>4</v>
      </c>
      <c r="I20" s="1482">
        <v>1.63</v>
      </c>
      <c r="J20" s="1482">
        <v>1.1100000000000001</v>
      </c>
      <c r="K20" s="1482">
        <v>1.77</v>
      </c>
      <c r="L20" s="1483">
        <v>1.89</v>
      </c>
      <c r="N20" s="1484">
        <f t="shared" si="99"/>
        <v>1.6299999999999999E-2</v>
      </c>
      <c r="O20" s="1485">
        <f t="shared" si="94"/>
        <v>1.11E-2</v>
      </c>
      <c r="P20" s="1485">
        <f t="shared" si="94"/>
        <v>1.77E-2</v>
      </c>
      <c r="Q20" s="1485">
        <f t="shared" si="94"/>
        <v>1.89E-2</v>
      </c>
      <c r="R20" s="1474"/>
      <c r="X20" s="1459">
        <f>ROUND(SUMPRODUCT(PRODUCT(1+N20:N$26)),4)</f>
        <v>1.0826</v>
      </c>
      <c r="Y20" s="1459">
        <f>ROUND(SUMPRODUCT(PRODUCT(1+O20:O$26)),4)</f>
        <v>1.0738000000000001</v>
      </c>
      <c r="Z20" s="1459">
        <f t="shared" si="0"/>
        <v>1.0738000000000001</v>
      </c>
      <c r="AA20" s="1459">
        <f>ROUND(SUMPRODUCT(PRODUCT(1+P20:P$26)),4)</f>
        <v>1.0855999999999999</v>
      </c>
      <c r="AB20" s="1459">
        <f>ROUND(SUMPRODUCT(PRODUCT(1+Q20:Q$26)),4)</f>
        <v>1.0837000000000001</v>
      </c>
      <c r="AD20" s="1460">
        <f>ROUND(AVERAGE(I20:I$27)/100,4)</f>
        <v>1.37E-2</v>
      </c>
      <c r="AE20" s="1460">
        <f>ROUND(AVERAGE(J20:J$27)/100,4)</f>
        <v>1.1900000000000001E-2</v>
      </c>
      <c r="AF20" s="1460">
        <f t="shared" si="1"/>
        <v>1.1900000000000001E-2</v>
      </c>
      <c r="AG20" s="1460">
        <f>ROUND(AVERAGE(K20:K$27)/100,4)</f>
        <v>1.4500000000000001E-2</v>
      </c>
      <c r="AH20" s="1460">
        <f>ROUND(AVERAGE(L20:L$27)/100,4)</f>
        <v>1.18E-2</v>
      </c>
    </row>
    <row r="21" spans="1:34">
      <c r="A21" s="1461" t="s">
        <v>150</v>
      </c>
      <c r="B21" s="1477">
        <f t="shared" ref="B21:C23" si="100">B20/(1+N20)</f>
        <v>327.65915576109415</v>
      </c>
      <c r="C21" s="1477">
        <f t="shared" si="100"/>
        <v>273.95905449510434</v>
      </c>
      <c r="D21" s="1477">
        <f t="shared" si="97"/>
        <v>273.95905449510434</v>
      </c>
      <c r="E21" s="1477">
        <f t="shared" ref="E21:F23" si="101">E20/(1+P20)</f>
        <v>451.01699911565294</v>
      </c>
      <c r="F21" s="1477">
        <f t="shared" si="101"/>
        <v>244.38119540681129</v>
      </c>
      <c r="G21" s="3281"/>
      <c r="H21" s="1487">
        <v>3</v>
      </c>
      <c r="I21" s="1487">
        <v>1.65</v>
      </c>
      <c r="J21" s="1487">
        <v>0.92</v>
      </c>
      <c r="K21" s="1487">
        <v>1.88</v>
      </c>
      <c r="L21" s="1488">
        <v>1.26</v>
      </c>
      <c r="N21" s="1472">
        <f t="shared" si="99"/>
        <v>1.6500000000000001E-2</v>
      </c>
      <c r="O21" s="1489">
        <f t="shared" si="94"/>
        <v>9.1999999999999998E-3</v>
      </c>
      <c r="P21" s="1489">
        <f t="shared" si="94"/>
        <v>1.8799999999999997E-2</v>
      </c>
      <c r="Q21" s="1489">
        <f t="shared" si="94"/>
        <v>1.26E-2</v>
      </c>
      <c r="R21" s="1474"/>
      <c r="S21" s="1472"/>
      <c r="T21" s="1473"/>
      <c r="U21" s="1473"/>
      <c r="V21" s="1473"/>
      <c r="X21" s="1459">
        <f>ROUND(SUMPRODUCT(PRODUCT(1+N21:N$26)),4)</f>
        <v>1.0651999999999999</v>
      </c>
      <c r="Y21" s="1459">
        <f>ROUND(SUMPRODUCT(PRODUCT(1+O21:O$26)),4)</f>
        <v>1.0621</v>
      </c>
      <c r="Z21" s="1459">
        <f t="shared" si="0"/>
        <v>1.0621</v>
      </c>
      <c r="AA21" s="1459">
        <f>ROUND(SUMPRODUCT(PRODUCT(1+P21:P$26)),4)</f>
        <v>1.0668</v>
      </c>
      <c r="AB21" s="1459">
        <f>ROUND(SUMPRODUCT(PRODUCT(1+Q21:Q$26)),4)</f>
        <v>1.0636000000000001</v>
      </c>
      <c r="AD21" s="1460">
        <f>ROUND(AVERAGE(I21:I$27)/100,4)</f>
        <v>1.3299999999999999E-2</v>
      </c>
      <c r="AE21" s="1460">
        <f>ROUND(AVERAGE(J21:J$27)/100,4)</f>
        <v>1.2E-2</v>
      </c>
      <c r="AF21" s="1460">
        <f t="shared" si="1"/>
        <v>1.2E-2</v>
      </c>
      <c r="AG21" s="1460">
        <f>ROUND(AVERAGE(K21:K$27)/100,4)</f>
        <v>1.4E-2</v>
      </c>
      <c r="AH21" s="1460">
        <f>ROUND(AVERAGE(L21:L$27)/100,4)</f>
        <v>1.0800000000000001E-2</v>
      </c>
    </row>
    <row r="22" spans="1:34">
      <c r="A22" s="1461" t="s">
        <v>149</v>
      </c>
      <c r="B22" s="1477">
        <f t="shared" si="100"/>
        <v>322.34053690220776</v>
      </c>
      <c r="C22" s="1477">
        <f t="shared" si="100"/>
        <v>271.46160770422546</v>
      </c>
      <c r="D22" s="1477">
        <f t="shared" si="97"/>
        <v>271.46160770422546</v>
      </c>
      <c r="E22" s="1477">
        <f t="shared" si="101"/>
        <v>442.69434542172456</v>
      </c>
      <c r="F22" s="1477">
        <f t="shared" si="101"/>
        <v>241.34030753190925</v>
      </c>
      <c r="G22" s="3281"/>
      <c r="H22" s="1465">
        <v>2</v>
      </c>
      <c r="I22" s="1465">
        <v>0.77</v>
      </c>
      <c r="J22" s="1465">
        <v>0.69</v>
      </c>
      <c r="K22" s="1465">
        <v>0.8</v>
      </c>
      <c r="L22" s="1479">
        <v>0.88</v>
      </c>
      <c r="N22" s="1472">
        <f t="shared" si="99"/>
        <v>7.7000000000000002E-3</v>
      </c>
      <c r="O22" s="1489">
        <f t="shared" si="94"/>
        <v>6.8999999999999999E-3</v>
      </c>
      <c r="P22" s="1489">
        <f t="shared" si="94"/>
        <v>8.0000000000000002E-3</v>
      </c>
      <c r="Q22" s="1489">
        <f t="shared" si="94"/>
        <v>8.8000000000000005E-3</v>
      </c>
      <c r="R22" s="1474"/>
      <c r="S22" s="1472"/>
      <c r="T22" s="1473"/>
      <c r="U22" s="1473"/>
      <c r="V22" s="1473"/>
      <c r="X22" s="1459">
        <f>ROUND(SUMPRODUCT(PRODUCT(1+N22:N$26)),4)</f>
        <v>1.048</v>
      </c>
      <c r="Y22" s="1459">
        <f>ROUND(SUMPRODUCT(PRODUCT(1+O22:O$26)),4)</f>
        <v>1.0524</v>
      </c>
      <c r="Z22" s="1459">
        <f t="shared" si="0"/>
        <v>1.0524</v>
      </c>
      <c r="AA22" s="1459">
        <f>ROUND(SUMPRODUCT(PRODUCT(1+P22:P$26)),4)</f>
        <v>1.0470999999999999</v>
      </c>
      <c r="AB22" s="1459">
        <f>ROUND(SUMPRODUCT(PRODUCT(1+Q22:Q$26)),4)</f>
        <v>1.0504</v>
      </c>
      <c r="AD22" s="1460">
        <f>ROUND(AVERAGE(I22:I$27)/100,4)</f>
        <v>1.2800000000000001E-2</v>
      </c>
      <c r="AE22" s="1460">
        <f>ROUND(AVERAGE(J22:J$27)/100,4)</f>
        <v>1.2500000000000001E-2</v>
      </c>
      <c r="AF22" s="1460">
        <f t="shared" si="1"/>
        <v>1.2500000000000001E-2</v>
      </c>
      <c r="AG22" s="1460">
        <f>ROUND(AVERAGE(K22:K$27)/100,4)</f>
        <v>1.32E-2</v>
      </c>
      <c r="AH22" s="1460">
        <f>ROUND(AVERAGE(L22:L$27)/100,4)</f>
        <v>1.0500000000000001E-2</v>
      </c>
    </row>
    <row r="23" spans="1:34">
      <c r="A23" s="1461" t="s">
        <v>148</v>
      </c>
      <c r="B23" s="1477">
        <f t="shared" si="100"/>
        <v>319.87748030386797</v>
      </c>
      <c r="C23" s="1477">
        <f t="shared" si="100"/>
        <v>269.60135833173649</v>
      </c>
      <c r="D23" s="1477">
        <f t="shared" si="97"/>
        <v>269.60135833173649</v>
      </c>
      <c r="E23" s="1477">
        <f t="shared" si="101"/>
        <v>439.18089823583784</v>
      </c>
      <c r="F23" s="1477">
        <f t="shared" si="101"/>
        <v>239.23503918706311</v>
      </c>
      <c r="G23" s="3282"/>
      <c r="H23" s="1464">
        <v>1</v>
      </c>
      <c r="I23" s="1464">
        <v>0.51</v>
      </c>
      <c r="J23" s="1464">
        <v>0.54</v>
      </c>
      <c r="K23" s="1464">
        <v>0.48</v>
      </c>
      <c r="L23" s="1478">
        <v>0.93</v>
      </c>
      <c r="N23" s="1480">
        <f t="shared" si="99"/>
        <v>5.1000000000000004E-3</v>
      </c>
      <c r="O23" s="1481">
        <f t="shared" si="94"/>
        <v>5.4000000000000003E-3</v>
      </c>
      <c r="P23" s="1481">
        <f t="shared" si="94"/>
        <v>4.7999999999999996E-3</v>
      </c>
      <c r="Q23" s="1481">
        <f t="shared" si="94"/>
        <v>9.300000000000001E-3</v>
      </c>
      <c r="R23" s="1474"/>
      <c r="S23" s="1480">
        <f>B23/B24-1</f>
        <v>5.9040261127922822E-3</v>
      </c>
      <c r="T23" s="1481">
        <f>C23/C24-1</f>
        <v>5.9752176557332781E-3</v>
      </c>
      <c r="U23" s="1481">
        <f>E23/E24-1</f>
        <v>4.9906138119859556E-3</v>
      </c>
      <c r="V23" s="1481">
        <f>F23/F24-1</f>
        <v>9.4305450930933787E-3</v>
      </c>
      <c r="X23" s="1459">
        <f>ROUND(SUMPRODUCT(PRODUCT(1+N23:N$26)),4)</f>
        <v>1.0399</v>
      </c>
      <c r="Y23" s="1459">
        <f>ROUND(SUMPRODUCT(PRODUCT(1+O23:O$26)),4)</f>
        <v>1.0451999999999999</v>
      </c>
      <c r="Z23" s="1459">
        <f t="shared" si="0"/>
        <v>1.0451999999999999</v>
      </c>
      <c r="AA23" s="1459">
        <f>ROUND(SUMPRODUCT(PRODUCT(1+P23:P$26)),4)</f>
        <v>1.0387999999999999</v>
      </c>
      <c r="AB23" s="1459">
        <f>ROUND(SUMPRODUCT(PRODUCT(1+Q23:Q$26)),4)</f>
        <v>1.0411999999999999</v>
      </c>
      <c r="AD23" s="1460">
        <f>ROUND(AVERAGE(I23:I$27)/100,4)</f>
        <v>1.38E-2</v>
      </c>
      <c r="AE23" s="1460">
        <f>ROUND(AVERAGE(J23:J$27)/100,4)</f>
        <v>1.3599999999999999E-2</v>
      </c>
      <c r="AF23" s="1460">
        <f t="shared" si="1"/>
        <v>1.3599999999999999E-2</v>
      </c>
      <c r="AG23" s="1460">
        <f>ROUND(AVERAGE(K23:K$27)/100,4)</f>
        <v>1.4200000000000001E-2</v>
      </c>
      <c r="AH23" s="1460">
        <f>ROUND(AVERAGE(L23:L$27)/100,4)</f>
        <v>1.0800000000000001E-2</v>
      </c>
    </row>
    <row r="24" spans="1:34" ht="13.8" thickBot="1">
      <c r="A24" s="1461" t="s">
        <v>147</v>
      </c>
      <c r="B24" s="1490">
        <v>318</v>
      </c>
      <c r="C24" s="1490">
        <v>268</v>
      </c>
      <c r="D24" s="1490">
        <f t="shared" si="97"/>
        <v>268</v>
      </c>
      <c r="E24" s="1490">
        <v>437</v>
      </c>
      <c r="F24" s="1491">
        <v>237</v>
      </c>
      <c r="G24" s="3280">
        <v>2014</v>
      </c>
      <c r="H24" s="1482">
        <v>4</v>
      </c>
      <c r="I24" s="1482">
        <v>0.21</v>
      </c>
      <c r="J24" s="1482">
        <v>0.41</v>
      </c>
      <c r="K24" s="1482">
        <v>0.12</v>
      </c>
      <c r="L24" s="1483">
        <v>0.89</v>
      </c>
      <c r="N24" s="1472">
        <f t="shared" si="99"/>
        <v>2.0999999999999999E-3</v>
      </c>
      <c r="O24" s="1473">
        <f t="shared" si="94"/>
        <v>4.0999999999999995E-3</v>
      </c>
      <c r="P24" s="1473">
        <f t="shared" si="94"/>
        <v>1.1999999999999999E-3</v>
      </c>
      <c r="Q24" s="1473">
        <f t="shared" si="94"/>
        <v>8.8999999999999999E-3</v>
      </c>
      <c r="R24" s="1474"/>
      <c r="S24" s="1475"/>
      <c r="T24" s="1476"/>
      <c r="U24" s="1476"/>
      <c r="V24" s="1476"/>
      <c r="X24" s="1459">
        <f>ROUND(SUMPRODUCT(PRODUCT(1+N24:N$26)),4)</f>
        <v>1.0347</v>
      </c>
      <c r="Y24" s="1459">
        <f>ROUND(SUMPRODUCT(PRODUCT(1+O24:O$26)),4)</f>
        <v>1.0395000000000001</v>
      </c>
      <c r="Z24" s="1459">
        <f t="shared" si="0"/>
        <v>1.0395000000000001</v>
      </c>
      <c r="AA24" s="1459">
        <f>ROUND(SUMPRODUCT(PRODUCT(1+P24:P$26)),4)</f>
        <v>1.0338000000000001</v>
      </c>
      <c r="AB24" s="1459">
        <f>ROUND(SUMPRODUCT(PRODUCT(1+Q24:Q$26)),4)</f>
        <v>1.0316000000000001</v>
      </c>
      <c r="AD24" s="1460">
        <f>ROUND(AVERAGE(I24:I$27)/100,4)</f>
        <v>1.6E-2</v>
      </c>
      <c r="AE24" s="1460">
        <f>ROUND(AVERAGE(J24:J$27)/100,4)</f>
        <v>1.5599999999999999E-2</v>
      </c>
      <c r="AF24" s="1460">
        <f t="shared" si="1"/>
        <v>1.5599999999999999E-2</v>
      </c>
      <c r="AG24" s="1460">
        <f>ROUND(AVERAGE(K24:K$27)/100,4)</f>
        <v>1.66E-2</v>
      </c>
      <c r="AH24" s="1460">
        <f>ROUND(AVERAGE(L24:L$27)/100,4)</f>
        <v>1.12E-2</v>
      </c>
    </row>
    <row r="25" spans="1:34">
      <c r="A25" s="1461" t="s">
        <v>146</v>
      </c>
      <c r="B25" s="1477">
        <f t="shared" ref="B25:C27" si="102">B24/(1+N24)</f>
        <v>317.33359944117353</v>
      </c>
      <c r="C25" s="1477">
        <f t="shared" si="102"/>
        <v>266.90568668459315</v>
      </c>
      <c r="D25" s="1477">
        <f t="shared" si="97"/>
        <v>266.90568668459315</v>
      </c>
      <c r="E25" s="1477">
        <f t="shared" ref="E25:F27" si="103">E24/(1+P24)</f>
        <v>436.47622852576905</v>
      </c>
      <c r="F25" s="1477">
        <f t="shared" si="103"/>
        <v>234.90930716622066</v>
      </c>
      <c r="G25" s="3281"/>
      <c r="H25" s="1492">
        <v>3</v>
      </c>
      <c r="I25" s="1492">
        <v>0.83</v>
      </c>
      <c r="J25" s="1492">
        <v>1.47</v>
      </c>
      <c r="K25" s="1492">
        <v>0.65</v>
      </c>
      <c r="L25" s="1493">
        <v>0.72</v>
      </c>
      <c r="N25" s="1472">
        <f t="shared" si="99"/>
        <v>8.3000000000000001E-3</v>
      </c>
      <c r="O25" s="1473">
        <f t="shared" si="94"/>
        <v>1.47E-2</v>
      </c>
      <c r="P25" s="1473">
        <f t="shared" si="94"/>
        <v>6.5000000000000006E-3</v>
      </c>
      <c r="Q25" s="1473">
        <f t="shared" si="94"/>
        <v>7.1999999999999998E-3</v>
      </c>
      <c r="R25" s="1474"/>
      <c r="S25" s="1472"/>
      <c r="T25" s="1473"/>
      <c r="U25" s="1473"/>
      <c r="V25" s="1473"/>
      <c r="X25" s="1459">
        <f>ROUND(SUMPRODUCT(PRODUCT(1+N25:N$26)),4)</f>
        <v>1.0325</v>
      </c>
      <c r="Y25" s="1459">
        <f>ROUND(SUMPRODUCT(PRODUCT(1+O25:O$26)),4)</f>
        <v>1.0353000000000001</v>
      </c>
      <c r="Z25" s="1459">
        <f t="shared" ref="Z25:Z26" si="104">Y25</f>
        <v>1.0353000000000001</v>
      </c>
      <c r="AA25" s="1459">
        <f>ROUND(SUMPRODUCT(PRODUCT(1+P25:P$26)),4)</f>
        <v>1.0326</v>
      </c>
      <c r="AB25" s="1459">
        <f>ROUND(SUMPRODUCT(PRODUCT(1+Q25:Q$26)),4)</f>
        <v>1.0225</v>
      </c>
      <c r="AD25" s="1460">
        <f>ROUND(AVERAGE(I25:I$27)/100,4)</f>
        <v>2.07E-2</v>
      </c>
      <c r="AE25" s="1460">
        <f>ROUND(AVERAGE(J25:J$27)/100,4)</f>
        <v>1.95E-2</v>
      </c>
      <c r="AF25" s="1460">
        <f t="shared" si="1"/>
        <v>1.95E-2</v>
      </c>
      <c r="AG25" s="1460">
        <f>ROUND(AVERAGE(K25:K$27)/100,4)</f>
        <v>2.1700000000000001E-2</v>
      </c>
      <c r="AH25" s="1460">
        <f>ROUND(AVERAGE(L25:L$27)/100,4)</f>
        <v>1.2E-2</v>
      </c>
    </row>
    <row r="26" spans="1:34" ht="13.8" thickBot="1">
      <c r="A26" s="1461" t="s">
        <v>145</v>
      </c>
      <c r="B26" s="1477">
        <f t="shared" si="102"/>
        <v>314.72141172386546</v>
      </c>
      <c r="C26" s="1477">
        <f t="shared" si="102"/>
        <v>263.03901319069001</v>
      </c>
      <c r="D26" s="1477">
        <f t="shared" si="97"/>
        <v>263.03901319069001</v>
      </c>
      <c r="E26" s="1477">
        <f t="shared" si="103"/>
        <v>433.65745506782821</v>
      </c>
      <c r="F26" s="1477">
        <f t="shared" si="103"/>
        <v>233.23005080045735</v>
      </c>
      <c r="G26" s="3281"/>
      <c r="H26" s="1482">
        <v>2</v>
      </c>
      <c r="I26" s="1482">
        <v>2.4</v>
      </c>
      <c r="J26" s="1482">
        <v>2.0299999999999998</v>
      </c>
      <c r="K26" s="1482">
        <v>2.59</v>
      </c>
      <c r="L26" s="1483">
        <v>1.52</v>
      </c>
      <c r="N26" s="1472">
        <f t="shared" si="99"/>
        <v>2.4E-2</v>
      </c>
      <c r="O26" s="1473">
        <f t="shared" si="94"/>
        <v>2.0299999999999999E-2</v>
      </c>
      <c r="P26" s="1473">
        <f t="shared" si="94"/>
        <v>2.5899999999999999E-2</v>
      </c>
      <c r="Q26" s="1473">
        <f t="shared" si="94"/>
        <v>1.52E-2</v>
      </c>
      <c r="R26" s="1474"/>
      <c r="S26" s="1472"/>
      <c r="T26" s="1473"/>
      <c r="U26" s="1473"/>
      <c r="V26" s="1473"/>
      <c r="X26" s="1459">
        <f>1+N26</f>
        <v>1.024</v>
      </c>
      <c r="Y26" s="1459">
        <f>1+O26</f>
        <v>1.0203</v>
      </c>
      <c r="Z26" s="1459">
        <f t="shared" si="104"/>
        <v>1.0203</v>
      </c>
      <c r="AA26" s="1459">
        <f>1+P26</f>
        <v>1.0259</v>
      </c>
      <c r="AB26" s="1459">
        <f>1+Q26</f>
        <v>1.0152000000000001</v>
      </c>
      <c r="AD26" s="1460">
        <f>ROUND(AVERAGE(I26:I$27)/100,4)</f>
        <v>2.69E-2</v>
      </c>
      <c r="AE26" s="1460">
        <f>ROUND(AVERAGE(J26:J$27)/100,4)</f>
        <v>2.1899999999999999E-2</v>
      </c>
      <c r="AF26" s="1460">
        <f t="shared" ref="AF26" si="105">AE26</f>
        <v>2.1899999999999999E-2</v>
      </c>
      <c r="AG26" s="1460">
        <f>ROUND(AVERAGE(K26:K$27)/100,4)</f>
        <v>2.9399999999999999E-2</v>
      </c>
      <c r="AH26" s="1460">
        <f>ROUND(AVERAGE(L26:L$27)/100,4)</f>
        <v>1.44E-2</v>
      </c>
    </row>
    <row r="27" spans="1:34" s="1498" customFormat="1" ht="13.8" thickBot="1">
      <c r="A27" s="1494" t="s">
        <v>144</v>
      </c>
      <c r="B27" s="1495">
        <f t="shared" si="102"/>
        <v>307.34512863658733</v>
      </c>
      <c r="C27" s="1495">
        <f t="shared" si="102"/>
        <v>257.80556031626975</v>
      </c>
      <c r="D27" s="1495">
        <f t="shared" si="97"/>
        <v>257.80556031626975</v>
      </c>
      <c r="E27" s="1495">
        <f t="shared" si="103"/>
        <v>422.70928459677179</v>
      </c>
      <c r="F27" s="1495">
        <f t="shared" si="103"/>
        <v>229.73803270336617</v>
      </c>
      <c r="G27" s="3282"/>
      <c r="H27" s="1496">
        <v>1</v>
      </c>
      <c r="I27" s="1496">
        <v>2.97</v>
      </c>
      <c r="J27" s="1496">
        <v>2.34</v>
      </c>
      <c r="K27" s="1496">
        <v>3.28</v>
      </c>
      <c r="L27" s="1497">
        <v>1.36</v>
      </c>
      <c r="N27" s="1499">
        <f t="shared" si="99"/>
        <v>2.9700000000000001E-2</v>
      </c>
      <c r="O27" s="1500">
        <f t="shared" si="94"/>
        <v>2.3399999999999997E-2</v>
      </c>
      <c r="P27" s="1500">
        <f t="shared" si="94"/>
        <v>3.2799999999999996E-2</v>
      </c>
      <c r="Q27" s="1500">
        <f t="shared" si="94"/>
        <v>1.3600000000000001E-2</v>
      </c>
      <c r="R27" s="1501"/>
      <c r="S27" s="1502">
        <f>B27/B28-1</f>
        <v>2.7910129219355539E-2</v>
      </c>
      <c r="T27" s="1503">
        <f>C27/C28-1</f>
        <v>2.3037937762975247E-2</v>
      </c>
      <c r="U27" s="1503">
        <f>E27/E28-1</f>
        <v>3.3519033243940788E-2</v>
      </c>
      <c r="V27" s="1503">
        <f>F27/F28-1</f>
        <v>1.2061818076502862E-2</v>
      </c>
      <c r="W27" s="1504" t="s">
        <v>1158</v>
      </c>
      <c r="X27" s="1505">
        <v>1</v>
      </c>
      <c r="Y27" s="1505">
        <v>1</v>
      </c>
      <c r="Z27" s="1505">
        <v>1</v>
      </c>
      <c r="AA27" s="1505">
        <v>1</v>
      </c>
      <c r="AB27" s="1505">
        <v>1</v>
      </c>
      <c r="AD27" s="1727">
        <f>I27/100</f>
        <v>2.9700000000000001E-2</v>
      </c>
      <c r="AE27" s="1727">
        <f>J27/100</f>
        <v>2.3399999999999997E-2</v>
      </c>
      <c r="AF27" s="1727">
        <f>AE27</f>
        <v>2.3399999999999997E-2</v>
      </c>
      <c r="AG27" s="1727">
        <f>K27/100</f>
        <v>3.2799999999999996E-2</v>
      </c>
      <c r="AH27" s="1727">
        <f>L27/100</f>
        <v>1.3600000000000001E-2</v>
      </c>
    </row>
    <row r="28" spans="1:34" ht="13.8" thickBot="1">
      <c r="A28" s="1461" t="s">
        <v>1159</v>
      </c>
      <c r="B28" s="1469">
        <v>299</v>
      </c>
      <c r="C28" s="1469">
        <v>252</v>
      </c>
      <c r="D28" s="1469">
        <f t="shared" si="97"/>
        <v>252</v>
      </c>
      <c r="E28" s="1469">
        <v>409</v>
      </c>
      <c r="F28" s="1470">
        <v>227</v>
      </c>
      <c r="G28" s="3285">
        <v>2013</v>
      </c>
      <c r="H28" s="1506">
        <v>4</v>
      </c>
      <c r="I28" s="1506">
        <v>1.83</v>
      </c>
      <c r="J28" s="1506">
        <v>1.68</v>
      </c>
      <c r="K28" s="1506">
        <v>1.97</v>
      </c>
      <c r="L28" s="1507">
        <v>0.87</v>
      </c>
      <c r="N28" s="1484">
        <f t="shared" si="99"/>
        <v>1.83E-2</v>
      </c>
      <c r="O28" s="1485">
        <f t="shared" si="94"/>
        <v>1.6799999999999999E-2</v>
      </c>
      <c r="P28" s="1485">
        <f t="shared" si="94"/>
        <v>1.9699999999999999E-2</v>
      </c>
      <c r="Q28" s="1485">
        <f t="shared" si="94"/>
        <v>8.6999999999999994E-3</v>
      </c>
      <c r="R28" s="1474"/>
      <c r="S28" s="1475"/>
      <c r="T28" s="1476"/>
      <c r="U28" s="1476"/>
      <c r="V28" s="1476"/>
      <c r="X28" s="1476"/>
      <c r="Y28" s="1476"/>
      <c r="Z28" s="1476"/>
    </row>
    <row r="29" spans="1:34">
      <c r="A29" s="1461" t="s">
        <v>1160</v>
      </c>
      <c r="B29" s="1477">
        <f t="shared" ref="B29:C31" si="106">B28/(1+N28)</f>
        <v>293.62663262299913</v>
      </c>
      <c r="C29" s="1477">
        <f t="shared" si="106"/>
        <v>247.83634933123525</v>
      </c>
      <c r="D29" s="1477">
        <f t="shared" si="97"/>
        <v>247.83634933123525</v>
      </c>
      <c r="E29" s="1477">
        <f t="shared" ref="E29:F31" si="107">E28/(1+P28)</f>
        <v>401.09836226341076</v>
      </c>
      <c r="F29" s="1477">
        <f t="shared" si="107"/>
        <v>225.04213343908003</v>
      </c>
      <c r="G29" s="3286"/>
      <c r="H29" s="1487">
        <v>3</v>
      </c>
      <c r="I29" s="1487">
        <v>1.86</v>
      </c>
      <c r="J29" s="1487">
        <v>1.72</v>
      </c>
      <c r="K29" s="1487">
        <v>1.98</v>
      </c>
      <c r="L29" s="1488">
        <v>0.88</v>
      </c>
      <c r="N29" s="1472">
        <f t="shared" si="99"/>
        <v>1.8600000000000002E-2</v>
      </c>
      <c r="O29" s="1489">
        <f t="shared" si="94"/>
        <v>1.72E-2</v>
      </c>
      <c r="P29" s="1489">
        <f t="shared" si="94"/>
        <v>1.9799999999999998E-2</v>
      </c>
      <c r="Q29" s="1489">
        <f t="shared" si="94"/>
        <v>8.8000000000000005E-3</v>
      </c>
      <c r="R29" s="1474"/>
      <c r="S29" s="1472"/>
      <c r="T29" s="1473"/>
      <c r="U29" s="1473"/>
      <c r="V29" s="1473"/>
    </row>
    <row r="30" spans="1:34">
      <c r="A30" s="1461" t="s">
        <v>1161</v>
      </c>
      <c r="B30" s="1477">
        <f t="shared" si="106"/>
        <v>288.2649053828776</v>
      </c>
      <c r="C30" s="1477">
        <f t="shared" si="106"/>
        <v>243.64564425013293</v>
      </c>
      <c r="D30" s="1477">
        <f t="shared" si="97"/>
        <v>243.64564425013293</v>
      </c>
      <c r="E30" s="1477">
        <f t="shared" si="107"/>
        <v>393.31080825986544</v>
      </c>
      <c r="F30" s="1477">
        <f t="shared" si="107"/>
        <v>223.07903790551154</v>
      </c>
      <c r="G30" s="3286"/>
      <c r="H30" s="1465">
        <v>2</v>
      </c>
      <c r="I30" s="1465">
        <v>2.04</v>
      </c>
      <c r="J30" s="1465">
        <v>2.33</v>
      </c>
      <c r="K30" s="1465">
        <v>2.0699999999999998</v>
      </c>
      <c r="L30" s="1479">
        <v>0.69</v>
      </c>
      <c r="N30" s="1472">
        <f t="shared" si="99"/>
        <v>2.0400000000000001E-2</v>
      </c>
      <c r="O30" s="1489">
        <f t="shared" si="94"/>
        <v>2.3300000000000001E-2</v>
      </c>
      <c r="P30" s="1489">
        <f t="shared" si="94"/>
        <v>2.07E-2</v>
      </c>
      <c r="Q30" s="1489">
        <f t="shared" si="94"/>
        <v>6.8999999999999999E-3</v>
      </c>
      <c r="R30" s="1474"/>
      <c r="S30" s="1472"/>
      <c r="T30" s="1473"/>
      <c r="U30" s="1473"/>
      <c r="V30" s="1473"/>
      <c r="X30" s="1508"/>
      <c r="Y30" s="1509"/>
    </row>
    <row r="31" spans="1:34">
      <c r="A31" s="1461" t="s">
        <v>1162</v>
      </c>
      <c r="B31" s="1477">
        <f t="shared" si="106"/>
        <v>282.50186729015837</v>
      </c>
      <c r="C31" s="1477">
        <f t="shared" si="106"/>
        <v>238.09796174155468</v>
      </c>
      <c r="D31" s="1477">
        <f t="shared" si="97"/>
        <v>238.09796174155468</v>
      </c>
      <c r="E31" s="1477">
        <f t="shared" si="107"/>
        <v>385.33438646014054</v>
      </c>
      <c r="F31" s="1477">
        <f t="shared" si="107"/>
        <v>221.55034055567739</v>
      </c>
      <c r="G31" s="3287"/>
      <c r="H31" s="1464">
        <v>1</v>
      </c>
      <c r="I31" s="1464">
        <v>1.67</v>
      </c>
      <c r="J31" s="1464">
        <v>1.31</v>
      </c>
      <c r="K31" s="1464">
        <v>1.85</v>
      </c>
      <c r="L31" s="1478">
        <v>0.96</v>
      </c>
      <c r="N31" s="1480">
        <f t="shared" si="99"/>
        <v>1.67E-2</v>
      </c>
      <c r="O31" s="1481">
        <f t="shared" si="99"/>
        <v>1.3100000000000001E-2</v>
      </c>
      <c r="P31" s="1481">
        <f t="shared" si="99"/>
        <v>1.8500000000000003E-2</v>
      </c>
      <c r="Q31" s="1481">
        <f t="shared" si="99"/>
        <v>9.5999999999999992E-3</v>
      </c>
      <c r="R31" s="1474"/>
      <c r="S31" s="1480">
        <f>B31/B32-1</f>
        <v>1.6193767230785472E-2</v>
      </c>
      <c r="T31" s="1481">
        <f>C31/C32-1</f>
        <v>1.7512657015190891E-2</v>
      </c>
      <c r="U31" s="1481">
        <f>E31/E32-1</f>
        <v>1.6713420739157048E-2</v>
      </c>
      <c r="V31" s="1481">
        <f>F31/F32-1</f>
        <v>7.0470025258062563E-3</v>
      </c>
      <c r="X31" s="1510"/>
      <c r="Y31" s="1460"/>
      <c r="Z31" s="1460"/>
    </row>
    <row r="32" spans="1:34" ht="13.8" thickBot="1">
      <c r="A32" s="1461" t="s">
        <v>1163</v>
      </c>
      <c r="B32" s="1511">
        <v>278</v>
      </c>
      <c r="C32" s="1511">
        <v>234</v>
      </c>
      <c r="D32" s="1511">
        <f t="shared" si="97"/>
        <v>234</v>
      </c>
      <c r="E32" s="1511">
        <v>379</v>
      </c>
      <c r="F32" s="1512">
        <v>220</v>
      </c>
      <c r="G32" s="3280">
        <v>2012</v>
      </c>
      <c r="H32" s="1482">
        <v>4</v>
      </c>
      <c r="I32" s="1482">
        <v>0.91</v>
      </c>
      <c r="J32" s="1482">
        <v>0.68</v>
      </c>
      <c r="K32" s="1482">
        <v>0.98</v>
      </c>
      <c r="L32" s="1483">
        <v>0.9</v>
      </c>
      <c r="N32" s="1472">
        <f t="shared" si="99"/>
        <v>9.1000000000000004E-3</v>
      </c>
      <c r="O32" s="1473">
        <f t="shared" si="99"/>
        <v>6.8000000000000005E-3</v>
      </c>
      <c r="P32" s="1473">
        <f t="shared" si="99"/>
        <v>9.7999999999999997E-3</v>
      </c>
      <c r="Q32" s="1473">
        <f t="shared" si="99"/>
        <v>9.0000000000000011E-3</v>
      </c>
      <c r="R32" s="1474"/>
      <c r="S32" s="1475"/>
      <c r="T32" s="1476"/>
      <c r="U32" s="1476"/>
      <c r="V32" s="1476"/>
      <c r="X32" s="1476"/>
      <c r="Y32" s="1476"/>
      <c r="Z32" s="1476"/>
    </row>
    <row r="33" spans="1:26">
      <c r="A33" s="1461" t="s">
        <v>1164</v>
      </c>
      <c r="B33" s="1477">
        <f>B32/(1+N32)</f>
        <v>275.49301357645425</v>
      </c>
      <c r="C33" s="1477">
        <f>C32/(1+O32)</f>
        <v>232.41954707985698</v>
      </c>
      <c r="D33" s="1477">
        <f t="shared" si="97"/>
        <v>232.41954707985698</v>
      </c>
      <c r="E33" s="1477">
        <f t="shared" ref="E33:F35" si="108">E32/(1+P32)</f>
        <v>375.32184591008121</v>
      </c>
      <c r="F33" s="1477">
        <f t="shared" si="108"/>
        <v>218.03766105054513</v>
      </c>
      <c r="G33" s="3281"/>
      <c r="H33" s="1487">
        <v>3</v>
      </c>
      <c r="I33" s="1487">
        <v>0.09</v>
      </c>
      <c r="J33" s="1487">
        <v>0.28999999999999998</v>
      </c>
      <c r="K33" s="1487">
        <v>-0.01</v>
      </c>
      <c r="L33" s="1488">
        <v>0.57999999999999996</v>
      </c>
      <c r="N33" s="1472">
        <f t="shared" si="99"/>
        <v>8.9999999999999998E-4</v>
      </c>
      <c r="O33" s="1473">
        <f t="shared" si="99"/>
        <v>2.8999999999999998E-3</v>
      </c>
      <c r="P33" s="1473">
        <f t="shared" si="99"/>
        <v>-1E-4</v>
      </c>
      <c r="Q33" s="1473">
        <f t="shared" si="99"/>
        <v>5.7999999999999996E-3</v>
      </c>
      <c r="R33" s="1474"/>
      <c r="S33" s="1472"/>
      <c r="T33" s="1473"/>
      <c r="U33" s="1473"/>
      <c r="V33" s="1473"/>
    </row>
    <row r="34" spans="1:26">
      <c r="A34" s="1461" t="s">
        <v>1165</v>
      </c>
      <c r="B34" s="1477">
        <f>B33/(1+N33)</f>
        <v>275.24529281292263</v>
      </c>
      <c r="C34" s="1477">
        <f>C33/(1+O33)</f>
        <v>231.74747938962707</v>
      </c>
      <c r="D34" s="1477">
        <f t="shared" si="97"/>
        <v>231.74747938962707</v>
      </c>
      <c r="E34" s="1477">
        <f t="shared" si="108"/>
        <v>375.35938184826603</v>
      </c>
      <c r="F34" s="1477">
        <f t="shared" si="108"/>
        <v>216.78033510692495</v>
      </c>
      <c r="G34" s="3281"/>
      <c r="H34" s="1465">
        <v>2</v>
      </c>
      <c r="I34" s="1465">
        <v>0.02</v>
      </c>
      <c r="J34" s="1465">
        <v>0.12</v>
      </c>
      <c r="K34" s="1465">
        <v>-0.08</v>
      </c>
      <c r="L34" s="1479">
        <v>1.24</v>
      </c>
      <c r="N34" s="1472">
        <f t="shared" si="99"/>
        <v>2.0000000000000001E-4</v>
      </c>
      <c r="O34" s="1473">
        <f t="shared" si="99"/>
        <v>1.1999999999999999E-3</v>
      </c>
      <c r="P34" s="1473">
        <f t="shared" si="99"/>
        <v>-8.0000000000000004E-4</v>
      </c>
      <c r="Q34" s="1473">
        <f t="shared" si="99"/>
        <v>1.24E-2</v>
      </c>
      <c r="R34" s="1474"/>
      <c r="S34" s="1472"/>
      <c r="T34" s="1473"/>
      <c r="U34" s="1473"/>
      <c r="V34" s="1473"/>
    </row>
    <row r="35" spans="1:26" ht="13.8" thickBot="1">
      <c r="A35" s="1461" t="s">
        <v>1166</v>
      </c>
      <c r="B35" s="1477">
        <f>B34/(1+N34)</f>
        <v>275.19025476197027</v>
      </c>
      <c r="C35" s="1513">
        <v>232</v>
      </c>
      <c r="D35" s="1513">
        <f t="shared" si="97"/>
        <v>232</v>
      </c>
      <c r="E35" s="1477">
        <f t="shared" si="108"/>
        <v>375.65990977608692</v>
      </c>
      <c r="F35" s="1477">
        <f t="shared" si="108"/>
        <v>214.12518283971252</v>
      </c>
      <c r="G35" s="3282"/>
      <c r="H35" s="1464">
        <v>1</v>
      </c>
      <c r="I35" s="1464">
        <v>0.02</v>
      </c>
      <c r="J35" s="1464">
        <v>0.13</v>
      </c>
      <c r="K35" s="1464">
        <v>-0.04</v>
      </c>
      <c r="L35" s="1478">
        <v>0.46</v>
      </c>
      <c r="N35" s="1472">
        <f t="shared" si="99"/>
        <v>2.0000000000000001E-4</v>
      </c>
      <c r="O35" s="1473">
        <f t="shared" si="99"/>
        <v>1.2999999999999999E-3</v>
      </c>
      <c r="P35" s="1473">
        <f t="shared" si="99"/>
        <v>-4.0000000000000002E-4</v>
      </c>
      <c r="Q35" s="1473">
        <f t="shared" si="99"/>
        <v>4.5999999999999999E-3</v>
      </c>
      <c r="R35" s="1474"/>
      <c r="S35" s="1480">
        <f>B35/B36-1</f>
        <v>6.9183549807361189E-4</v>
      </c>
      <c r="T35" s="1481">
        <f>C35/C36-1</f>
        <v>0</v>
      </c>
      <c r="U35" s="1481">
        <f>E35/E36-1</f>
        <v>-9.0449527636460303E-4</v>
      </c>
      <c r="V35" s="1481">
        <f>F35/F36-1</f>
        <v>5.2825485432512753E-3</v>
      </c>
      <c r="X35" s="1460"/>
      <c r="Y35" s="1460"/>
      <c r="Z35" s="1460"/>
    </row>
    <row r="36" spans="1:26" ht="13.8" thickBot="1">
      <c r="A36" s="1461" t="s">
        <v>1167</v>
      </c>
      <c r="B36" s="1469">
        <v>275</v>
      </c>
      <c r="C36" s="1469">
        <v>232</v>
      </c>
      <c r="D36" s="1469">
        <f t="shared" si="97"/>
        <v>232</v>
      </c>
      <c r="E36" s="1469">
        <v>376</v>
      </c>
      <c r="F36" s="1470">
        <v>213</v>
      </c>
      <c r="G36" s="3280">
        <v>2011</v>
      </c>
      <c r="H36" s="1482">
        <v>4</v>
      </c>
      <c r="I36" s="1482">
        <v>-0.2</v>
      </c>
      <c r="J36" s="1482">
        <v>0.04</v>
      </c>
      <c r="K36" s="1482">
        <v>-0.34</v>
      </c>
      <c r="L36" s="1483">
        <v>0.46</v>
      </c>
      <c r="N36" s="1484">
        <f t="shared" si="99"/>
        <v>-2E-3</v>
      </c>
      <c r="O36" s="1485">
        <f t="shared" si="99"/>
        <v>4.0000000000000002E-4</v>
      </c>
      <c r="P36" s="1485">
        <f t="shared" si="99"/>
        <v>-3.4000000000000002E-3</v>
      </c>
      <c r="Q36" s="1485">
        <f t="shared" si="99"/>
        <v>4.5999999999999999E-3</v>
      </c>
      <c r="R36" s="1474"/>
      <c r="S36" s="1475"/>
      <c r="T36" s="1476"/>
      <c r="U36" s="1476"/>
      <c r="V36" s="1476"/>
      <c r="X36" s="1476"/>
      <c r="Y36" s="1476"/>
      <c r="Z36" s="1476"/>
    </row>
    <row r="37" spans="1:26">
      <c r="A37" s="1461" t="s">
        <v>1168</v>
      </c>
      <c r="B37" s="1477">
        <f t="shared" ref="B37:C39" si="109">B36/(1+N36)</f>
        <v>275.55110220440883</v>
      </c>
      <c r="C37" s="1477">
        <f t="shared" si="109"/>
        <v>231.90723710515795</v>
      </c>
      <c r="D37" s="1477">
        <f t="shared" si="97"/>
        <v>231.90723710515795</v>
      </c>
      <c r="E37" s="1477">
        <f t="shared" ref="E37:F39" si="110">E36/(1+P36)</f>
        <v>377.28276138872161</v>
      </c>
      <c r="F37" s="1477">
        <f t="shared" si="110"/>
        <v>212.02468644236512</v>
      </c>
      <c r="G37" s="3281">
        <v>2011</v>
      </c>
      <c r="H37" s="1487">
        <v>3</v>
      </c>
      <c r="I37" s="1487">
        <v>0.13</v>
      </c>
      <c r="J37" s="1487">
        <v>0.75</v>
      </c>
      <c r="K37" s="1487">
        <v>-0.08</v>
      </c>
      <c r="L37" s="1488">
        <v>0.53</v>
      </c>
      <c r="N37" s="1472">
        <f t="shared" si="99"/>
        <v>1.2999999999999999E-3</v>
      </c>
      <c r="O37" s="1489">
        <f t="shared" si="99"/>
        <v>7.4999999999999997E-3</v>
      </c>
      <c r="P37" s="1489">
        <f t="shared" si="99"/>
        <v>-8.0000000000000004E-4</v>
      </c>
      <c r="Q37" s="1489">
        <f t="shared" si="99"/>
        <v>5.3E-3</v>
      </c>
      <c r="R37" s="1474"/>
      <c r="S37" s="1472"/>
      <c r="T37" s="1473"/>
      <c r="U37" s="1473"/>
      <c r="V37" s="1473"/>
    </row>
    <row r="38" spans="1:26">
      <c r="A38" s="1461" t="s">
        <v>1169</v>
      </c>
      <c r="B38" s="1477">
        <f t="shared" si="109"/>
        <v>275.19335084830601</v>
      </c>
      <c r="C38" s="1477">
        <f t="shared" si="109"/>
        <v>230.18088050139744</v>
      </c>
      <c r="D38" s="1477">
        <f t="shared" si="97"/>
        <v>230.18088050139744</v>
      </c>
      <c r="E38" s="1477">
        <f t="shared" si="110"/>
        <v>377.58482925212331</v>
      </c>
      <c r="F38" s="1477">
        <f t="shared" si="110"/>
        <v>210.90687997847917</v>
      </c>
      <c r="G38" s="3281">
        <v>2011</v>
      </c>
      <c r="H38" s="1465">
        <v>2</v>
      </c>
      <c r="I38" s="1465">
        <v>-0.4</v>
      </c>
      <c r="J38" s="1465">
        <v>0.17</v>
      </c>
      <c r="K38" s="1465">
        <v>-0.57999999999999996</v>
      </c>
      <c r="L38" s="1479">
        <v>-0.2</v>
      </c>
      <c r="N38" s="1472">
        <f t="shared" si="99"/>
        <v>-4.0000000000000001E-3</v>
      </c>
      <c r="O38" s="1489">
        <f t="shared" si="99"/>
        <v>1.7000000000000001E-3</v>
      </c>
      <c r="P38" s="1489">
        <f t="shared" si="99"/>
        <v>-5.7999999999999996E-3</v>
      </c>
      <c r="Q38" s="1489">
        <f t="shared" si="99"/>
        <v>-2E-3</v>
      </c>
      <c r="R38" s="1474"/>
      <c r="S38" s="1472"/>
      <c r="T38" s="1473"/>
      <c r="U38" s="1473"/>
      <c r="V38" s="1473"/>
    </row>
    <row r="39" spans="1:26" ht="13.8" thickBot="1">
      <c r="A39" s="1461" t="s">
        <v>1170</v>
      </c>
      <c r="B39" s="1477">
        <f t="shared" si="109"/>
        <v>276.29854502841971</v>
      </c>
      <c r="C39" s="1477">
        <f t="shared" si="109"/>
        <v>229.79023709833027</v>
      </c>
      <c r="D39" s="1477">
        <f t="shared" si="97"/>
        <v>229.79023709833027</v>
      </c>
      <c r="E39" s="1477">
        <f t="shared" si="110"/>
        <v>379.78759731655936</v>
      </c>
      <c r="F39" s="1477">
        <f t="shared" si="110"/>
        <v>211.32953905659235</v>
      </c>
      <c r="G39" s="3282">
        <v>2011</v>
      </c>
      <c r="H39" s="1464">
        <v>1</v>
      </c>
      <c r="I39" s="1464">
        <v>2.65</v>
      </c>
      <c r="J39" s="1464">
        <v>3.76</v>
      </c>
      <c r="K39" s="1464">
        <v>1.89</v>
      </c>
      <c r="L39" s="1478">
        <v>7.95</v>
      </c>
      <c r="N39" s="1480">
        <f t="shared" si="99"/>
        <v>2.6499999999999999E-2</v>
      </c>
      <c r="O39" s="1481">
        <f t="shared" si="99"/>
        <v>3.7599999999999995E-2</v>
      </c>
      <c r="P39" s="1481">
        <f t="shared" si="99"/>
        <v>1.89E-2</v>
      </c>
      <c r="Q39" s="1481">
        <f t="shared" si="99"/>
        <v>7.9500000000000001E-2</v>
      </c>
      <c r="R39" s="1474"/>
      <c r="S39" s="1480">
        <f>B39/B40-1</f>
        <v>2.713213765211786E-2</v>
      </c>
      <c r="T39" s="1481">
        <f>C39/C40-1</f>
        <v>3.9774828499231862E-2</v>
      </c>
      <c r="U39" s="1481">
        <f>E39/E40-1</f>
        <v>1.8197311840641772E-2</v>
      </c>
      <c r="V39" s="1481">
        <f>F39/F40-1</f>
        <v>7.8211933962205826E-2</v>
      </c>
      <c r="X39" s="1460"/>
      <c r="Y39" s="1460"/>
      <c r="Z39" s="1460"/>
    </row>
    <row r="40" spans="1:26" ht="13.8" thickBot="1">
      <c r="A40" s="1461" t="s">
        <v>1171</v>
      </c>
      <c r="B40" s="1469">
        <v>269</v>
      </c>
      <c r="C40" s="1469">
        <v>221</v>
      </c>
      <c r="D40" s="1469">
        <f t="shared" si="97"/>
        <v>221</v>
      </c>
      <c r="E40" s="1469">
        <v>373</v>
      </c>
      <c r="F40" s="1470">
        <v>196</v>
      </c>
      <c r="G40" s="3280">
        <v>2010</v>
      </c>
      <c r="H40" s="1482">
        <v>4</v>
      </c>
      <c r="I40" s="1482">
        <v>5.72</v>
      </c>
      <c r="J40" s="1482">
        <v>6.57</v>
      </c>
      <c r="K40" s="1482">
        <v>5.72</v>
      </c>
      <c r="L40" s="1483">
        <v>2.72</v>
      </c>
      <c r="N40" s="1472">
        <f t="shared" si="99"/>
        <v>5.7200000000000001E-2</v>
      </c>
      <c r="O40" s="1473">
        <f t="shared" si="99"/>
        <v>6.5700000000000008E-2</v>
      </c>
      <c r="P40" s="1473">
        <f t="shared" si="99"/>
        <v>5.7200000000000001E-2</v>
      </c>
      <c r="Q40" s="1473">
        <f t="shared" si="99"/>
        <v>2.7200000000000002E-2</v>
      </c>
      <c r="R40" s="1474"/>
      <c r="S40" s="1475"/>
      <c r="T40" s="1476"/>
      <c r="U40" s="1476"/>
      <c r="V40" s="1476"/>
      <c r="X40" s="1476"/>
      <c r="Y40" s="1476"/>
      <c r="Z40" s="1476"/>
    </row>
    <row r="41" spans="1:26">
      <c r="A41" s="1461" t="s">
        <v>1172</v>
      </c>
      <c r="B41" s="1477">
        <f t="shared" ref="B41:C43" si="111">B40/(1+N40)</f>
        <v>254.44570563753314</v>
      </c>
      <c r="C41" s="1477">
        <f t="shared" si="111"/>
        <v>207.37543398705074</v>
      </c>
      <c r="D41" s="1477">
        <f t="shared" si="97"/>
        <v>207.37543398705074</v>
      </c>
      <c r="E41" s="1477">
        <f t="shared" ref="E41:F43" si="112">E40/(1+P40)</f>
        <v>352.81876655315932</v>
      </c>
      <c r="F41" s="1477">
        <f t="shared" si="112"/>
        <v>190.809968847352</v>
      </c>
      <c r="G41" s="3281">
        <v>2010</v>
      </c>
      <c r="H41" s="1487">
        <v>3</v>
      </c>
      <c r="I41" s="1487">
        <v>4.7300000000000004</v>
      </c>
      <c r="J41" s="1487">
        <v>3.9</v>
      </c>
      <c r="K41" s="1487">
        <v>5.03</v>
      </c>
      <c r="L41" s="1488">
        <v>4.21</v>
      </c>
      <c r="N41" s="1472">
        <f t="shared" si="99"/>
        <v>4.7300000000000002E-2</v>
      </c>
      <c r="O41" s="1473">
        <f t="shared" si="99"/>
        <v>3.9E-2</v>
      </c>
      <c r="P41" s="1473">
        <f t="shared" si="99"/>
        <v>5.0300000000000004E-2</v>
      </c>
      <c r="Q41" s="1473">
        <f t="shared" si="99"/>
        <v>4.2099999999999999E-2</v>
      </c>
      <c r="R41" s="1474"/>
      <c r="S41" s="1472"/>
      <c r="T41" s="1473"/>
      <c r="U41" s="1473"/>
      <c r="V41" s="1473"/>
    </row>
    <row r="42" spans="1:26">
      <c r="A42" s="1461" t="s">
        <v>1173</v>
      </c>
      <c r="B42" s="1477">
        <f t="shared" si="111"/>
        <v>242.95398227588385</v>
      </c>
      <c r="C42" s="1477">
        <f t="shared" si="111"/>
        <v>199.59137053614126</v>
      </c>
      <c r="D42" s="1477">
        <f t="shared" si="97"/>
        <v>199.59137053614126</v>
      </c>
      <c r="E42" s="1477">
        <f t="shared" si="112"/>
        <v>335.92189522342125</v>
      </c>
      <c r="F42" s="1477">
        <f t="shared" si="112"/>
        <v>183.10139991109489</v>
      </c>
      <c r="G42" s="3281">
        <v>2010</v>
      </c>
      <c r="H42" s="1465">
        <v>2</v>
      </c>
      <c r="I42" s="1465">
        <v>4.6900000000000004</v>
      </c>
      <c r="J42" s="1465">
        <v>3.55</v>
      </c>
      <c r="K42" s="1465">
        <v>5.07</v>
      </c>
      <c r="L42" s="1479">
        <v>4.2300000000000004</v>
      </c>
      <c r="N42" s="1472">
        <f t="shared" si="99"/>
        <v>4.6900000000000004E-2</v>
      </c>
      <c r="O42" s="1473">
        <f t="shared" si="99"/>
        <v>3.5499999999999997E-2</v>
      </c>
      <c r="P42" s="1473">
        <f t="shared" si="99"/>
        <v>5.0700000000000002E-2</v>
      </c>
      <c r="Q42" s="1473">
        <f t="shared" si="99"/>
        <v>4.2300000000000004E-2</v>
      </c>
      <c r="R42" s="1474"/>
      <c r="S42" s="1472"/>
      <c r="T42" s="1473"/>
      <c r="U42" s="1473"/>
      <c r="V42" s="1473"/>
    </row>
    <row r="43" spans="1:26" ht="13.8" thickBot="1">
      <c r="A43" s="1461" t="s">
        <v>1174</v>
      </c>
      <c r="B43" s="1477">
        <f t="shared" si="111"/>
        <v>232.06990378821649</v>
      </c>
      <c r="C43" s="1477">
        <f t="shared" si="111"/>
        <v>192.74878854286936</v>
      </c>
      <c r="D43" s="1477">
        <f t="shared" si="97"/>
        <v>192.74878854286936</v>
      </c>
      <c r="E43" s="1477">
        <f t="shared" si="112"/>
        <v>319.71247284992984</v>
      </c>
      <c r="F43" s="1477">
        <f t="shared" si="112"/>
        <v>175.67053622862409</v>
      </c>
      <c r="G43" s="3282">
        <v>2010</v>
      </c>
      <c r="H43" s="1464">
        <v>1</v>
      </c>
      <c r="I43" s="1464">
        <v>5.4</v>
      </c>
      <c r="J43" s="1464">
        <v>3.2</v>
      </c>
      <c r="K43" s="1464">
        <v>6.16</v>
      </c>
      <c r="L43" s="1478">
        <v>4.51</v>
      </c>
      <c r="N43" s="1472">
        <f t="shared" si="99"/>
        <v>5.4000000000000006E-2</v>
      </c>
      <c r="O43" s="1473">
        <f t="shared" si="99"/>
        <v>3.2000000000000001E-2</v>
      </c>
      <c r="P43" s="1473">
        <f t="shared" si="99"/>
        <v>6.1600000000000002E-2</v>
      </c>
      <c r="Q43" s="1473">
        <f t="shared" si="99"/>
        <v>4.5100000000000001E-2</v>
      </c>
      <c r="R43" s="1474"/>
      <c r="S43" s="1480">
        <f>B43/B44-1</f>
        <v>5.4863199037347599E-2</v>
      </c>
      <c r="T43" s="1481">
        <f>C43/C44-1</f>
        <v>3.0742184721226584E-2</v>
      </c>
      <c r="U43" s="1481">
        <f>E43/E44-1</f>
        <v>6.2167683886810154E-2</v>
      </c>
      <c r="V43" s="1481">
        <f>F43/F44-1</f>
        <v>4.5657953741810031E-2</v>
      </c>
      <c r="X43" s="1460"/>
      <c r="Y43" s="1460"/>
      <c r="Z43" s="1460"/>
    </row>
    <row r="44" spans="1:26" ht="13.8" thickBot="1">
      <c r="A44" s="1461" t="s">
        <v>1175</v>
      </c>
      <c r="B44" s="1469">
        <v>220</v>
      </c>
      <c r="C44" s="1469">
        <v>187</v>
      </c>
      <c r="D44" s="1469">
        <f t="shared" si="97"/>
        <v>187</v>
      </c>
      <c r="E44" s="1469">
        <v>301</v>
      </c>
      <c r="F44" s="1470">
        <v>168</v>
      </c>
      <c r="G44" s="3280">
        <v>2009</v>
      </c>
      <c r="H44" s="1482">
        <v>4</v>
      </c>
      <c r="I44" s="1482">
        <v>2.2999999999999998</v>
      </c>
      <c r="J44" s="1482">
        <v>1.04</v>
      </c>
      <c r="K44" s="1482">
        <v>2.84</v>
      </c>
      <c r="L44" s="1483">
        <v>0.67</v>
      </c>
      <c r="N44" s="1484">
        <f t="shared" si="99"/>
        <v>2.3E-2</v>
      </c>
      <c r="O44" s="1485">
        <f t="shared" si="99"/>
        <v>1.04E-2</v>
      </c>
      <c r="P44" s="1485">
        <f t="shared" si="99"/>
        <v>2.8399999999999998E-2</v>
      </c>
      <c r="Q44" s="1485">
        <f t="shared" si="99"/>
        <v>6.7000000000000002E-3</v>
      </c>
      <c r="R44" s="1474"/>
      <c r="S44" s="1475"/>
      <c r="T44" s="1476"/>
      <c r="U44" s="1476"/>
      <c r="V44" s="1476"/>
      <c r="X44" s="1476"/>
      <c r="Y44" s="1476"/>
      <c r="Z44" s="1476"/>
    </row>
    <row r="45" spans="1:26">
      <c r="A45" s="1461" t="s">
        <v>1176</v>
      </c>
      <c r="B45" s="1477">
        <f t="shared" ref="B45:C47" si="113">B44/(1+N44)</f>
        <v>215.05376344086022</v>
      </c>
      <c r="C45" s="1477">
        <f t="shared" si="113"/>
        <v>185.0752177355503</v>
      </c>
      <c r="D45" s="1477">
        <f t="shared" si="97"/>
        <v>185.0752177355503</v>
      </c>
      <c r="E45" s="1477">
        <f t="shared" ref="E45:F47" si="114">E44/(1+P44)</f>
        <v>292.68767016725008</v>
      </c>
      <c r="F45" s="1477">
        <f t="shared" si="114"/>
        <v>166.88189132810174</v>
      </c>
      <c r="G45" s="3281">
        <v>2009</v>
      </c>
      <c r="H45" s="1487">
        <v>3</v>
      </c>
      <c r="I45" s="1487">
        <v>2.1</v>
      </c>
      <c r="J45" s="1487">
        <v>1.86</v>
      </c>
      <c r="K45" s="1487">
        <v>2.29</v>
      </c>
      <c r="L45" s="1488">
        <v>0.85</v>
      </c>
      <c r="N45" s="1472">
        <f t="shared" si="99"/>
        <v>2.1000000000000001E-2</v>
      </c>
      <c r="O45" s="1489">
        <f t="shared" si="99"/>
        <v>1.8600000000000002E-2</v>
      </c>
      <c r="P45" s="1489">
        <f t="shared" si="99"/>
        <v>2.29E-2</v>
      </c>
      <c r="Q45" s="1489">
        <f t="shared" si="99"/>
        <v>8.5000000000000006E-3</v>
      </c>
      <c r="R45" s="1474"/>
      <c r="S45" s="1472"/>
      <c r="T45" s="1473"/>
      <c r="U45" s="1473"/>
      <c r="V45" s="1473"/>
    </row>
    <row r="46" spans="1:26">
      <c r="A46" s="1461" t="s">
        <v>1177</v>
      </c>
      <c r="B46" s="1477">
        <f t="shared" si="113"/>
        <v>210.630522469011</v>
      </c>
      <c r="C46" s="1477">
        <f t="shared" si="113"/>
        <v>181.69567812247232</v>
      </c>
      <c r="D46" s="1477">
        <f t="shared" si="97"/>
        <v>181.69567812247232</v>
      </c>
      <c r="E46" s="1477">
        <f t="shared" si="114"/>
        <v>286.13517466736738</v>
      </c>
      <c r="F46" s="1477">
        <f t="shared" si="114"/>
        <v>165.47535084591149</v>
      </c>
      <c r="G46" s="3281">
        <v>2009</v>
      </c>
      <c r="H46" s="1465">
        <v>2</v>
      </c>
      <c r="I46" s="1465">
        <v>0.86</v>
      </c>
      <c r="J46" s="1465">
        <v>-1.1299999999999999</v>
      </c>
      <c r="K46" s="1465">
        <v>1.79</v>
      </c>
      <c r="L46" s="1479">
        <v>-2.0699999999999998</v>
      </c>
      <c r="N46" s="1472">
        <f t="shared" si="99"/>
        <v>8.6E-3</v>
      </c>
      <c r="O46" s="1489">
        <f t="shared" si="99"/>
        <v>-1.1299999999999999E-2</v>
      </c>
      <c r="P46" s="1489">
        <f t="shared" si="99"/>
        <v>1.7899999999999999E-2</v>
      </c>
      <c r="Q46" s="1489">
        <f t="shared" si="99"/>
        <v>-2.07E-2</v>
      </c>
      <c r="R46" s="1474"/>
      <c r="S46" s="1472"/>
      <c r="T46" s="1473"/>
      <c r="U46" s="1473"/>
      <c r="V46" s="1473"/>
    </row>
    <row r="47" spans="1:26">
      <c r="A47" s="1461" t="s">
        <v>1178</v>
      </c>
      <c r="B47" s="1477">
        <f t="shared" si="113"/>
        <v>208.83454537875372</v>
      </c>
      <c r="C47" s="1477">
        <f t="shared" si="113"/>
        <v>183.77230517090351</v>
      </c>
      <c r="D47" s="1477">
        <f t="shared" si="97"/>
        <v>183.77230517090351</v>
      </c>
      <c r="E47" s="1477">
        <f t="shared" si="114"/>
        <v>281.10342338870947</v>
      </c>
      <c r="F47" s="1477">
        <f t="shared" si="114"/>
        <v>168.97309388942256</v>
      </c>
      <c r="G47" s="3282">
        <v>2009</v>
      </c>
      <c r="H47" s="1464">
        <v>1</v>
      </c>
      <c r="I47" s="1464">
        <v>-2.64</v>
      </c>
      <c r="J47" s="1464">
        <v>-2.5299999999999998</v>
      </c>
      <c r="K47" s="1464">
        <v>-3.02</v>
      </c>
      <c r="L47" s="1478">
        <v>1.52</v>
      </c>
      <c r="N47" s="1480">
        <f t="shared" si="99"/>
        <v>-2.64E-2</v>
      </c>
      <c r="O47" s="1481">
        <f t="shared" si="99"/>
        <v>-2.53E-2</v>
      </c>
      <c r="P47" s="1481">
        <f t="shared" si="99"/>
        <v>-3.0200000000000001E-2</v>
      </c>
      <c r="Q47" s="1481">
        <f t="shared" si="99"/>
        <v>1.52E-2</v>
      </c>
      <c r="R47" s="1474"/>
      <c r="S47" s="1480">
        <f>B47/B48-1</f>
        <v>-2.4137638417038754E-2</v>
      </c>
      <c r="T47" s="1481">
        <f>C47/C48-1</f>
        <v>-2.248773845264096E-2</v>
      </c>
      <c r="U47" s="1481">
        <f>E47/E48-1</f>
        <v>-2.7323794502735366E-2</v>
      </c>
      <c r="V47" s="1481">
        <f>F47/F48-1</f>
        <v>1.7910204153148035E-2</v>
      </c>
      <c r="X47" s="1460"/>
      <c r="Y47" s="1460"/>
      <c r="Z47" s="1460"/>
    </row>
    <row r="48" spans="1:26" ht="13.8" thickBot="1">
      <c r="A48" s="1461" t="s">
        <v>1179</v>
      </c>
      <c r="B48" s="1511">
        <v>214</v>
      </c>
      <c r="C48" s="1511">
        <v>188</v>
      </c>
      <c r="D48" s="1511">
        <f t="shared" si="97"/>
        <v>188</v>
      </c>
      <c r="E48" s="1511">
        <v>289</v>
      </c>
      <c r="F48" s="1512">
        <v>166</v>
      </c>
      <c r="G48" s="3280">
        <v>2008</v>
      </c>
      <c r="H48" s="1482">
        <v>4</v>
      </c>
      <c r="I48" s="1482">
        <v>1.73</v>
      </c>
      <c r="J48" s="1482">
        <v>0.03</v>
      </c>
      <c r="K48" s="1482">
        <v>2.59</v>
      </c>
      <c r="L48" s="1483">
        <v>-1.66</v>
      </c>
      <c r="N48" s="1472">
        <f t="shared" si="99"/>
        <v>1.7299999999999999E-2</v>
      </c>
      <c r="O48" s="1473">
        <f t="shared" si="99"/>
        <v>2.9999999999999997E-4</v>
      </c>
      <c r="P48" s="1473">
        <f t="shared" si="99"/>
        <v>2.5899999999999999E-2</v>
      </c>
      <c r="Q48" s="1473">
        <f t="shared" si="99"/>
        <v>-1.66E-2</v>
      </c>
      <c r="R48" s="1474"/>
      <c r="S48" s="1475"/>
      <c r="T48" s="1476"/>
      <c r="U48" s="1476"/>
      <c r="V48" s="1476"/>
      <c r="X48" s="1476"/>
      <c r="Y48" s="1476"/>
      <c r="Z48" s="1476"/>
    </row>
    <row r="49" spans="1:26">
      <c r="A49" s="1461" t="s">
        <v>1180</v>
      </c>
      <c r="B49" s="1477">
        <f t="shared" ref="B49:C51" si="115">B48/(1+N48)</f>
        <v>210.36075887152265</v>
      </c>
      <c r="C49" s="1477">
        <f t="shared" si="115"/>
        <v>187.94361691492554</v>
      </c>
      <c r="D49" s="1477">
        <f t="shared" si="97"/>
        <v>187.94361691492554</v>
      </c>
      <c r="E49" s="1477">
        <f t="shared" ref="E49:F51" si="116">E48/(1+P48)</f>
        <v>281.70386977288234</v>
      </c>
      <c r="F49" s="1477">
        <f t="shared" si="116"/>
        <v>168.80211511083994</v>
      </c>
      <c r="G49" s="3281">
        <v>2008</v>
      </c>
      <c r="H49" s="1487">
        <v>3</v>
      </c>
      <c r="I49" s="1487">
        <v>1.96</v>
      </c>
      <c r="J49" s="1487">
        <v>2.36</v>
      </c>
      <c r="K49" s="1487">
        <v>1.82</v>
      </c>
      <c r="L49" s="1488">
        <v>2.2200000000000002</v>
      </c>
      <c r="N49" s="1472">
        <f t="shared" si="99"/>
        <v>1.9599999999999999E-2</v>
      </c>
      <c r="O49" s="1473">
        <f t="shared" si="99"/>
        <v>2.3599999999999999E-2</v>
      </c>
      <c r="P49" s="1473">
        <f t="shared" si="99"/>
        <v>1.8200000000000001E-2</v>
      </c>
      <c r="Q49" s="1473">
        <f t="shared" si="99"/>
        <v>2.2200000000000001E-2</v>
      </c>
      <c r="R49" s="1474"/>
      <c r="S49" s="1472"/>
      <c r="T49" s="1473"/>
      <c r="U49" s="1473"/>
      <c r="V49" s="1473"/>
    </row>
    <row r="50" spans="1:26">
      <c r="A50" s="1461" t="s">
        <v>1181</v>
      </c>
      <c r="B50" s="1477">
        <f t="shared" si="115"/>
        <v>206.31694671589116</v>
      </c>
      <c r="C50" s="1477">
        <f t="shared" si="115"/>
        <v>183.61041121036101</v>
      </c>
      <c r="D50" s="1477">
        <f t="shared" si="97"/>
        <v>183.61041121036101</v>
      </c>
      <c r="E50" s="1477">
        <f t="shared" si="116"/>
        <v>276.66850301795557</v>
      </c>
      <c r="F50" s="1477">
        <f t="shared" si="116"/>
        <v>165.1360938278614</v>
      </c>
      <c r="G50" s="3281">
        <v>2008</v>
      </c>
      <c r="H50" s="1465">
        <v>2</v>
      </c>
      <c r="I50" s="1465">
        <v>4.93</v>
      </c>
      <c r="J50" s="1465">
        <v>7.38</v>
      </c>
      <c r="K50" s="1465">
        <v>3.98</v>
      </c>
      <c r="L50" s="1479">
        <v>6.86</v>
      </c>
      <c r="N50" s="1472">
        <f t="shared" si="99"/>
        <v>4.9299999999999997E-2</v>
      </c>
      <c r="O50" s="1473">
        <f t="shared" si="99"/>
        <v>7.3800000000000004E-2</v>
      </c>
      <c r="P50" s="1473">
        <f t="shared" si="99"/>
        <v>3.9800000000000002E-2</v>
      </c>
      <c r="Q50" s="1473">
        <f t="shared" si="99"/>
        <v>6.8600000000000008E-2</v>
      </c>
      <c r="R50" s="1474"/>
      <c r="S50" s="1472"/>
      <c r="T50" s="1473"/>
      <c r="U50" s="1473"/>
      <c r="V50" s="1473"/>
    </row>
    <row r="51" spans="1:26" s="1517" customFormat="1" ht="13.8" thickBot="1">
      <c r="A51" s="1461" t="s">
        <v>1182</v>
      </c>
      <c r="B51" s="1514">
        <f t="shared" si="115"/>
        <v>196.62341248059772</v>
      </c>
      <c r="C51" s="1514">
        <f t="shared" si="115"/>
        <v>170.99125648199012</v>
      </c>
      <c r="D51" s="1514">
        <f t="shared" si="97"/>
        <v>170.99125648199012</v>
      </c>
      <c r="E51" s="1514">
        <f t="shared" si="116"/>
        <v>266.07857570490052</v>
      </c>
      <c r="F51" s="1514">
        <f t="shared" si="116"/>
        <v>154.53499328828505</v>
      </c>
      <c r="G51" s="3282">
        <v>2008</v>
      </c>
      <c r="H51" s="1515">
        <v>1</v>
      </c>
      <c r="I51" s="1515">
        <v>4.1399999999999997</v>
      </c>
      <c r="J51" s="1515">
        <v>3.45</v>
      </c>
      <c r="K51" s="1515">
        <v>4.95</v>
      </c>
      <c r="L51" s="1516">
        <v>4.82</v>
      </c>
      <c r="N51" s="1518">
        <f t="shared" si="99"/>
        <v>4.1399999999999999E-2</v>
      </c>
      <c r="O51" s="1519">
        <f t="shared" si="99"/>
        <v>3.4500000000000003E-2</v>
      </c>
      <c r="P51" s="1519">
        <f t="shared" si="99"/>
        <v>4.9500000000000002E-2</v>
      </c>
      <c r="Q51" s="1519">
        <f t="shared" si="99"/>
        <v>4.82E-2</v>
      </c>
      <c r="R51" s="1520"/>
      <c r="S51" s="1518">
        <f>B51/B52-1</f>
        <v>4.5869215322328349E-2</v>
      </c>
      <c r="T51" s="1519">
        <f>C51/C52-1</f>
        <v>3.6310645345394743E-2</v>
      </c>
      <c r="U51" s="1519">
        <f>E51/E52-1</f>
        <v>4.7553447657088688E-2</v>
      </c>
      <c r="V51" s="1519">
        <f>F51/F52-1</f>
        <v>4.4155360055980086E-2</v>
      </c>
      <c r="X51" s="1521"/>
      <c r="Y51" s="1521"/>
      <c r="Z51" s="1521"/>
    </row>
    <row r="52" spans="1:26" ht="13.8" thickBot="1">
      <c r="A52" s="1461" t="s">
        <v>1183</v>
      </c>
      <c r="B52" s="1469">
        <v>188</v>
      </c>
      <c r="C52" s="1469">
        <v>165</v>
      </c>
      <c r="D52" s="1469">
        <f t="shared" si="97"/>
        <v>165</v>
      </c>
      <c r="E52" s="1469">
        <v>254</v>
      </c>
      <c r="F52" s="1470">
        <v>148</v>
      </c>
      <c r="G52" s="3280">
        <v>2007</v>
      </c>
      <c r="H52" s="1522">
        <v>4</v>
      </c>
      <c r="I52" s="1522">
        <v>5.51</v>
      </c>
      <c r="J52" s="1522">
        <v>4.8899999999999997</v>
      </c>
      <c r="K52" s="1522">
        <v>6.43</v>
      </c>
      <c r="L52" s="1523">
        <v>5.36</v>
      </c>
      <c r="N52" s="1524">
        <f t="shared" ref="N52:O55" si="117">B52/B53-1</f>
        <v>4.1339718365245526E-2</v>
      </c>
      <c r="O52" s="1525">
        <f t="shared" si="117"/>
        <v>4.0324492593776018E-2</v>
      </c>
      <c r="P52" s="1525">
        <f t="shared" ref="P52:Q55" si="118">E52/E53-1</f>
        <v>6.1625555347990968E-2</v>
      </c>
      <c r="Q52" s="1525">
        <f t="shared" si="118"/>
        <v>4.6757569250590603E-2</v>
      </c>
      <c r="R52" s="1474"/>
      <c r="S52" s="1475"/>
      <c r="T52" s="1476"/>
      <c r="U52" s="1476"/>
      <c r="V52" s="1476"/>
      <c r="X52" s="1476"/>
      <c r="Y52" s="1476"/>
      <c r="Z52" s="1476"/>
    </row>
    <row r="53" spans="1:26">
      <c r="A53" s="1461" t="s">
        <v>1184</v>
      </c>
      <c r="B53" s="1477">
        <f t="shared" ref="B53:C55" si="119">B54+(B$52-B$56)*I53/SUM(I$52:I$55)</f>
        <v>180.5366651097618</v>
      </c>
      <c r="C53" s="1477">
        <f t="shared" si="119"/>
        <v>158.60435967302453</v>
      </c>
      <c r="D53" s="1477">
        <f t="shared" si="97"/>
        <v>158.60435967302453</v>
      </c>
      <c r="E53" s="1477">
        <f t="shared" ref="E53:F55" si="120">E54+(E$52-E$56)*K53/SUM(K$52:K$55)</f>
        <v>239.25573260785075</v>
      </c>
      <c r="F53" s="1477">
        <f t="shared" si="120"/>
        <v>141.38899430740037</v>
      </c>
      <c r="G53" s="3281">
        <v>2007</v>
      </c>
      <c r="H53" s="1487">
        <v>3</v>
      </c>
      <c r="I53" s="1487">
        <v>8.65</v>
      </c>
      <c r="J53" s="1487">
        <v>8.06</v>
      </c>
      <c r="K53" s="1487">
        <v>9.94</v>
      </c>
      <c r="L53" s="1488">
        <v>5.8</v>
      </c>
      <c r="N53" s="1524">
        <f t="shared" si="117"/>
        <v>6.940217571740015E-2</v>
      </c>
      <c r="O53" s="1525">
        <f t="shared" si="117"/>
        <v>7.1197482471153428E-2</v>
      </c>
      <c r="P53" s="1525">
        <f t="shared" si="118"/>
        <v>0.10529679922579582</v>
      </c>
      <c r="Q53" s="1525">
        <f t="shared" si="118"/>
        <v>5.3292245059512133E-2</v>
      </c>
      <c r="R53" s="1474"/>
      <c r="S53" s="1472"/>
      <c r="T53" s="1473"/>
      <c r="U53" s="1473"/>
      <c r="V53" s="1473"/>
      <c r="X53" s="1526"/>
      <c r="Y53" s="1526"/>
      <c r="Z53" s="1526"/>
    </row>
    <row r="54" spans="1:26">
      <c r="A54" s="1461" t="s">
        <v>1185</v>
      </c>
      <c r="B54" s="1477">
        <f t="shared" si="119"/>
        <v>168.82017748715555</v>
      </c>
      <c r="C54" s="1477">
        <f t="shared" si="119"/>
        <v>148.06267029972753</v>
      </c>
      <c r="D54" s="1477">
        <f t="shared" si="97"/>
        <v>148.06267029972753</v>
      </c>
      <c r="E54" s="1477">
        <f t="shared" si="120"/>
        <v>216.46288379323747</v>
      </c>
      <c r="F54" s="1477">
        <f t="shared" si="120"/>
        <v>134.23529411764704</v>
      </c>
      <c r="G54" s="3281">
        <v>2007</v>
      </c>
      <c r="H54" s="1465">
        <v>2</v>
      </c>
      <c r="I54" s="1465">
        <v>3.67</v>
      </c>
      <c r="J54" s="1465">
        <v>2.3199999999999998</v>
      </c>
      <c r="K54" s="1465">
        <v>5.0199999999999996</v>
      </c>
      <c r="L54" s="1479">
        <v>6.71</v>
      </c>
      <c r="N54" s="1524">
        <f t="shared" si="117"/>
        <v>3.0339138143848032E-2</v>
      </c>
      <c r="O54" s="1525">
        <f t="shared" si="117"/>
        <v>2.0922341588790472E-2</v>
      </c>
      <c r="P54" s="1525">
        <f t="shared" si="118"/>
        <v>5.6164796592717003E-2</v>
      </c>
      <c r="Q54" s="1525">
        <f t="shared" si="118"/>
        <v>6.5704536723887319E-2</v>
      </c>
      <c r="R54" s="1474"/>
      <c r="S54" s="1472"/>
      <c r="T54" s="1473"/>
      <c r="U54" s="1473"/>
      <c r="V54" s="1473"/>
      <c r="X54" s="1526"/>
      <c r="Y54" s="1526"/>
      <c r="Z54" s="1526"/>
    </row>
    <row r="55" spans="1:26">
      <c r="A55" s="1461" t="s">
        <v>1186</v>
      </c>
      <c r="B55" s="1477">
        <f t="shared" si="119"/>
        <v>163.84913591779542</v>
      </c>
      <c r="C55" s="1477">
        <f t="shared" si="119"/>
        <v>145.0283378746594</v>
      </c>
      <c r="D55" s="1477">
        <f t="shared" si="97"/>
        <v>145.0283378746594</v>
      </c>
      <c r="E55" s="1477">
        <f t="shared" si="120"/>
        <v>204.95180722891567</v>
      </c>
      <c r="F55" s="1477">
        <f t="shared" si="120"/>
        <v>125.95920303605313</v>
      </c>
      <c r="G55" s="3282">
        <v>2007</v>
      </c>
      <c r="H55" s="1464">
        <v>1</v>
      </c>
      <c r="I55" s="1464">
        <v>3.58</v>
      </c>
      <c r="J55" s="1464">
        <v>3.08</v>
      </c>
      <c r="K55" s="1464">
        <v>4.34</v>
      </c>
      <c r="L55" s="1478">
        <v>3.21</v>
      </c>
      <c r="N55" s="1527">
        <f t="shared" si="117"/>
        <v>3.0497710174814063E-2</v>
      </c>
      <c r="O55" s="1528">
        <f t="shared" si="117"/>
        <v>2.8569772160704998E-2</v>
      </c>
      <c r="P55" s="1528">
        <f t="shared" si="118"/>
        <v>5.1034908866234296E-2</v>
      </c>
      <c r="Q55" s="1528">
        <f t="shared" si="118"/>
        <v>3.245248390207478E-2</v>
      </c>
      <c r="R55" s="1474"/>
      <c r="S55" s="1480">
        <f>B55/B56-1</f>
        <v>3.0497710174814063E-2</v>
      </c>
      <c r="T55" s="1481">
        <f>C55/C56-1</f>
        <v>2.8569772160704998E-2</v>
      </c>
      <c r="U55" s="1481">
        <f>E55/E56-1</f>
        <v>5.1034908866234296E-2</v>
      </c>
      <c r="V55" s="1481">
        <f>F55/F56-1</f>
        <v>3.245248390207478E-2</v>
      </c>
      <c r="X55" s="1526"/>
      <c r="Y55" s="1526"/>
      <c r="Z55" s="1526"/>
    </row>
    <row r="56" spans="1:26" ht="13.8" thickBot="1">
      <c r="A56" s="1461" t="s">
        <v>1187</v>
      </c>
      <c r="B56" s="1490">
        <v>159</v>
      </c>
      <c r="C56" s="1490">
        <v>141</v>
      </c>
      <c r="D56" s="1490">
        <f t="shared" si="97"/>
        <v>141</v>
      </c>
      <c r="E56" s="1490">
        <v>195</v>
      </c>
      <c r="F56" s="1491">
        <v>122</v>
      </c>
      <c r="G56" s="3280">
        <v>2006</v>
      </c>
      <c r="H56" s="1482">
        <v>4</v>
      </c>
      <c r="I56" s="1482">
        <v>3.79</v>
      </c>
      <c r="J56" s="1482">
        <v>2.21</v>
      </c>
      <c r="K56" s="1482">
        <v>5.65</v>
      </c>
      <c r="L56" s="1483">
        <v>5.41</v>
      </c>
      <c r="N56" s="1524">
        <f t="shared" ref="N56:O59" si="121">I56/SUM(I$56:I$59)*(B$56/B$60-1)</f>
        <v>7.245466462748526E-2</v>
      </c>
      <c r="O56" s="1525">
        <f t="shared" si="121"/>
        <v>2.3237230038062766E-2</v>
      </c>
      <c r="P56" s="1525">
        <f t="shared" ref="P56:Q59" si="122">K56/SUM(K$56:K$59)*(E$56/E$60-1)</f>
        <v>0.16146893866323722</v>
      </c>
      <c r="Q56" s="1525">
        <f t="shared" si="122"/>
        <v>5.0755230321793784E-2</v>
      </c>
      <c r="R56" s="1474"/>
      <c r="S56" s="1475"/>
      <c r="T56" s="1476"/>
      <c r="U56" s="1476"/>
      <c r="V56" s="1476"/>
      <c r="X56" s="1526"/>
      <c r="Y56" s="1526"/>
      <c r="Z56" s="1526"/>
    </row>
    <row r="57" spans="1:26">
      <c r="A57" s="1461" t="s">
        <v>1188</v>
      </c>
      <c r="B57" s="1477">
        <f t="shared" ref="B57:C59" si="123">B58+(B$56-B$60)*I57/SUM(I$56:I$59)</f>
        <v>149.00125628140702</v>
      </c>
      <c r="C57" s="1477">
        <f t="shared" si="123"/>
        <v>137.95592286501378</v>
      </c>
      <c r="D57" s="1477">
        <f t="shared" si="97"/>
        <v>137.95592286501378</v>
      </c>
      <c r="E57" s="1477">
        <f t="shared" ref="E57:F59" si="124">E58+(E$56-E$60)*K57/SUM(K$56:K$59)</f>
        <v>169.97231450719823</v>
      </c>
      <c r="F57" s="1477">
        <f t="shared" si="124"/>
        <v>116.21390374331551</v>
      </c>
      <c r="G57" s="3281">
        <v>2006</v>
      </c>
      <c r="H57" s="1487">
        <v>3</v>
      </c>
      <c r="I57" s="1487">
        <v>0.92</v>
      </c>
      <c r="J57" s="1487">
        <v>1.08</v>
      </c>
      <c r="K57" s="1487">
        <v>0.73</v>
      </c>
      <c r="L57" s="1488">
        <v>1.08</v>
      </c>
      <c r="N57" s="1524">
        <f t="shared" si="121"/>
        <v>1.7587939698492462E-2</v>
      </c>
      <c r="O57" s="1525">
        <f t="shared" si="121"/>
        <v>1.1355750425840628E-2</v>
      </c>
      <c r="P57" s="1525">
        <f t="shared" si="122"/>
        <v>2.0862358446754544E-2</v>
      </c>
      <c r="Q57" s="1525">
        <f t="shared" si="122"/>
        <v>1.0132282578103011E-2</v>
      </c>
      <c r="R57" s="1474"/>
      <c r="S57" s="1472"/>
      <c r="T57" s="1473"/>
      <c r="U57" s="1473"/>
      <c r="V57" s="1473"/>
      <c r="X57" s="1526"/>
      <c r="Y57" s="1526"/>
      <c r="Z57" s="1526"/>
    </row>
    <row r="58" spans="1:26">
      <c r="A58" s="1461" t="s">
        <v>1189</v>
      </c>
      <c r="B58" s="1477">
        <f t="shared" si="123"/>
        <v>146.57412060301507</v>
      </c>
      <c r="C58" s="1477">
        <f t="shared" si="123"/>
        <v>136.46831955922866</v>
      </c>
      <c r="D58" s="1477">
        <f t="shared" si="97"/>
        <v>136.46831955922866</v>
      </c>
      <c r="E58" s="1477">
        <f t="shared" si="124"/>
        <v>166.73864894795128</v>
      </c>
      <c r="F58" s="1477">
        <f t="shared" si="124"/>
        <v>115.05882352941177</v>
      </c>
      <c r="G58" s="3281">
        <v>2006</v>
      </c>
      <c r="H58" s="1465">
        <v>2</v>
      </c>
      <c r="I58" s="1465">
        <v>0.96</v>
      </c>
      <c r="J58" s="1465">
        <v>0.25</v>
      </c>
      <c r="K58" s="1465">
        <v>1.9</v>
      </c>
      <c r="L58" s="1479">
        <v>0.95</v>
      </c>
      <c r="N58" s="1524">
        <f t="shared" si="121"/>
        <v>1.8352632728861701E-2</v>
      </c>
      <c r="O58" s="1525">
        <f t="shared" si="121"/>
        <v>2.6286459319075526E-3</v>
      </c>
      <c r="P58" s="1525">
        <f t="shared" si="122"/>
        <v>5.4299289107991269E-2</v>
      </c>
      <c r="Q58" s="1525">
        <f t="shared" si="122"/>
        <v>8.9126559714794995E-3</v>
      </c>
      <c r="R58" s="1474"/>
      <c r="S58" s="1472"/>
      <c r="T58" s="1473"/>
      <c r="U58" s="1473"/>
      <c r="V58" s="1473"/>
      <c r="X58" s="1526"/>
      <c r="Y58" s="1526"/>
      <c r="Z58" s="1526"/>
    </row>
    <row r="59" spans="1:26">
      <c r="A59" s="1461" t="s">
        <v>1190</v>
      </c>
      <c r="B59" s="1477">
        <f t="shared" si="123"/>
        <v>144.04145728643215</v>
      </c>
      <c r="C59" s="1477">
        <f t="shared" si="123"/>
        <v>136.12396694214877</v>
      </c>
      <c r="D59" s="1477">
        <f t="shared" si="97"/>
        <v>136.12396694214877</v>
      </c>
      <c r="E59" s="1477">
        <f t="shared" si="124"/>
        <v>158.32225913621264</v>
      </c>
      <c r="F59" s="1477">
        <f t="shared" si="124"/>
        <v>114.04278074866311</v>
      </c>
      <c r="G59" s="3282">
        <v>2006</v>
      </c>
      <c r="H59" s="1464">
        <v>1</v>
      </c>
      <c r="I59" s="1464">
        <v>2.29</v>
      </c>
      <c r="J59" s="1464">
        <v>3.72</v>
      </c>
      <c r="K59" s="1464">
        <v>0.75</v>
      </c>
      <c r="L59" s="1478">
        <v>0.04</v>
      </c>
      <c r="N59" s="1527">
        <f t="shared" si="121"/>
        <v>4.3778675988638847E-2</v>
      </c>
      <c r="O59" s="1528">
        <f t="shared" si="121"/>
        <v>3.9114251466784385E-2</v>
      </c>
      <c r="P59" s="1528">
        <f t="shared" si="122"/>
        <v>2.1433929911049188E-2</v>
      </c>
      <c r="Q59" s="1528">
        <f t="shared" si="122"/>
        <v>3.7526972511492629E-4</v>
      </c>
      <c r="R59" s="1474"/>
      <c r="S59" s="1480">
        <f>B59/B60-1</f>
        <v>4.3778675988638716E-2</v>
      </c>
      <c r="T59" s="1481">
        <f>C59/C60-1</f>
        <v>3.91142514667846E-2</v>
      </c>
      <c r="U59" s="1481">
        <f>E59/E60-1</f>
        <v>2.143392991104931E-2</v>
      </c>
      <c r="V59" s="1481">
        <f>F59/F60-1</f>
        <v>3.7526972511492396E-4</v>
      </c>
      <c r="X59" s="1526"/>
      <c r="Y59" s="1526"/>
      <c r="Z59" s="1526"/>
    </row>
    <row r="60" spans="1:26" ht="13.8" thickBot="1">
      <c r="A60" s="1461" t="s">
        <v>1191</v>
      </c>
      <c r="B60" s="1490">
        <v>138</v>
      </c>
      <c r="C60" s="1490">
        <v>131</v>
      </c>
      <c r="D60" s="1490">
        <f t="shared" si="97"/>
        <v>131</v>
      </c>
      <c r="E60" s="1490">
        <v>155</v>
      </c>
      <c r="F60" s="1491">
        <v>114</v>
      </c>
      <c r="G60" s="3280">
        <v>2005</v>
      </c>
      <c r="H60" s="1482">
        <v>4</v>
      </c>
      <c r="I60" s="1482">
        <v>3.29</v>
      </c>
      <c r="J60" s="1482">
        <v>1.44</v>
      </c>
      <c r="K60" s="1482">
        <v>0.66</v>
      </c>
      <c r="L60" s="1483">
        <v>7.78</v>
      </c>
      <c r="N60" s="1524">
        <f t="shared" ref="N60:O63" si="125">I60/SUM(I$60:I$63)*(B$60/B$64-1)</f>
        <v>9.9404603216919935E-2</v>
      </c>
      <c r="O60" s="1525">
        <f t="shared" si="125"/>
        <v>4.7636550760861554E-2</v>
      </c>
      <c r="P60" s="1525">
        <f t="shared" ref="P60:Q63" si="126">K60/SUM(K$60:K$63)*(E$60/E$64-1)</f>
        <v>8.3756345177664976E-2</v>
      </c>
      <c r="Q60" s="1525">
        <f t="shared" si="126"/>
        <v>5.2148766661559584E-2</v>
      </c>
      <c r="R60" s="1474"/>
      <c r="S60" s="1475"/>
      <c r="T60" s="1476"/>
      <c r="U60" s="1476"/>
      <c r="V60" s="1476"/>
      <c r="X60" s="1526"/>
      <c r="Y60" s="1526"/>
      <c r="Z60" s="1526"/>
    </row>
    <row r="61" spans="1:26">
      <c r="A61" s="1461" t="s">
        <v>1192</v>
      </c>
      <c r="B61" s="1477">
        <f t="shared" ref="B61:C63" si="127">B62+(B$60-B$64)*I61/SUM(I$60:I$63)</f>
        <v>125.9720430107527</v>
      </c>
      <c r="C61" s="1477">
        <f t="shared" si="127"/>
        <v>125.1883408071749</v>
      </c>
      <c r="D61" s="1477">
        <f t="shared" si="97"/>
        <v>125.1883408071749</v>
      </c>
      <c r="E61" s="1477">
        <f t="shared" ref="E61:F63" si="128">E62+(E$60-E$64)*K61/SUM(K$60:K$63)</f>
        <v>144.61421319796952</v>
      </c>
      <c r="F61" s="1477">
        <f t="shared" si="128"/>
        <v>108.42008196721311</v>
      </c>
      <c r="G61" s="3281">
        <v>2005</v>
      </c>
      <c r="H61" s="1487">
        <v>3</v>
      </c>
      <c r="I61" s="1487">
        <v>0.46</v>
      </c>
      <c r="J61" s="1487">
        <v>0.32</v>
      </c>
      <c r="K61" s="1487">
        <v>0.42</v>
      </c>
      <c r="L61" s="1488">
        <v>0.64</v>
      </c>
      <c r="N61" s="1524">
        <f t="shared" si="125"/>
        <v>1.3898515951301874E-2</v>
      </c>
      <c r="O61" s="1525">
        <f t="shared" si="125"/>
        <v>1.0585900169080346E-2</v>
      </c>
      <c r="P61" s="1525">
        <f t="shared" si="126"/>
        <v>5.3299492385786795E-2</v>
      </c>
      <c r="Q61" s="1525">
        <f t="shared" si="126"/>
        <v>4.2898728359123568E-3</v>
      </c>
      <c r="R61" s="1474"/>
      <c r="S61" s="1472"/>
      <c r="T61" s="1473"/>
      <c r="U61" s="1473"/>
      <c r="V61" s="1473"/>
      <c r="X61" s="1526"/>
      <c r="Y61" s="1526"/>
      <c r="Z61" s="1526"/>
    </row>
    <row r="62" spans="1:26">
      <c r="A62" s="1461" t="s">
        <v>1193</v>
      </c>
      <c r="B62" s="1477">
        <f t="shared" si="127"/>
        <v>124.29032258064517</v>
      </c>
      <c r="C62" s="1477">
        <f t="shared" si="127"/>
        <v>123.8968609865471</v>
      </c>
      <c r="D62" s="1477">
        <f t="shared" si="97"/>
        <v>123.8968609865471</v>
      </c>
      <c r="E62" s="1477">
        <f t="shared" si="128"/>
        <v>138.00507614213197</v>
      </c>
      <c r="F62" s="1477">
        <f t="shared" si="128"/>
        <v>107.96106557377048</v>
      </c>
      <c r="G62" s="3281">
        <v>2005</v>
      </c>
      <c r="H62" s="1465">
        <v>2</v>
      </c>
      <c r="I62" s="1465">
        <v>0.47</v>
      </c>
      <c r="J62" s="1465">
        <v>0.1</v>
      </c>
      <c r="K62" s="1465">
        <v>0.52</v>
      </c>
      <c r="L62" s="1479">
        <v>0.79</v>
      </c>
      <c r="N62" s="1524">
        <f t="shared" si="125"/>
        <v>1.420065760241713E-2</v>
      </c>
      <c r="O62" s="1525">
        <f t="shared" si="125"/>
        <v>3.3080938028376083E-3</v>
      </c>
      <c r="P62" s="1525">
        <f t="shared" si="126"/>
        <v>6.598984771573603E-2</v>
      </c>
      <c r="Q62" s="1525">
        <f t="shared" si="126"/>
        <v>5.2953117818293153E-3</v>
      </c>
      <c r="R62" s="1474"/>
      <c r="S62" s="1472"/>
      <c r="T62" s="1473"/>
      <c r="U62" s="1473"/>
      <c r="V62" s="1473"/>
      <c r="X62" s="1526"/>
      <c r="Y62" s="1526"/>
      <c r="Z62" s="1526"/>
    </row>
    <row r="63" spans="1:26">
      <c r="A63" s="1461" t="s">
        <v>1194</v>
      </c>
      <c r="B63" s="1477">
        <f t="shared" si="127"/>
        <v>122.57204301075269</v>
      </c>
      <c r="C63" s="1477">
        <f t="shared" si="127"/>
        <v>123.4932735426009</v>
      </c>
      <c r="D63" s="1477">
        <f t="shared" si="97"/>
        <v>123.4932735426009</v>
      </c>
      <c r="E63" s="1477">
        <f t="shared" si="128"/>
        <v>129.82233502538071</v>
      </c>
      <c r="F63" s="1477">
        <f t="shared" si="128"/>
        <v>107.39446721311475</v>
      </c>
      <c r="G63" s="3282">
        <v>2005</v>
      </c>
      <c r="H63" s="1464">
        <v>1</v>
      </c>
      <c r="I63" s="1464">
        <v>0.43</v>
      </c>
      <c r="J63" s="1464">
        <v>0.37</v>
      </c>
      <c r="K63" s="1464">
        <v>0.37</v>
      </c>
      <c r="L63" s="1478">
        <v>0.55000000000000004</v>
      </c>
      <c r="N63" s="1527">
        <f t="shared" si="125"/>
        <v>1.2992090997956099E-2</v>
      </c>
      <c r="O63" s="1528">
        <f t="shared" si="125"/>
        <v>1.2239947070499151E-2</v>
      </c>
      <c r="P63" s="1528">
        <f t="shared" si="126"/>
        <v>4.6954314720812178E-2</v>
      </c>
      <c r="Q63" s="1528">
        <f t="shared" si="126"/>
        <v>3.6866094683621815E-3</v>
      </c>
      <c r="R63" s="1474"/>
      <c r="S63" s="1480">
        <f>B63/B64-1</f>
        <v>1.2992090997956174E-2</v>
      </c>
      <c r="T63" s="1481">
        <f>C63/C64-1</f>
        <v>1.2239947070499246E-2</v>
      </c>
      <c r="U63" s="1481">
        <f>E63/E64-1</f>
        <v>4.695431472081224E-2</v>
      </c>
      <c r="V63" s="1481">
        <f>F63/F64-1</f>
        <v>3.6866094683620787E-3</v>
      </c>
      <c r="X63" s="1526"/>
      <c r="Y63" s="1526"/>
      <c r="Z63" s="1526"/>
    </row>
    <row r="64" spans="1:26" ht="13.8" thickBot="1">
      <c r="A64" s="1461" t="s">
        <v>1195</v>
      </c>
      <c r="B64" s="1511">
        <v>121</v>
      </c>
      <c r="C64" s="1511">
        <v>122</v>
      </c>
      <c r="D64" s="1511">
        <f t="shared" si="97"/>
        <v>122</v>
      </c>
      <c r="E64" s="1511">
        <v>124</v>
      </c>
      <c r="F64" s="1512">
        <v>107</v>
      </c>
      <c r="G64" s="3280">
        <v>2004</v>
      </c>
      <c r="H64" s="1482">
        <v>4</v>
      </c>
      <c r="I64" s="1482">
        <v>0.33</v>
      </c>
      <c r="J64" s="1482">
        <v>0.5</v>
      </c>
      <c r="K64" s="1482">
        <v>0.5</v>
      </c>
      <c r="L64" s="1483">
        <v>0</v>
      </c>
      <c r="N64" s="1524">
        <f t="shared" ref="N64:O67" si="129">I64/SUM(I$64:I$67)*(B$64/B$68-1)</f>
        <v>1.3391770148526898E-2</v>
      </c>
      <c r="O64" s="1525">
        <f t="shared" si="129"/>
        <v>1.063264221158958E-2</v>
      </c>
      <c r="P64" s="1525">
        <f t="shared" ref="P64:Q67" si="130">K64/SUM(K$64:K$67)*(E$64/E$68-1)</f>
        <v>2.2244466688911134E-2</v>
      </c>
      <c r="Q64" s="1525">
        <f t="shared" si="130"/>
        <v>0</v>
      </c>
      <c r="R64" s="1474"/>
      <c r="S64" s="1475"/>
      <c r="T64" s="1476"/>
      <c r="U64" s="1476"/>
      <c r="V64" s="1476"/>
      <c r="X64" s="1526"/>
      <c r="Y64" s="1526"/>
      <c r="Z64" s="1526"/>
    </row>
    <row r="65" spans="1:26">
      <c r="A65" s="1461" t="s">
        <v>1196</v>
      </c>
      <c r="B65" s="1477">
        <f t="shared" ref="B65:C67" si="131">B66+(B$64-B$68)*I65/SUM(I$64:I$67)</f>
        <v>119.51351351351352</v>
      </c>
      <c r="C65" s="1477">
        <f t="shared" si="131"/>
        <v>120.7878787878788</v>
      </c>
      <c r="D65" s="1477">
        <f t="shared" si="97"/>
        <v>120.7878787878788</v>
      </c>
      <c r="E65" s="1477">
        <f t="shared" ref="E65:F67" si="132">E66+(E$64-E$68)*K65/SUM(K$64:K$67)</f>
        <v>121.5975975975976</v>
      </c>
      <c r="F65" s="1477">
        <f t="shared" si="132"/>
        <v>107</v>
      </c>
      <c r="G65" s="3281">
        <v>2004</v>
      </c>
      <c r="H65" s="1487">
        <v>3</v>
      </c>
      <c r="I65" s="1487">
        <v>0.56000000000000005</v>
      </c>
      <c r="J65" s="1487">
        <v>0.8</v>
      </c>
      <c r="K65" s="1487">
        <v>0.83</v>
      </c>
      <c r="L65" s="1488">
        <v>0.06</v>
      </c>
      <c r="N65" s="1524">
        <f t="shared" si="129"/>
        <v>2.2725428130833527E-2</v>
      </c>
      <c r="O65" s="1525">
        <f t="shared" si="129"/>
        <v>1.7012227538543329E-2</v>
      </c>
      <c r="P65" s="1525">
        <f t="shared" si="130"/>
        <v>3.6925814703592477E-2</v>
      </c>
      <c r="Q65" s="1525">
        <f t="shared" si="130"/>
        <v>2.8846153846153744E-2</v>
      </c>
      <c r="R65" s="1474"/>
      <c r="S65" s="1472"/>
      <c r="T65" s="1473"/>
      <c r="U65" s="1473"/>
      <c r="V65" s="1473"/>
      <c r="X65" s="1526"/>
      <c r="Y65" s="1526"/>
      <c r="Z65" s="1526"/>
    </row>
    <row r="66" spans="1:26">
      <c r="A66" s="1461" t="s">
        <v>1197</v>
      </c>
      <c r="B66" s="1477">
        <f t="shared" si="131"/>
        <v>116.99099099099099</v>
      </c>
      <c r="C66" s="1477">
        <f t="shared" si="131"/>
        <v>118.84848484848486</v>
      </c>
      <c r="D66" s="1477">
        <f t="shared" si="97"/>
        <v>118.84848484848486</v>
      </c>
      <c r="E66" s="1477">
        <f t="shared" si="132"/>
        <v>117.60960960960961</v>
      </c>
      <c r="F66" s="1477">
        <f t="shared" si="132"/>
        <v>104</v>
      </c>
      <c r="G66" s="3281">
        <v>2004</v>
      </c>
      <c r="H66" s="1465">
        <v>2</v>
      </c>
      <c r="I66" s="1465">
        <v>1</v>
      </c>
      <c r="J66" s="1465">
        <v>1.5</v>
      </c>
      <c r="K66" s="1465">
        <v>1.5</v>
      </c>
      <c r="L66" s="1479">
        <v>0</v>
      </c>
      <c r="N66" s="1524">
        <f t="shared" si="129"/>
        <v>4.0581121662202721E-2</v>
      </c>
      <c r="O66" s="1525">
        <f t="shared" si="129"/>
        <v>3.1897926634768738E-2</v>
      </c>
      <c r="P66" s="1525">
        <f t="shared" si="130"/>
        <v>6.6733400066733395E-2</v>
      </c>
      <c r="Q66" s="1525">
        <f t="shared" si="130"/>
        <v>0</v>
      </c>
      <c r="R66" s="1474"/>
      <c r="S66" s="1472"/>
      <c r="T66" s="1473"/>
      <c r="U66" s="1473"/>
      <c r="V66" s="1473"/>
      <c r="X66" s="1526"/>
      <c r="Y66" s="1526"/>
      <c r="Z66" s="1526"/>
    </row>
    <row r="67" spans="1:26" s="1517" customFormat="1" ht="13.8" thickBot="1">
      <c r="A67" s="1461" t="s">
        <v>1198</v>
      </c>
      <c r="B67" s="1514">
        <f t="shared" si="131"/>
        <v>112.48648648648648</v>
      </c>
      <c r="C67" s="1514">
        <f t="shared" si="131"/>
        <v>115.21212121212122</v>
      </c>
      <c r="D67" s="1514">
        <f t="shared" si="97"/>
        <v>115.21212121212122</v>
      </c>
      <c r="E67" s="1514">
        <f t="shared" si="132"/>
        <v>110.4024024024024</v>
      </c>
      <c r="F67" s="1514">
        <f t="shared" si="132"/>
        <v>104</v>
      </c>
      <c r="G67" s="3282">
        <v>2004</v>
      </c>
      <c r="H67" s="1515">
        <v>1</v>
      </c>
      <c r="I67" s="1515">
        <v>0.33</v>
      </c>
      <c r="J67" s="1515">
        <v>0.5</v>
      </c>
      <c r="K67" s="1515">
        <v>0.5</v>
      </c>
      <c r="L67" s="1516">
        <v>0</v>
      </c>
      <c r="N67" s="1529">
        <f t="shared" si="129"/>
        <v>1.3391770148526898E-2</v>
      </c>
      <c r="O67" s="1530">
        <f t="shared" si="129"/>
        <v>1.063264221158958E-2</v>
      </c>
      <c r="P67" s="1530">
        <f t="shared" si="130"/>
        <v>2.2244466688911134E-2</v>
      </c>
      <c r="Q67" s="1530">
        <f t="shared" si="130"/>
        <v>0</v>
      </c>
      <c r="R67" s="1520"/>
      <c r="S67" s="1518">
        <f>B67/B68-1</f>
        <v>1.3391770148526883E-2</v>
      </c>
      <c r="T67" s="1519">
        <f>C67/C68-1</f>
        <v>1.063264221158966E-2</v>
      </c>
      <c r="U67" s="1519">
        <f>E67/E68-1</f>
        <v>2.2244466688911224E-2</v>
      </c>
      <c r="V67" s="1519">
        <f>F67/F68-1</f>
        <v>0</v>
      </c>
      <c r="X67" s="1531"/>
      <c r="Y67" s="1531"/>
      <c r="Z67" s="1531"/>
    </row>
    <row r="68" spans="1:26" ht="13.8" thickBot="1">
      <c r="A68" s="1461" t="s">
        <v>1199</v>
      </c>
      <c r="B68" s="1532">
        <v>111</v>
      </c>
      <c r="C68" s="1532">
        <v>114</v>
      </c>
      <c r="D68" s="1532">
        <f t="shared" si="97"/>
        <v>114</v>
      </c>
      <c r="E68" s="1532">
        <v>108</v>
      </c>
      <c r="F68" s="1533">
        <v>104</v>
      </c>
      <c r="G68" s="3280">
        <v>2003</v>
      </c>
      <c r="H68" s="1522">
        <v>4</v>
      </c>
      <c r="I68" s="1534"/>
      <c r="J68" s="1534"/>
      <c r="K68" s="1534"/>
      <c r="L68" s="1534"/>
      <c r="N68" s="1535"/>
      <c r="O68" s="1534"/>
      <c r="P68" s="1534"/>
      <c r="Q68" s="1534"/>
      <c r="S68" s="1535"/>
      <c r="T68" s="1534"/>
      <c r="U68" s="1534"/>
      <c r="V68" s="1534"/>
      <c r="X68" s="1526"/>
      <c r="Y68" s="1526"/>
      <c r="Z68" s="1526"/>
    </row>
    <row r="69" spans="1:26">
      <c r="A69" s="1461" t="s">
        <v>1200</v>
      </c>
      <c r="B69" s="1536">
        <f t="shared" ref="B69:C71" si="133">B70+(B$68-B$72)/4</f>
        <v>109.75</v>
      </c>
      <c r="C69" s="1536">
        <f t="shared" si="133"/>
        <v>112.25</v>
      </c>
      <c r="D69" s="1536">
        <f t="shared" si="97"/>
        <v>112.25</v>
      </c>
      <c r="E69" s="1536">
        <f t="shared" ref="E69:F71" si="134">E70+(E$68-E$72)/4</f>
        <v>107.25</v>
      </c>
      <c r="F69" s="1536">
        <f t="shared" si="134"/>
        <v>103.5</v>
      </c>
      <c r="G69" s="3281">
        <v>2003</v>
      </c>
      <c r="H69" s="1487">
        <v>3</v>
      </c>
      <c r="I69" s="1534"/>
      <c r="J69" s="1534"/>
      <c r="K69" s="1534"/>
      <c r="L69" s="1534"/>
      <c r="X69" s="1526"/>
      <c r="Y69" s="1526"/>
      <c r="Z69" s="1526"/>
    </row>
    <row r="70" spans="1:26">
      <c r="A70" s="1461" t="s">
        <v>1201</v>
      </c>
      <c r="B70" s="1536">
        <f t="shared" si="133"/>
        <v>108.5</v>
      </c>
      <c r="C70" s="1536">
        <f t="shared" si="133"/>
        <v>110.5</v>
      </c>
      <c r="D70" s="1536">
        <f t="shared" si="97"/>
        <v>110.5</v>
      </c>
      <c r="E70" s="1536">
        <f t="shared" si="134"/>
        <v>106.5</v>
      </c>
      <c r="F70" s="1536">
        <f t="shared" si="134"/>
        <v>103</v>
      </c>
      <c r="G70" s="3281">
        <v>2003</v>
      </c>
      <c r="H70" s="1465">
        <v>2</v>
      </c>
      <c r="I70" s="1534"/>
      <c r="J70" s="1534"/>
      <c r="K70" s="1534"/>
      <c r="L70" s="1534"/>
      <c r="X70" s="1526"/>
      <c r="Y70" s="1526"/>
      <c r="Z70" s="1526"/>
    </row>
    <row r="71" spans="1:26" ht="13.8" thickBot="1">
      <c r="A71" s="1461" t="s">
        <v>1202</v>
      </c>
      <c r="B71" s="1536">
        <f t="shared" si="133"/>
        <v>107.25</v>
      </c>
      <c r="C71" s="1536">
        <f t="shared" si="133"/>
        <v>108.75</v>
      </c>
      <c r="D71" s="1536">
        <f t="shared" si="97"/>
        <v>108.75</v>
      </c>
      <c r="E71" s="1536">
        <f t="shared" si="134"/>
        <v>105.75</v>
      </c>
      <c r="F71" s="1536">
        <f t="shared" si="134"/>
        <v>102.5</v>
      </c>
      <c r="G71" s="3282">
        <v>2003</v>
      </c>
      <c r="H71" s="1537">
        <v>1</v>
      </c>
      <c r="I71" s="1534"/>
      <c r="J71" s="1534"/>
      <c r="K71" s="1534"/>
      <c r="L71" s="1534"/>
      <c r="S71" s="1472"/>
      <c r="T71" s="1473"/>
      <c r="U71" s="1473"/>
      <c r="X71" s="1526"/>
      <c r="Y71" s="1526"/>
      <c r="Z71" s="1526"/>
    </row>
    <row r="72" spans="1:26" ht="13.8" thickBot="1">
      <c r="A72" s="1461" t="s">
        <v>1203</v>
      </c>
      <c r="B72" s="1538">
        <v>106</v>
      </c>
      <c r="C72" s="1538">
        <v>107</v>
      </c>
      <c r="D72" s="1538">
        <f t="shared" si="97"/>
        <v>107</v>
      </c>
      <c r="E72" s="1538">
        <v>105</v>
      </c>
      <c r="F72" s="1539">
        <v>102</v>
      </c>
      <c r="G72" s="3280">
        <v>2002</v>
      </c>
      <c r="H72" s="1482">
        <v>4</v>
      </c>
      <c r="I72" s="1534"/>
      <c r="J72" s="1534"/>
      <c r="K72" s="1534"/>
      <c r="L72" s="1534"/>
      <c r="N72" s="1535"/>
      <c r="O72" s="1534"/>
      <c r="P72" s="1534"/>
      <c r="Q72" s="1534"/>
      <c r="S72" s="1535"/>
      <c r="T72" s="1534"/>
      <c r="U72" s="1534"/>
      <c r="V72" s="1534"/>
      <c r="X72" s="1526"/>
      <c r="Y72" s="1526"/>
      <c r="Z72" s="1526"/>
    </row>
    <row r="73" spans="1:26">
      <c r="A73" s="1461" t="s">
        <v>1204</v>
      </c>
      <c r="B73" s="1536">
        <f t="shared" ref="B73:C75" si="135">B74+(B$72-B$76)/4</f>
        <v>105</v>
      </c>
      <c r="C73" s="1536">
        <f t="shared" si="135"/>
        <v>106</v>
      </c>
      <c r="D73" s="1536">
        <f t="shared" si="97"/>
        <v>106</v>
      </c>
      <c r="E73" s="1536">
        <f t="shared" ref="E73:F75" si="136">E74+(E$72-E$76)/4</f>
        <v>104.5</v>
      </c>
      <c r="F73" s="1536">
        <f t="shared" si="136"/>
        <v>101.5</v>
      </c>
      <c r="G73" s="3281">
        <v>2002</v>
      </c>
      <c r="H73" s="1487">
        <v>3</v>
      </c>
      <c r="I73" s="1534"/>
      <c r="J73" s="1534"/>
      <c r="K73" s="1534"/>
      <c r="L73" s="1534"/>
      <c r="X73" s="1526"/>
      <c r="Y73" s="1526"/>
      <c r="Z73" s="1526"/>
    </row>
    <row r="74" spans="1:26">
      <c r="A74" s="1461" t="s">
        <v>1205</v>
      </c>
      <c r="B74" s="1536">
        <f t="shared" si="135"/>
        <v>104</v>
      </c>
      <c r="C74" s="1536">
        <f t="shared" si="135"/>
        <v>105</v>
      </c>
      <c r="D74" s="1536">
        <f t="shared" si="97"/>
        <v>105</v>
      </c>
      <c r="E74" s="1536">
        <f t="shared" si="136"/>
        <v>104</v>
      </c>
      <c r="F74" s="1536">
        <f t="shared" si="136"/>
        <v>101</v>
      </c>
      <c r="G74" s="3281">
        <v>2002</v>
      </c>
      <c r="H74" s="1465">
        <v>2</v>
      </c>
      <c r="I74" s="1534"/>
      <c r="J74" s="1534"/>
      <c r="K74" s="1534"/>
      <c r="L74" s="1534"/>
      <c r="X74" s="1526"/>
      <c r="Y74" s="1526"/>
      <c r="Z74" s="1526"/>
    </row>
    <row r="75" spans="1:26" s="1498" customFormat="1" ht="13.8" thickBot="1">
      <c r="A75" s="1494" t="s">
        <v>1206</v>
      </c>
      <c r="B75" s="1540">
        <f t="shared" si="135"/>
        <v>103</v>
      </c>
      <c r="C75" s="1540">
        <f t="shared" si="135"/>
        <v>104</v>
      </c>
      <c r="D75" s="1540">
        <f t="shared" si="97"/>
        <v>104</v>
      </c>
      <c r="E75" s="1540">
        <f t="shared" si="136"/>
        <v>103.5</v>
      </c>
      <c r="F75" s="1540">
        <f t="shared" si="136"/>
        <v>100.5</v>
      </c>
      <c r="G75" s="3282">
        <v>2002</v>
      </c>
      <c r="H75" s="1541">
        <v>1</v>
      </c>
      <c r="I75" s="1542"/>
      <c r="J75" s="1542"/>
      <c r="K75" s="1542"/>
      <c r="L75" s="1542"/>
      <c r="N75" s="1543"/>
      <c r="S75" s="1543"/>
      <c r="X75" s="1544"/>
      <c r="Y75" s="1544"/>
      <c r="Z75" s="1544"/>
    </row>
    <row r="76" spans="1:26" ht="13.8" thickBot="1">
      <c r="B76" s="1545">
        <v>102</v>
      </c>
      <c r="C76" s="1546">
        <v>103</v>
      </c>
      <c r="D76" s="1546">
        <f t="shared" si="97"/>
        <v>103</v>
      </c>
      <c r="E76" s="1546">
        <v>103</v>
      </c>
      <c r="F76" s="1547">
        <v>100</v>
      </c>
      <c r="I76" s="1534"/>
      <c r="J76" s="1534"/>
      <c r="K76" s="1534"/>
      <c r="L76" s="1534"/>
      <c r="N76" s="1535"/>
      <c r="O76" s="1534"/>
      <c r="P76" s="1534"/>
      <c r="Q76" s="1534"/>
      <c r="S76" s="1535"/>
      <c r="T76" s="1534"/>
      <c r="U76" s="1534"/>
      <c r="V76" s="1534"/>
      <c r="X76" s="1476"/>
      <c r="Y76" s="1476"/>
      <c r="Z76" s="1476"/>
    </row>
    <row r="78" spans="1:26" s="1549" customFormat="1">
      <c r="A78" s="1548" t="s">
        <v>1207</v>
      </c>
      <c r="G78" s="1550"/>
      <c r="N78" s="1550"/>
      <c r="S78" s="1550"/>
    </row>
    <row r="79" spans="1:26" s="1549" customFormat="1">
      <c r="A79" s="1549" t="s">
        <v>1208</v>
      </c>
      <c r="G79" s="1550"/>
      <c r="N79" s="1550"/>
      <c r="S79" s="1550"/>
    </row>
    <row r="80" spans="1:26" s="1549" customFormat="1">
      <c r="A80" s="1549" t="s">
        <v>1209</v>
      </c>
      <c r="G80" s="1550"/>
      <c r="I80" s="1551"/>
      <c r="J80" s="1551"/>
      <c r="K80" s="1551"/>
      <c r="L80" s="1551"/>
      <c r="N80" s="1552"/>
      <c r="O80" s="1551"/>
      <c r="P80" s="1551"/>
      <c r="Q80" s="1551"/>
      <c r="S80" s="1552"/>
      <c r="T80" s="1551"/>
      <c r="U80" s="1551"/>
      <c r="V80" s="1551"/>
    </row>
    <row r="81" spans="1:22" s="1549" customFormat="1">
      <c r="A81" s="1549" t="s">
        <v>1210</v>
      </c>
      <c r="G81" s="1550"/>
      <c r="N81" s="1550"/>
      <c r="S81" s="1550"/>
    </row>
    <row r="88" spans="1:22" ht="13.8" thickBot="1"/>
    <row r="89" spans="1:22">
      <c r="G89" s="1471"/>
      <c r="S89" s="1553" t="s">
        <v>1211</v>
      </c>
      <c r="T89" s="1554" t="s">
        <v>1212</v>
      </c>
      <c r="U89" s="1554" t="s">
        <v>1213</v>
      </c>
      <c r="V89" s="1554" t="s">
        <v>1214</v>
      </c>
    </row>
    <row r="90" spans="1:22">
      <c r="G90" s="1471"/>
      <c r="N90" s="1475"/>
      <c r="O90" s="1476"/>
      <c r="P90" s="1476"/>
      <c r="Q90" s="1476"/>
      <c r="S90" s="1555">
        <v>2006</v>
      </c>
      <c r="T90" s="1556">
        <v>15.1</v>
      </c>
      <c r="U90" s="1556">
        <v>7.43</v>
      </c>
      <c r="V90" s="1556">
        <v>26.26</v>
      </c>
    </row>
    <row r="91" spans="1:22">
      <c r="G91" s="1471"/>
      <c r="N91" s="1475"/>
      <c r="O91" s="1476"/>
      <c r="P91" s="1476"/>
      <c r="Q91" s="1476"/>
      <c r="S91" s="1557">
        <v>2005</v>
      </c>
      <c r="T91" s="1558">
        <v>13.9</v>
      </c>
      <c r="U91" s="1558">
        <v>7.49</v>
      </c>
      <c r="V91" s="1558">
        <v>24.92</v>
      </c>
    </row>
    <row r="92" spans="1:22">
      <c r="G92" s="1471"/>
      <c r="N92" s="1475"/>
      <c r="O92" s="1476"/>
      <c r="P92" s="1476"/>
      <c r="Q92" s="1476"/>
      <c r="S92" s="1555">
        <v>2004</v>
      </c>
      <c r="T92" s="1556">
        <v>9.48</v>
      </c>
      <c r="U92" s="1556">
        <v>7.2</v>
      </c>
      <c r="V92" s="1556">
        <v>14.68</v>
      </c>
    </row>
    <row r="93" spans="1:22">
      <c r="G93" s="1471"/>
      <c r="N93" s="1475"/>
      <c r="O93" s="1476"/>
      <c r="P93" s="1476"/>
      <c r="Q93" s="1476"/>
      <c r="S93" s="1557">
        <v>2003</v>
      </c>
      <c r="T93" s="1558">
        <v>4.5</v>
      </c>
      <c r="U93" s="1558">
        <v>6.12</v>
      </c>
      <c r="V93" s="1558">
        <v>2.34</v>
      </c>
    </row>
    <row r="94" spans="1:22" ht="13.8" thickBot="1">
      <c r="G94" s="1471"/>
      <c r="N94" s="1475"/>
      <c r="O94" s="1476"/>
      <c r="P94" s="1476"/>
      <c r="Q94" s="1476"/>
      <c r="S94" s="1559">
        <v>2002</v>
      </c>
      <c r="T94" s="1560">
        <v>3.59</v>
      </c>
      <c r="U94" s="1560">
        <v>4.54</v>
      </c>
      <c r="V94" s="1560">
        <v>2.5499999999999998</v>
      </c>
    </row>
    <row r="95" spans="1:22">
      <c r="G95" s="1471"/>
      <c r="N95" s="1475"/>
      <c r="O95" s="1476"/>
      <c r="P95" s="1476"/>
      <c r="Q95" s="1476"/>
    </row>
    <row r="96" spans="1: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row r="110" spans="7:19">
      <c r="G110" s="1471"/>
      <c r="N110" s="1475"/>
      <c r="O110" s="1476"/>
      <c r="P110" s="1476"/>
      <c r="Q110" s="1476"/>
      <c r="S110" s="1471"/>
    </row>
  </sheetData>
  <sheetProtection sheet="1" objects="1" scenarios="1" formatCells="0"/>
  <mergeCells count="23">
    <mergeCell ref="G60:G63"/>
    <mergeCell ref="G64:G67"/>
    <mergeCell ref="G68:G71"/>
    <mergeCell ref="G72:G75"/>
    <mergeCell ref="G36:G39"/>
    <mergeCell ref="G40:G43"/>
    <mergeCell ref="G44:G47"/>
    <mergeCell ref="G48:G51"/>
    <mergeCell ref="G52:G55"/>
    <mergeCell ref="G56:G59"/>
    <mergeCell ref="X1:AB1"/>
    <mergeCell ref="AD1:AH1"/>
    <mergeCell ref="G32:G35"/>
    <mergeCell ref="B1:F1"/>
    <mergeCell ref="G1:L1"/>
    <mergeCell ref="N1:Q1"/>
    <mergeCell ref="S1:V1"/>
    <mergeCell ref="G16:G19"/>
    <mergeCell ref="G20:G23"/>
    <mergeCell ref="G24:G27"/>
    <mergeCell ref="G28:G31"/>
    <mergeCell ref="G8:G11"/>
    <mergeCell ref="G12:G15"/>
  </mergeCells>
  <phoneticPr fontId="143"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4" t="s">
        <v>3001</v>
      </c>
      <c r="C1" s="3290" t="s">
        <v>3002</v>
      </c>
      <c r="D1" s="3291"/>
      <c r="E1" s="3291"/>
      <c r="F1" s="3291"/>
      <c r="G1" s="3291"/>
      <c r="H1" s="3291"/>
      <c r="I1" s="3291"/>
      <c r="J1" s="3291"/>
      <c r="K1" s="3291"/>
      <c r="L1" s="3291"/>
      <c r="M1" s="3291"/>
      <c r="N1" s="3291"/>
      <c r="O1" s="3291"/>
      <c r="P1" s="3291"/>
      <c r="Q1" s="3291"/>
      <c r="R1" s="3291"/>
      <c r="S1" s="3292"/>
      <c r="T1" s="1204" t="s">
        <v>3003</v>
      </c>
    </row>
    <row r="2" spans="1:45" s="707" customFormat="1">
      <c r="A2" s="1205"/>
      <c r="B2" s="703" t="s">
        <v>3004</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7"/>
      <c r="B3" s="708"/>
      <c r="C3" s="709"/>
      <c r="D3" s="710"/>
      <c r="E3" s="710"/>
      <c r="F3" s="1704"/>
      <c r="G3" s="1704"/>
      <c r="H3" s="1704"/>
      <c r="I3" s="1704"/>
      <c r="J3" s="1704"/>
      <c r="K3" s="1704"/>
      <c r="L3" s="1705"/>
      <c r="M3" s="1706"/>
      <c r="N3" s="1706"/>
      <c r="O3" s="1704"/>
      <c r="P3" s="1704"/>
      <c r="Q3" s="1704"/>
      <c r="R3" s="1704"/>
      <c r="S3" s="1707"/>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8" thickBot="1">
      <c r="A4" s="1208"/>
      <c r="B4" s="1209"/>
      <c r="C4" s="1210"/>
      <c r="D4" s="1211"/>
      <c r="E4" s="1211"/>
      <c r="F4" s="1708"/>
      <c r="G4" s="1708"/>
      <c r="H4" s="1708"/>
      <c r="I4" s="1708"/>
      <c r="J4" s="1708"/>
      <c r="K4" s="1708"/>
      <c r="L4" s="1708"/>
      <c r="M4" s="1709"/>
      <c r="N4" s="1709"/>
      <c r="O4" s="1708"/>
      <c r="P4" s="1708"/>
      <c r="Q4" s="1708"/>
      <c r="R4" s="1708"/>
      <c r="S4" s="1710"/>
      <c r="T4" s="1214"/>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5"/>
      <c r="B5" s="1769" t="s">
        <v>3005</v>
      </c>
      <c r="C5" s="1216"/>
      <c r="D5" s="1217"/>
      <c r="E5" s="1217"/>
      <c r="F5" s="1711"/>
      <c r="G5" s="1711"/>
      <c r="H5" s="1711"/>
      <c r="I5" s="1711"/>
      <c r="J5" s="1711"/>
      <c r="K5" s="1711"/>
      <c r="L5" s="1712"/>
      <c r="M5" s="1713"/>
      <c r="N5" s="1713"/>
      <c r="O5" s="1711"/>
      <c r="P5" s="1711"/>
      <c r="Q5" s="1711"/>
      <c r="R5" s="1711"/>
      <c r="S5" s="1714"/>
      <c r="T5" s="1219"/>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5"/>
      <c r="B7" s="1770" t="s">
        <v>3006</v>
      </c>
      <c r="C7" s="1121"/>
      <c r="D7" s="1115"/>
      <c r="E7" s="1115"/>
      <c r="F7" s="1716"/>
      <c r="G7" s="1716"/>
      <c r="H7" s="1716"/>
      <c r="I7" s="1716"/>
      <c r="J7" s="1716"/>
      <c r="K7" s="1716"/>
      <c r="L7" s="1716"/>
      <c r="M7" s="1717"/>
      <c r="N7" s="1718"/>
      <c r="O7" s="1719"/>
      <c r="P7" s="1720"/>
      <c r="Q7" s="1721"/>
      <c r="R7" s="1722"/>
      <c r="S7" s="1723"/>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5"/>
      <c r="B9" s="1770" t="s">
        <v>3007</v>
      </c>
      <c r="C9" s="1121"/>
      <c r="D9" s="1115"/>
      <c r="E9" s="1115"/>
      <c r="F9" s="1716"/>
      <c r="G9" s="1716"/>
      <c r="H9" s="1716"/>
      <c r="I9" s="1716"/>
      <c r="J9" s="1716"/>
      <c r="K9" s="1716"/>
      <c r="L9" s="1724"/>
      <c r="M9" s="1717"/>
      <c r="N9" s="1718"/>
      <c r="O9" s="1719"/>
      <c r="P9" s="1720"/>
      <c r="Q9" s="1721"/>
      <c r="R9" s="1722"/>
      <c r="S9" s="1723"/>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5"/>
      <c r="B11" s="1769" t="s">
        <v>3008</v>
      </c>
      <c r="C11" s="1216"/>
      <c r="D11" s="1217"/>
      <c r="E11" s="1217"/>
      <c r="F11" s="1217"/>
      <c r="G11" s="1217"/>
      <c r="H11" s="1217"/>
      <c r="I11" s="1217"/>
      <c r="J11" s="1217"/>
      <c r="K11" s="1217"/>
      <c r="L11" s="1217"/>
      <c r="M11" s="1218"/>
      <c r="N11" s="1222"/>
      <c r="O11" s="1223"/>
      <c r="P11" s="1224"/>
      <c r="Q11" s="1225"/>
      <c r="R11" s="1226"/>
      <c r="S11" s="1227"/>
      <c r="T11" s="1219"/>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5"/>
      <c r="B13" s="1769" t="s">
        <v>3009</v>
      </c>
      <c r="C13" s="1216"/>
      <c r="D13" s="1217"/>
      <c r="E13" s="1217"/>
      <c r="F13" s="1217"/>
      <c r="G13" s="1217"/>
      <c r="H13" s="1217"/>
      <c r="I13" s="1217"/>
      <c r="J13" s="1217"/>
      <c r="K13" s="1217"/>
      <c r="L13" s="1217"/>
      <c r="M13" s="1218"/>
      <c r="N13" s="1222"/>
      <c r="O13" s="1223"/>
      <c r="P13" s="1224"/>
      <c r="Q13" s="1225"/>
      <c r="R13" s="1226"/>
      <c r="S13" s="1227"/>
      <c r="T13" s="122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5"/>
      <c r="B15" s="1769" t="s">
        <v>3010</v>
      </c>
      <c r="C15" s="1216"/>
      <c r="D15" s="1217"/>
      <c r="E15" s="1217"/>
      <c r="F15" s="1217"/>
      <c r="G15" s="1217"/>
      <c r="H15" s="1217"/>
      <c r="I15" s="1217"/>
      <c r="J15" s="1217"/>
      <c r="K15" s="1217"/>
      <c r="L15" s="1217"/>
      <c r="M15" s="1218"/>
      <c r="N15" s="1222"/>
      <c r="O15" s="1223"/>
      <c r="P15" s="1224"/>
      <c r="Q15" s="1225"/>
      <c r="R15" s="1226"/>
      <c r="S15" s="1227"/>
      <c r="T15" s="122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7" t="s">
        <v>3011</v>
      </c>
      <c r="B17" s="2908" t="s">
        <v>3012</v>
      </c>
      <c r="C17" s="1231"/>
      <c r="D17" s="1232"/>
      <c r="E17" s="1232"/>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6"/>
      <c r="AS17" s="796"/>
    </row>
    <row r="18" spans="1:45" s="707" customFormat="1" ht="13.8" thickBot="1">
      <c r="A18" s="1241"/>
      <c r="B18" s="1242"/>
      <c r="C18" s="1243"/>
      <c r="D18" s="1244"/>
      <c r="E18" s="1244"/>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6"/>
      <c r="AS18" s="796"/>
    </row>
    <row r="19" spans="1:45">
      <c r="A19" s="138"/>
      <c r="B19" s="168"/>
      <c r="C19" s="168"/>
      <c r="D19" s="2909" t="s">
        <v>3013</v>
      </c>
      <c r="E19" s="1792"/>
      <c r="F19" s="1792"/>
      <c r="G19" s="1792"/>
      <c r="H19" s="1280"/>
      <c r="I19" s="168"/>
      <c r="J19" s="168"/>
      <c r="K19" s="168"/>
      <c r="L19" s="168"/>
      <c r="M19" s="168"/>
      <c r="N19" s="168"/>
      <c r="O19" s="168"/>
      <c r="P19" s="168"/>
      <c r="Q19" s="168"/>
      <c r="R19" s="788"/>
      <c r="S19" s="138"/>
    </row>
    <row r="20" spans="1:45" ht="16.2" thickBot="1">
      <c r="A20" s="715" t="s">
        <v>3014</v>
      </c>
      <c r="B20" s="338" t="e">
        <f ca="1">IF(D20="——",S22,S22-F20)</f>
        <v>#REF!</v>
      </c>
      <c r="C20" s="168"/>
      <c r="D20" s="2910" t="s">
        <v>3015</v>
      </c>
      <c r="E20" s="1793"/>
      <c r="F20" s="1204" t="e">
        <f ca="1">SUMIF(INDIRECT("'"&amp;H20&amp;"'"&amp;"!A:A"),"承租人权益价值",INDIRECT("'"&amp;H20&amp;"'"&amp;"!c:c"))</f>
        <v>#REF!</v>
      </c>
      <c r="G20" s="1204" t="s">
        <v>3016</v>
      </c>
      <c r="H20" s="2911"/>
      <c r="I20" s="168"/>
      <c r="J20" s="168"/>
      <c r="K20" s="168"/>
      <c r="L20" s="168"/>
      <c r="M20" s="168"/>
      <c r="N20" s="168"/>
      <c r="O20" s="168"/>
      <c r="P20" s="168"/>
      <c r="Q20" s="168"/>
      <c r="R20" s="788"/>
      <c r="S20" s="138"/>
    </row>
    <row r="21" spans="1:45" ht="15.6">
      <c r="A21" s="715" t="s">
        <v>3017</v>
      </c>
      <c r="B21" s="338">
        <f>R22</f>
        <v>10000</v>
      </c>
      <c r="C21" s="168"/>
      <c r="D21" s="168"/>
      <c r="E21" s="168"/>
      <c r="F21" s="168"/>
      <c r="G21" s="168"/>
      <c r="H21" s="168"/>
      <c r="I21" s="168"/>
      <c r="J21" s="168"/>
      <c r="K21" s="168"/>
      <c r="L21" s="168"/>
      <c r="M21" s="168"/>
      <c r="N21" s="168"/>
      <c r="O21" s="168"/>
      <c r="P21" s="168"/>
      <c r="Q21" s="168"/>
      <c r="R21" s="788"/>
      <c r="S21" s="138"/>
    </row>
    <row r="22" spans="1:45">
      <c r="A22" s="361" t="s">
        <v>3018</v>
      </c>
      <c r="B22" s="24">
        <f>SUM(B24:B10000)</f>
        <v>100</v>
      </c>
      <c r="C22" s="3067" t="s">
        <v>33</v>
      </c>
      <c r="D22" s="3068"/>
      <c r="E22" s="3068"/>
      <c r="F22" s="3068"/>
      <c r="G22" s="3068"/>
      <c r="H22" s="3068"/>
      <c r="I22" s="3068"/>
      <c r="J22" s="3068"/>
      <c r="K22" s="3068"/>
      <c r="L22" s="3068"/>
      <c r="M22" s="3068"/>
      <c r="N22" s="3068"/>
      <c r="O22" s="3068"/>
      <c r="P22" s="3068"/>
      <c r="Q22" s="3289"/>
      <c r="R22" s="716">
        <f>ROUND(S22*10000/B22,0)</f>
        <v>10000</v>
      </c>
      <c r="S22" s="24">
        <f>SUM(S24:S10000)</f>
        <v>100</v>
      </c>
    </row>
    <row r="23" spans="1:45" s="12" customFormat="1" ht="24">
      <c r="A23" s="11" t="s">
        <v>3019</v>
      </c>
      <c r="B23" s="11" t="s">
        <v>3020</v>
      </c>
      <c r="C23" s="11" t="s">
        <v>3021</v>
      </c>
      <c r="D23" s="11" t="str">
        <f>B5</f>
        <v>修正项2</v>
      </c>
      <c r="E23" s="11" t="s">
        <v>3021</v>
      </c>
      <c r="F23" s="11" t="str">
        <f>B7</f>
        <v>修正项3</v>
      </c>
      <c r="G23" s="11" t="s">
        <v>3021</v>
      </c>
      <c r="H23" s="11" t="str">
        <f>B9</f>
        <v>修正项4</v>
      </c>
      <c r="I23" s="11" t="s">
        <v>3021</v>
      </c>
      <c r="J23" s="11" t="str">
        <f>B11</f>
        <v>修正项5</v>
      </c>
      <c r="K23" s="11" t="s">
        <v>3021</v>
      </c>
      <c r="L23" s="11" t="str">
        <f>B13</f>
        <v>修正项6</v>
      </c>
      <c r="M23" s="11" t="s">
        <v>3021</v>
      </c>
      <c r="N23" s="11" t="str">
        <f>B15</f>
        <v>修正项7</v>
      </c>
      <c r="O23" s="11" t="s">
        <v>3021</v>
      </c>
      <c r="P23" s="11" t="str">
        <f>B17</f>
        <v>楼层</v>
      </c>
      <c r="Q23" s="11" t="s">
        <v>3021</v>
      </c>
      <c r="R23" s="717" t="s">
        <v>3022</v>
      </c>
      <c r="S23" s="11" t="s">
        <v>3023</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3024</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95623</v>
      </c>
      <c r="C2" s="2" t="s">
        <v>133</v>
      </c>
      <c r="D2" s="243"/>
      <c r="E2" s="243"/>
      <c r="F2" s="243"/>
      <c r="G2" s="243"/>
    </row>
    <row r="3" spans="1:7" s="244" customFormat="1" ht="18" customHeight="1" thickBot="1">
      <c r="A3" s="247" t="s">
        <v>85</v>
      </c>
      <c r="B3" s="248">
        <f ca="1">ROUND(B2*10000/'数据-汇总表'!E3,0)</f>
        <v>12496</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810</v>
      </c>
      <c r="D7" s="264"/>
      <c r="E7" s="262"/>
      <c r="F7" s="265">
        <f>'数据-取费表'!B48+'数据-取费表'!B49</f>
        <v>4.0500000000000001E-2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400</v>
      </c>
      <c r="F9" s="265"/>
      <c r="G9" s="270"/>
    </row>
    <row r="10" spans="1:7" s="258" customFormat="1" ht="13.5" customHeight="1">
      <c r="A10" s="950" t="s">
        <v>801</v>
      </c>
      <c r="B10" s="268" t="s">
        <v>94</v>
      </c>
      <c r="C10" s="269">
        <f>ROUND(D10*E10/10000,0)</f>
        <v>3061</v>
      </c>
      <c r="D10" s="1032">
        <f>'数据-汇总表'!E6</f>
        <v>76522.880000000005</v>
      </c>
      <c r="E10" s="269">
        <f>'数据-取费表'!B28</f>
        <v>400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1530</v>
      </c>
      <c r="D19" s="1036">
        <f>'数据-汇总表'!E3</f>
        <v>76522.880000000005</v>
      </c>
      <c r="E19" s="255">
        <f>'数据-取费表'!B31</f>
        <v>200</v>
      </c>
      <c r="F19" s="275"/>
      <c r="G19" s="1" t="s">
        <v>1071</v>
      </c>
    </row>
    <row r="20" spans="1:7" s="258" customFormat="1" ht="13.5" customHeight="1">
      <c r="A20" s="948" t="s">
        <v>1054</v>
      </c>
      <c r="B20" s="254" t="s">
        <v>104</v>
      </c>
      <c r="C20" s="276">
        <f>ROUND((C5+C19)*F20,0)</f>
        <v>670</v>
      </c>
      <c r="D20" s="276"/>
      <c r="E20" s="276"/>
      <c r="F20" s="277">
        <f>'数据-取费表'!B37</f>
        <v>0.03</v>
      </c>
      <c r="G20" s="1289" t="s">
        <v>1065</v>
      </c>
    </row>
    <row r="21" spans="1:7" s="258" customFormat="1" ht="13.5" customHeight="1">
      <c r="A21" s="948" t="s">
        <v>1056</v>
      </c>
      <c r="B21" s="254" t="s">
        <v>105</v>
      </c>
      <c r="C21" s="279">
        <f>F21</f>
        <v>0.03</v>
      </c>
      <c r="D21" s="280" t="s">
        <v>126</v>
      </c>
      <c r="E21" s="276"/>
      <c r="F21" s="277">
        <f>'数据-取费表'!B38</f>
        <v>0.03</v>
      </c>
      <c r="G21" s="278" t="s">
        <v>106</v>
      </c>
    </row>
    <row r="22" spans="1:7" s="258" customFormat="1" ht="13.5" customHeight="1">
      <c r="A22" s="948" t="s">
        <v>786</v>
      </c>
      <c r="B22" s="254" t="s">
        <v>107</v>
      </c>
      <c r="C22" s="1354">
        <f ca="1">ROUND(SUM(C23:C25),0)</f>
        <v>3386</v>
      </c>
      <c r="D22" s="279">
        <f ca="1">C26</f>
        <v>2.2000000000000001E-3</v>
      </c>
      <c r="E22" s="280" t="s">
        <v>126</v>
      </c>
      <c r="F22" s="281">
        <f ca="1">'数据-取费表'!B40</f>
        <v>4.7500000000000001E-2</v>
      </c>
      <c r="G22" s="1289" t="str">
        <f>IF('数据-取费表'!B22&lt;=1,"单利计息","复利计息")</f>
        <v>复利计息</v>
      </c>
    </row>
    <row r="23" spans="1:7" s="258" customFormat="1" ht="13.5" customHeight="1">
      <c r="A23" s="951" t="s">
        <v>794</v>
      </c>
      <c r="B23" s="259" t="s">
        <v>1058</v>
      </c>
      <c r="C23" s="1355">
        <f ca="1">ROUND(IF('数据-取费表'!B22&lt;=1,C5*F22*'数据-取费表'!B23,C5*(POWER((1+F22),'数据-取费表'!B23)-1)),0)</f>
        <v>3109</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229</v>
      </c>
      <c r="D24" s="282"/>
      <c r="E24" s="282"/>
      <c r="F24" s="283"/>
      <c r="G24" s="284" t="s">
        <v>109</v>
      </c>
    </row>
    <row r="25" spans="1:7" s="258" customFormat="1" ht="24">
      <c r="A25" s="951" t="s">
        <v>793</v>
      </c>
      <c r="B25" s="259" t="s">
        <v>1055</v>
      </c>
      <c r="C25" s="1355">
        <f ca="1">ROUND(IF('数据-取费表'!B22&lt;=1,C20*F22*'数据-取费表'!B23/2,C20*(POWER((1+F22),'数据-取费表'!B23/2)-1)),0)</f>
        <v>48</v>
      </c>
      <c r="D25" s="282"/>
      <c r="E25" s="285"/>
      <c r="F25" s="283"/>
      <c r="G25" s="286" t="s">
        <v>110</v>
      </c>
    </row>
    <row r="26" spans="1:7" s="258" customFormat="1">
      <c r="A26" s="951" t="s">
        <v>795</v>
      </c>
      <c r="B26" s="259" t="s">
        <v>1057</v>
      </c>
      <c r="C26" s="282">
        <f ca="1">ROUND(IF('数据-取费表'!B22&lt;=1,F21*F22*'数据-取费表'!B23/2,F21*(POWER((1+F22),'数据-取费表'!B23/2)-1)),4)</f>
        <v>2.2000000000000001E-3</v>
      </c>
      <c r="D26" s="282"/>
      <c r="E26" s="285"/>
      <c r="F26" s="283"/>
      <c r="G26" s="287"/>
    </row>
    <row r="27" spans="1:7" s="258" customFormat="1" ht="26.4">
      <c r="A27" s="948" t="s">
        <v>787</v>
      </c>
      <c r="B27" s="288" t="s">
        <v>112</v>
      </c>
      <c r="C27" s="289">
        <f>C28</f>
        <v>6903</v>
      </c>
      <c r="D27" s="279">
        <f>C29</f>
        <v>8.9999999999999993E-3</v>
      </c>
      <c r="E27" s="280" t="s">
        <v>126</v>
      </c>
      <c r="F27" s="290">
        <f>'数据-取费表'!Q16</f>
        <v>0.3</v>
      </c>
      <c r="G27" s="291" t="s">
        <v>1066</v>
      </c>
    </row>
    <row r="28" spans="1:7" s="258" customFormat="1" ht="13.5" customHeight="1">
      <c r="A28" s="951" t="s">
        <v>794</v>
      </c>
      <c r="B28" s="292" t="s">
        <v>1059</v>
      </c>
      <c r="C28" s="293">
        <f>ROUND((C5+C19+C20)*F27*'数据-取费表'!B21/'数据-取费表'!B20,0)</f>
        <v>6903</v>
      </c>
      <c r="D28" s="279"/>
      <c r="E28" s="280"/>
      <c r="F28" s="290"/>
      <c r="G28" s="291"/>
    </row>
    <row r="29" spans="1:7" s="258" customFormat="1" ht="13.5" customHeight="1">
      <c r="A29" s="951" t="s">
        <v>792</v>
      </c>
      <c r="B29" s="292" t="s">
        <v>1060</v>
      </c>
      <c r="C29" s="282">
        <f>ROUND(C21*F27*'数据-取费表'!B21/'数据-取费表'!B20,4)</f>
        <v>8.9999999999999993E-3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36776</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38869</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35392</v>
      </c>
      <c r="D34" s="261"/>
      <c r="E34" s="264"/>
      <c r="F34" s="301">
        <f>IF('数据-取费表'!B24=0,1,'数据-取费表'!N16)</f>
        <v>1</v>
      </c>
      <c r="G34" s="263" t="s">
        <v>116</v>
      </c>
    </row>
    <row r="35" spans="1:7" ht="13.5" customHeight="1">
      <c r="A35" s="951" t="s">
        <v>796</v>
      </c>
      <c r="B35" s="259" t="s">
        <v>60</v>
      </c>
      <c r="C35" s="264">
        <f>ROUND(C34*F35,0)</f>
        <v>1416</v>
      </c>
      <c r="D35" s="264"/>
      <c r="E35" s="264"/>
      <c r="F35" s="303">
        <f>'数据-取费表'!B33</f>
        <v>0.04</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1530</v>
      </c>
      <c r="D37" s="261">
        <f>'数据-汇总表'!E3</f>
        <v>76522.880000000005</v>
      </c>
      <c r="E37" s="293">
        <f>'数据-取费表'!B35</f>
        <v>200</v>
      </c>
      <c r="F37" s="303"/>
      <c r="G37" s="305" t="s">
        <v>119</v>
      </c>
    </row>
    <row r="38" spans="1:7" ht="13.5" customHeight="1">
      <c r="A38" s="951" t="s">
        <v>799</v>
      </c>
      <c r="B38" s="259" t="s">
        <v>63</v>
      </c>
      <c r="C38" s="264">
        <f>ROUND(C34*F38,0)</f>
        <v>531</v>
      </c>
      <c r="D38" s="264"/>
      <c r="E38" s="264"/>
      <c r="F38" s="303">
        <f>'数据-取费表'!B36</f>
        <v>1.4999999999999999E-2</v>
      </c>
      <c r="G38" s="263" t="s">
        <v>117</v>
      </c>
    </row>
    <row r="39" spans="1:7" s="258" customFormat="1" ht="13.5" customHeight="1">
      <c r="A39" s="948" t="s">
        <v>783</v>
      </c>
      <c r="B39" s="254" t="s">
        <v>104</v>
      </c>
      <c r="C39" s="276">
        <f>ROUND(C33*F20,0)</f>
        <v>1166</v>
      </c>
      <c r="D39" s="276"/>
      <c r="E39" s="276"/>
      <c r="F39" s="277"/>
      <c r="G39" s="1289" t="s">
        <v>1068</v>
      </c>
    </row>
    <row r="40" spans="1:7" s="258" customFormat="1" ht="13.5" customHeight="1">
      <c r="A40" s="948" t="s">
        <v>784</v>
      </c>
      <c r="B40" s="254" t="s">
        <v>105</v>
      </c>
      <c r="C40" s="306">
        <f>F21</f>
        <v>0.03</v>
      </c>
      <c r="D40" s="280" t="s">
        <v>129</v>
      </c>
      <c r="E40" s="276"/>
      <c r="F40" s="277"/>
      <c r="G40" s="278" t="s">
        <v>120</v>
      </c>
    </row>
    <row r="41" spans="1:7" s="258" customFormat="1" ht="13.5" customHeight="1">
      <c r="A41" s="948" t="s">
        <v>785</v>
      </c>
      <c r="B41" s="254" t="s">
        <v>107</v>
      </c>
      <c r="C41" s="276">
        <f ca="1">ROUND(SUM(C42:C43),0)</f>
        <v>2886</v>
      </c>
      <c r="D41" s="279">
        <f ca="1">C44</f>
        <v>2.2000000000000001E-3</v>
      </c>
      <c r="E41" s="280" t="s">
        <v>129</v>
      </c>
      <c r="F41" s="281"/>
      <c r="G41" s="1289" t="str">
        <f>IF('数据-取费表'!B22&lt;=1,"单利计息","复利计息")</f>
        <v>复利计息</v>
      </c>
    </row>
    <row r="42" spans="1:7" ht="13.5" customHeight="1">
      <c r="A42" s="951" t="s">
        <v>794</v>
      </c>
      <c r="B42" s="259" t="s">
        <v>1058</v>
      </c>
      <c r="C42" s="282">
        <f ca="1">ROUND(IF('数据-取费表'!B22&lt;=1,C33*F22*'数据-取费表'!B21/2,C33*(POWER((1+F22),'数据-取费表'!B21/2)-1)),0)</f>
        <v>2802</v>
      </c>
      <c r="D42" s="282"/>
      <c r="E42" s="282"/>
      <c r="F42" s="283"/>
      <c r="G42" s="3152" t="s">
        <v>121</v>
      </c>
    </row>
    <row r="43" spans="1:7" ht="13.5" customHeight="1">
      <c r="A43" s="951" t="s">
        <v>792</v>
      </c>
      <c r="B43" s="259" t="s">
        <v>1061</v>
      </c>
      <c r="C43" s="282">
        <f ca="1">ROUND(IF('数据-取费表'!B22&lt;=1,C39*F22*'数据-取费表'!B21/2,C39*(POWER((1+F22),'数据-取费表'!B21/2)-1)),0)</f>
        <v>84</v>
      </c>
      <c r="D43" s="282"/>
      <c r="E43" s="282"/>
      <c r="F43" s="283"/>
      <c r="G43" s="3153"/>
    </row>
    <row r="44" spans="1:7" ht="13.5" customHeight="1">
      <c r="A44" s="951" t="s">
        <v>793</v>
      </c>
      <c r="B44" s="259" t="s">
        <v>1063</v>
      </c>
      <c r="C44" s="282">
        <f ca="1">ROUND(IF('数据-取费表'!B22&lt;=1,C40*F22*'数据-取费表'!B21/2,C40*(POWER((1+F22),'数据-取费表'!B21/2)-1)),4)</f>
        <v>2.2000000000000001E-3</v>
      </c>
      <c r="D44" s="282"/>
      <c r="E44" s="282"/>
      <c r="F44" s="283"/>
      <c r="G44" s="3154"/>
    </row>
    <row r="45" spans="1:7" s="258" customFormat="1" ht="13.5" customHeight="1">
      <c r="A45" s="948" t="s">
        <v>786</v>
      </c>
      <c r="B45" s="288" t="s">
        <v>112</v>
      </c>
      <c r="C45" s="289">
        <f>C46</f>
        <v>12011</v>
      </c>
      <c r="D45" s="279">
        <f>C47</f>
        <v>8.9999999999999993E-3</v>
      </c>
      <c r="E45" s="280" t="s">
        <v>129</v>
      </c>
      <c r="F45" s="290"/>
      <c r="G45" s="291" t="s">
        <v>1069</v>
      </c>
    </row>
    <row r="46" spans="1:7" s="258" customFormat="1" ht="13.5" customHeight="1">
      <c r="A46" s="951" t="s">
        <v>794</v>
      </c>
      <c r="B46" s="292" t="s">
        <v>1062</v>
      </c>
      <c r="C46" s="293">
        <f>ROUND((C33+C39)*F27,0)</f>
        <v>12011</v>
      </c>
      <c r="D46" s="307"/>
      <c r="E46" s="280"/>
      <c r="F46" s="290"/>
      <c r="G46" s="291"/>
    </row>
    <row r="47" spans="1:7" s="258" customFormat="1" ht="13.5" customHeight="1">
      <c r="A47" s="951" t="s">
        <v>792</v>
      </c>
      <c r="B47" s="292" t="s">
        <v>1064</v>
      </c>
      <c r="C47" s="282">
        <f>ROUND(C40*F27,4)</f>
        <v>8.9999999999999993E-3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60667</v>
      </c>
      <c r="D49" s="276"/>
      <c r="E49" s="276"/>
      <c r="F49" s="308"/>
      <c r="G49" s="278" t="s">
        <v>1070</v>
      </c>
    </row>
    <row r="50" spans="1:7" s="302" customFormat="1" ht="24">
      <c r="A50" s="948" t="s">
        <v>789</v>
      </c>
      <c r="B50" s="254" t="s">
        <v>124</v>
      </c>
      <c r="C50" s="276"/>
      <c r="D50" s="276"/>
      <c r="E50" s="276"/>
      <c r="F50" s="308">
        <f>IF('数据-取费表'!B24=0,'数据-取费表'!N16,1)</f>
        <v>0.97</v>
      </c>
      <c r="G50" s="291" t="s">
        <v>125</v>
      </c>
    </row>
    <row r="51" spans="1:7" ht="16.5" customHeight="1">
      <c r="A51" s="948" t="s">
        <v>790</v>
      </c>
      <c r="B51" s="254" t="s">
        <v>132</v>
      </c>
      <c r="C51" s="276">
        <f ca="1">ROUND(C49*F50,0)</f>
        <v>58847</v>
      </c>
      <c r="D51" s="276"/>
      <c r="E51" s="276"/>
      <c r="F51" s="308"/>
      <c r="G51" s="278" t="s">
        <v>64</v>
      </c>
    </row>
    <row r="52" spans="1:7" s="252" customFormat="1" ht="16.8" thickBot="1">
      <c r="A52" s="309" t="s">
        <v>65</v>
      </c>
      <c r="B52" s="310"/>
      <c r="C52" s="311">
        <f ca="1">C31+C51</f>
        <v>95623</v>
      </c>
      <c r="D52" s="310"/>
      <c r="E52" s="310"/>
      <c r="F52" s="310"/>
      <c r="G52" s="312"/>
    </row>
    <row r="55" spans="1:7" ht="15">
      <c r="B55" s="314" t="s">
        <v>66</v>
      </c>
      <c r="C55" s="315"/>
    </row>
    <row r="56" spans="1:7">
      <c r="B56" s="317" t="s">
        <v>67</v>
      </c>
      <c r="C56" s="318">
        <f ca="1">ROUND(C51/C52,3)</f>
        <v>0.61499999999999999</v>
      </c>
    </row>
    <row r="57" spans="1:7">
      <c r="B57" s="317" t="s">
        <v>68</v>
      </c>
      <c r="C57" s="319">
        <f ca="1">1-C56</f>
        <v>0.38500000000000001</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5" customWidth="1"/>
    <col min="2" max="5" width="10.21875" style="813" customWidth="1"/>
    <col min="6" max="6" width="9" style="813"/>
    <col min="7" max="8" width="9" style="828"/>
    <col min="9" max="16384" width="9" style="813"/>
  </cols>
  <sheetData>
    <row r="1" spans="1:19">
      <c r="A1" s="3293" t="s">
        <v>156</v>
      </c>
      <c r="B1" s="3293"/>
      <c r="C1" s="3293"/>
      <c r="D1" s="3293"/>
      <c r="E1" s="3293"/>
      <c r="F1" s="329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5" thickBot="1">
      <c r="A2" s="3294" t="s">
        <v>169</v>
      </c>
      <c r="B2" s="3294"/>
      <c r="C2" s="3294"/>
      <c r="D2" s="3294"/>
      <c r="E2" s="3294"/>
      <c r="F2" s="329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9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9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1050</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1050</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5" customWidth="1"/>
    <col min="2" max="2" width="10.21875" style="813" customWidth="1"/>
  </cols>
  <sheetData>
    <row r="1" spans="1:6">
      <c r="A1" s="3293" t="s">
        <v>868</v>
      </c>
      <c r="B1" s="3293"/>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40" t="s">
        <v>875</v>
      </c>
      <c r="B5" s="841" t="s">
        <v>876</v>
      </c>
      <c r="C5" s="1062">
        <v>8.8999999999999996E-2</v>
      </c>
      <c r="D5" s="1062">
        <v>7.3999999999999996E-2</v>
      </c>
      <c r="E5" s="1062">
        <v>7.4999999999999997E-2</v>
      </c>
      <c r="F5" s="1063">
        <v>0.1</v>
      </c>
    </row>
    <row r="6" spans="1:6" ht="15" thickBot="1">
      <c r="A6" s="840" t="s">
        <v>212</v>
      </c>
      <c r="B6" s="834" t="s">
        <v>877</v>
      </c>
      <c r="C6" s="1064">
        <v>0.1</v>
      </c>
      <c r="D6" s="1064">
        <v>9.0999999999999998E-2</v>
      </c>
      <c r="E6" s="1064">
        <v>9.0999999999999998E-2</v>
      </c>
      <c r="F6" s="1065">
        <v>0.1</v>
      </c>
    </row>
    <row r="7" spans="1:6" ht="15" thickBot="1">
      <c r="A7" s="840" t="s">
        <v>212</v>
      </c>
      <c r="B7" s="844" t="s">
        <v>201</v>
      </c>
      <c r="C7" s="1064">
        <v>8.5999999999999993E-2</v>
      </c>
      <c r="D7" s="1064">
        <v>9.6000000000000002E-2</v>
      </c>
      <c r="E7" s="1064">
        <v>7.5999999999999998E-2</v>
      </c>
      <c r="F7" s="1065">
        <v>0.1</v>
      </c>
    </row>
    <row r="8" spans="1:6" ht="15" thickBot="1">
      <c r="A8" s="840" t="s">
        <v>212</v>
      </c>
      <c r="B8" s="834" t="s">
        <v>213</v>
      </c>
      <c r="C8" s="1064">
        <v>9.9000000000000005E-2</v>
      </c>
      <c r="D8" s="1064">
        <v>9.8000000000000004E-2</v>
      </c>
      <c r="E8" s="1064">
        <v>9.8000000000000004E-2</v>
      </c>
      <c r="F8" s="1065">
        <v>0.1</v>
      </c>
    </row>
    <row r="9" spans="1:6" ht="15" thickBot="1">
      <c r="A9" s="850" t="s">
        <v>212</v>
      </c>
      <c r="B9" s="845" t="s">
        <v>225</v>
      </c>
      <c r="C9" s="1066">
        <v>0.05</v>
      </c>
      <c r="D9" s="1074"/>
      <c r="E9" s="1074"/>
      <c r="F9" s="1075"/>
    </row>
    <row r="10" spans="1:6" ht="15" thickBot="1">
      <c r="A10" s="840" t="s">
        <v>269</v>
      </c>
      <c r="B10" s="841" t="s">
        <v>878</v>
      </c>
      <c r="C10" s="1062">
        <v>8.8999999999999996E-2</v>
      </c>
      <c r="D10" s="1062">
        <v>7.2999999999999995E-2</v>
      </c>
      <c r="E10" s="1062">
        <v>8.2000000000000003E-2</v>
      </c>
      <c r="F10" s="1063">
        <v>0.1</v>
      </c>
    </row>
    <row r="11" spans="1:6" ht="15" thickBot="1">
      <c r="A11" s="840" t="s">
        <v>269</v>
      </c>
      <c r="B11" s="844" t="s">
        <v>188</v>
      </c>
      <c r="C11" s="1064">
        <v>8.8999999999999996E-2</v>
      </c>
      <c r="D11" s="1064">
        <v>7.2999999999999995E-2</v>
      </c>
      <c r="E11" s="1064">
        <v>8.2000000000000003E-2</v>
      </c>
      <c r="F11" s="1065">
        <v>0.1</v>
      </c>
    </row>
    <row r="12" spans="1:6" ht="15" thickBot="1">
      <c r="A12" s="840" t="s">
        <v>269</v>
      </c>
      <c r="B12" s="844" t="s">
        <v>138</v>
      </c>
      <c r="C12" s="1064">
        <v>6.0999999999999999E-2</v>
      </c>
      <c r="D12" s="1064">
        <v>7.0999999999999994E-2</v>
      </c>
      <c r="E12" s="1064">
        <v>9.6000000000000002E-2</v>
      </c>
      <c r="F12" s="1065">
        <v>0.1</v>
      </c>
    </row>
    <row r="13" spans="1:6" ht="15" thickBot="1">
      <c r="A13" s="840" t="s">
        <v>269</v>
      </c>
      <c r="B13" s="844" t="s">
        <v>214</v>
      </c>
      <c r="C13" s="1064">
        <v>6.9000000000000006E-2</v>
      </c>
      <c r="D13" s="1064">
        <v>6.5000000000000002E-2</v>
      </c>
      <c r="E13" s="1064">
        <v>6.6000000000000003E-2</v>
      </c>
      <c r="F13" s="1065">
        <v>0.1</v>
      </c>
    </row>
    <row r="14" spans="1:6" ht="15" thickBot="1">
      <c r="A14" s="840" t="s">
        <v>269</v>
      </c>
      <c r="B14" s="844" t="s">
        <v>226</v>
      </c>
      <c r="C14" s="1064">
        <v>0.1</v>
      </c>
      <c r="D14" s="1064">
        <v>6.5000000000000002E-2</v>
      </c>
      <c r="E14" s="1064">
        <v>7.0000000000000007E-2</v>
      </c>
      <c r="F14" s="1065">
        <v>0.1</v>
      </c>
    </row>
    <row r="15" spans="1:6" ht="15" thickBot="1">
      <c r="A15" s="840" t="s">
        <v>269</v>
      </c>
      <c r="B15" s="844" t="s">
        <v>237</v>
      </c>
      <c r="C15" s="1064">
        <v>9.8000000000000004E-2</v>
      </c>
      <c r="D15" s="1064">
        <v>8.8999999999999996E-2</v>
      </c>
      <c r="E15" s="1064">
        <v>8.8999999999999996E-2</v>
      </c>
      <c r="F15" s="1065">
        <v>0.1</v>
      </c>
    </row>
    <row r="16" spans="1:6" ht="15" thickBot="1">
      <c r="A16" s="840" t="s">
        <v>269</v>
      </c>
      <c r="B16" s="844" t="s">
        <v>248</v>
      </c>
      <c r="C16" s="1064">
        <v>7.0000000000000007E-2</v>
      </c>
      <c r="D16" s="1064">
        <v>9.2999999999999999E-2</v>
      </c>
      <c r="E16" s="1064">
        <v>9.6000000000000002E-2</v>
      </c>
      <c r="F16" s="1065">
        <v>0.1</v>
      </c>
    </row>
    <row r="17" spans="1:6" ht="15" thickBot="1">
      <c r="A17" s="840" t="s">
        <v>269</v>
      </c>
      <c r="B17" s="844" t="s">
        <v>259</v>
      </c>
      <c r="C17" s="1064">
        <v>9.5000000000000001E-2</v>
      </c>
      <c r="D17" s="1064">
        <v>0.1</v>
      </c>
      <c r="E17" s="1064">
        <v>0.1</v>
      </c>
      <c r="F17" s="1076"/>
    </row>
    <row r="18" spans="1:6" ht="15" thickBot="1">
      <c r="A18" s="840" t="s">
        <v>269</v>
      </c>
      <c r="B18" s="844" t="s">
        <v>271</v>
      </c>
      <c r="C18" s="1064">
        <v>7.3999999999999996E-2</v>
      </c>
      <c r="D18" s="1064">
        <v>9.9000000000000005E-2</v>
      </c>
      <c r="E18" s="1064">
        <v>0.1</v>
      </c>
      <c r="F18" s="1076"/>
    </row>
    <row r="19" spans="1:6" ht="15" thickBot="1">
      <c r="A19" s="840" t="s">
        <v>269</v>
      </c>
      <c r="B19" s="844" t="s">
        <v>281</v>
      </c>
      <c r="C19" s="1064">
        <v>9.9000000000000005E-2</v>
      </c>
      <c r="D19" s="1064">
        <v>7.5999999999999998E-2</v>
      </c>
      <c r="E19" s="1064">
        <v>8.6999999999999994E-2</v>
      </c>
      <c r="F19" s="1076"/>
    </row>
    <row r="20" spans="1:6" ht="15" thickBot="1">
      <c r="A20" s="840" t="s">
        <v>269</v>
      </c>
      <c r="B20" s="844" t="s">
        <v>291</v>
      </c>
      <c r="C20" s="1064">
        <v>9.8000000000000004E-2</v>
      </c>
      <c r="D20" s="1064">
        <v>8.5000000000000006E-2</v>
      </c>
      <c r="E20" s="1064">
        <v>8.2000000000000003E-2</v>
      </c>
      <c r="F20" s="1076"/>
    </row>
    <row r="21" spans="1:6" ht="15" thickBot="1">
      <c r="A21" s="840" t="s">
        <v>269</v>
      </c>
      <c r="B21" s="844" t="s">
        <v>301</v>
      </c>
      <c r="C21" s="1064">
        <v>6.6000000000000003E-2</v>
      </c>
      <c r="D21" s="1064">
        <v>6.4000000000000001E-2</v>
      </c>
      <c r="E21" s="1064">
        <v>6.5000000000000002E-2</v>
      </c>
      <c r="F21" s="1076"/>
    </row>
    <row r="22" spans="1:6" ht="15" thickBot="1">
      <c r="A22" s="840" t="s">
        <v>269</v>
      </c>
      <c r="B22" s="844" t="s">
        <v>879</v>
      </c>
      <c r="C22" s="1064">
        <v>0.08</v>
      </c>
      <c r="D22" s="1064">
        <v>9.8000000000000004E-2</v>
      </c>
      <c r="E22" s="1064">
        <v>9.8000000000000004E-2</v>
      </c>
      <c r="F22" s="1076"/>
    </row>
    <row r="23" spans="1:6" ht="15" thickBot="1">
      <c r="A23" s="840" t="s">
        <v>269</v>
      </c>
      <c r="B23" s="844" t="s">
        <v>322</v>
      </c>
      <c r="C23" s="1064">
        <v>9.9000000000000005E-2</v>
      </c>
      <c r="D23" s="1064">
        <v>9.8000000000000004E-2</v>
      </c>
      <c r="E23" s="1064">
        <v>9.0999999999999998E-2</v>
      </c>
      <c r="F23" s="1076"/>
    </row>
    <row r="24" spans="1:6" ht="15" thickBot="1">
      <c r="A24" s="840" t="s">
        <v>269</v>
      </c>
      <c r="B24" s="844" t="s">
        <v>333</v>
      </c>
      <c r="C24" s="1064">
        <v>8.8999999999999996E-2</v>
      </c>
      <c r="D24" s="1064">
        <v>9.7000000000000003E-2</v>
      </c>
      <c r="E24" s="1064">
        <v>7.0000000000000007E-2</v>
      </c>
      <c r="F24" s="1076"/>
    </row>
    <row r="25" spans="1:6" ht="15" thickBot="1">
      <c r="A25" s="840" t="s">
        <v>269</v>
      </c>
      <c r="B25" s="844" t="s">
        <v>343</v>
      </c>
      <c r="C25" s="1064">
        <v>8.8999999999999996E-2</v>
      </c>
      <c r="D25" s="1064">
        <v>0.1</v>
      </c>
      <c r="E25" s="1064">
        <v>8.1000000000000003E-2</v>
      </c>
      <c r="F25" s="1076"/>
    </row>
    <row r="26" spans="1:6" ht="15" thickBot="1">
      <c r="A26" s="840" t="s">
        <v>269</v>
      </c>
      <c r="B26" s="844" t="s">
        <v>353</v>
      </c>
      <c r="C26" s="1077"/>
      <c r="D26" s="1064">
        <v>9.6000000000000002E-2</v>
      </c>
      <c r="E26" s="1064">
        <v>9.2999999999999999E-2</v>
      </c>
      <c r="F26" s="1076"/>
    </row>
    <row r="27" spans="1:6" ht="15" thickBot="1">
      <c r="A27" s="840" t="s">
        <v>269</v>
      </c>
      <c r="B27" s="844" t="s">
        <v>363</v>
      </c>
      <c r="C27" s="1077"/>
      <c r="D27" s="1064">
        <v>7.5999999999999998E-2</v>
      </c>
      <c r="E27" s="1064">
        <v>9.1999999999999998E-2</v>
      </c>
      <c r="F27" s="1076"/>
    </row>
    <row r="28" spans="1:6" ht="15" thickBot="1">
      <c r="A28" s="850" t="s">
        <v>269</v>
      </c>
      <c r="B28" s="845" t="s">
        <v>373</v>
      </c>
      <c r="C28" s="1074"/>
      <c r="D28" s="1066">
        <v>7.5999999999999998E-2</v>
      </c>
      <c r="E28" s="1066">
        <v>9.1999999999999998E-2</v>
      </c>
      <c r="F28" s="1075"/>
    </row>
    <row r="29" spans="1:6" ht="15" thickBot="1">
      <c r="A29" s="840" t="s">
        <v>442</v>
      </c>
      <c r="B29" s="841" t="s">
        <v>880</v>
      </c>
      <c r="C29" s="1062">
        <v>6.4000000000000001E-2</v>
      </c>
      <c r="D29" s="1062">
        <v>6.5000000000000002E-2</v>
      </c>
      <c r="E29" s="1062">
        <v>6.9000000000000006E-2</v>
      </c>
      <c r="F29" s="1063">
        <v>0.1</v>
      </c>
    </row>
    <row r="30" spans="1:6" ht="15" thickBot="1">
      <c r="A30" s="840" t="s">
        <v>442</v>
      </c>
      <c r="B30" s="844" t="s">
        <v>189</v>
      </c>
      <c r="C30" s="1064">
        <v>6.4000000000000001E-2</v>
      </c>
      <c r="D30" s="1064">
        <v>9.9000000000000005E-2</v>
      </c>
      <c r="E30" s="1064">
        <v>0.1</v>
      </c>
      <c r="F30" s="1065">
        <v>0.1</v>
      </c>
    </row>
    <row r="31" spans="1:6" ht="15" thickBot="1">
      <c r="A31" s="840" t="s">
        <v>442</v>
      </c>
      <c r="B31" s="844" t="s">
        <v>202</v>
      </c>
      <c r="C31" s="1064">
        <v>0.1</v>
      </c>
      <c r="D31" s="1064">
        <v>9.5000000000000001E-2</v>
      </c>
      <c r="E31" s="1064">
        <v>8.8999999999999996E-2</v>
      </c>
      <c r="F31" s="1065">
        <v>0.1</v>
      </c>
    </row>
    <row r="32" spans="1:6" ht="15" thickBot="1">
      <c r="A32" s="840" t="s">
        <v>442</v>
      </c>
      <c r="B32" s="844" t="s">
        <v>215</v>
      </c>
      <c r="C32" s="1064">
        <v>0.05</v>
      </c>
      <c r="D32" s="1064">
        <v>0.05</v>
      </c>
      <c r="E32" s="1064">
        <v>8.7999999999999995E-2</v>
      </c>
      <c r="F32" s="1065">
        <v>0.1</v>
      </c>
    </row>
    <row r="33" spans="1:6" ht="15" thickBot="1">
      <c r="A33" s="840" t="s">
        <v>442</v>
      </c>
      <c r="B33" s="844" t="s">
        <v>227</v>
      </c>
      <c r="C33" s="1064">
        <v>7.4999999999999997E-2</v>
      </c>
      <c r="D33" s="1064">
        <v>9.4E-2</v>
      </c>
      <c r="E33" s="1064">
        <v>9.7000000000000003E-2</v>
      </c>
      <c r="F33" s="1065">
        <v>0.1</v>
      </c>
    </row>
    <row r="34" spans="1:6" ht="15" thickBot="1">
      <c r="A34" s="840" t="s">
        <v>442</v>
      </c>
      <c r="B34" s="844" t="s">
        <v>238</v>
      </c>
      <c r="C34" s="1064">
        <v>9.8000000000000004E-2</v>
      </c>
      <c r="D34" s="1064">
        <v>8.5999999999999993E-2</v>
      </c>
      <c r="E34" s="1064">
        <v>9.7000000000000003E-2</v>
      </c>
      <c r="F34" s="1065">
        <v>0.1</v>
      </c>
    </row>
    <row r="35" spans="1:6" ht="15" thickBot="1">
      <c r="A35" s="840" t="s">
        <v>442</v>
      </c>
      <c r="B35" s="844" t="s">
        <v>249</v>
      </c>
      <c r="C35" s="1064">
        <v>5.8999999999999997E-2</v>
      </c>
      <c r="D35" s="1064">
        <v>6.5000000000000002E-2</v>
      </c>
      <c r="E35" s="1064">
        <v>7.0000000000000007E-2</v>
      </c>
      <c r="F35" s="1065">
        <v>0.1</v>
      </c>
    </row>
    <row r="36" spans="1:6" ht="15" thickBot="1">
      <c r="A36" s="840" t="s">
        <v>442</v>
      </c>
      <c r="B36" s="844" t="s">
        <v>260</v>
      </c>
      <c r="C36" s="1064">
        <v>6.3E-2</v>
      </c>
      <c r="D36" s="1064">
        <v>0.1</v>
      </c>
      <c r="E36" s="1064">
        <v>0.1</v>
      </c>
      <c r="F36" s="1065">
        <v>0.1</v>
      </c>
    </row>
    <row r="37" spans="1:6" ht="15" thickBot="1">
      <c r="A37" s="840" t="s">
        <v>442</v>
      </c>
      <c r="B37" s="844" t="s">
        <v>272</v>
      </c>
      <c r="C37" s="1064">
        <v>7.3999999999999996E-2</v>
      </c>
      <c r="D37" s="1064">
        <v>0.1</v>
      </c>
      <c r="E37" s="1064">
        <v>0.1</v>
      </c>
      <c r="F37" s="1065">
        <v>0.1</v>
      </c>
    </row>
    <row r="38" spans="1:6" ht="15" thickBot="1">
      <c r="A38" s="840" t="s">
        <v>442</v>
      </c>
      <c r="B38" s="844" t="s">
        <v>282</v>
      </c>
      <c r="C38" s="1064">
        <v>0.1</v>
      </c>
      <c r="D38" s="1064">
        <v>9.6000000000000002E-2</v>
      </c>
      <c r="E38" s="1064">
        <v>9.6000000000000002E-2</v>
      </c>
      <c r="F38" s="1076"/>
    </row>
    <row r="39" spans="1:6" ht="15" thickBot="1">
      <c r="A39" s="840" t="s">
        <v>442</v>
      </c>
      <c r="B39" s="844" t="s">
        <v>292</v>
      </c>
      <c r="C39" s="1064">
        <v>0.1</v>
      </c>
      <c r="D39" s="1064">
        <v>9.6000000000000002E-2</v>
      </c>
      <c r="E39" s="1064">
        <v>9.6000000000000002E-2</v>
      </c>
      <c r="F39" s="1076"/>
    </row>
    <row r="40" spans="1:6" ht="15" thickBot="1">
      <c r="A40" s="840" t="s">
        <v>442</v>
      </c>
      <c r="B40" s="844" t="s">
        <v>302</v>
      </c>
      <c r="C40" s="1064">
        <v>9.6000000000000002E-2</v>
      </c>
      <c r="D40" s="1064">
        <v>0.1</v>
      </c>
      <c r="E40" s="1064">
        <v>9.9000000000000005E-2</v>
      </c>
      <c r="F40" s="1076"/>
    </row>
    <row r="41" spans="1:6" ht="15" thickBot="1">
      <c r="A41" s="840" t="s">
        <v>442</v>
      </c>
      <c r="B41" s="844" t="s">
        <v>312</v>
      </c>
      <c r="C41" s="1064">
        <v>9.6000000000000002E-2</v>
      </c>
      <c r="D41" s="1064">
        <v>9.8000000000000004E-2</v>
      </c>
      <c r="E41" s="1064">
        <v>9.8000000000000004E-2</v>
      </c>
      <c r="F41" s="1076"/>
    </row>
    <row r="42" spans="1:6" ht="15" thickBot="1">
      <c r="A42" s="840" t="s">
        <v>442</v>
      </c>
      <c r="B42" s="844" t="s">
        <v>323</v>
      </c>
      <c r="C42" s="1064">
        <v>0.1</v>
      </c>
      <c r="D42" s="1064">
        <v>8.7999999999999995E-2</v>
      </c>
      <c r="E42" s="1064">
        <v>0.1</v>
      </c>
      <c r="F42" s="1076"/>
    </row>
    <row r="43" spans="1:6" ht="15" thickBot="1">
      <c r="A43" s="840" t="s">
        <v>442</v>
      </c>
      <c r="B43" s="844" t="s">
        <v>334</v>
      </c>
      <c r="C43" s="1064">
        <v>9.8000000000000004E-2</v>
      </c>
      <c r="D43" s="1064">
        <v>9.7000000000000003E-2</v>
      </c>
      <c r="E43" s="1064">
        <v>9.6000000000000002E-2</v>
      </c>
      <c r="F43" s="1076"/>
    </row>
    <row r="44" spans="1:6" ht="15" thickBot="1">
      <c r="A44" s="840" t="s">
        <v>442</v>
      </c>
      <c r="B44" s="844" t="s">
        <v>344</v>
      </c>
      <c r="C44" s="1064">
        <v>8.5999999999999993E-2</v>
      </c>
      <c r="D44" s="1064">
        <v>7.9000000000000001E-2</v>
      </c>
      <c r="E44" s="1064">
        <v>7.0999999999999994E-2</v>
      </c>
      <c r="F44" s="1076"/>
    </row>
    <row r="45" spans="1:6" ht="15" thickBot="1">
      <c r="A45" s="840" t="s">
        <v>442</v>
      </c>
      <c r="B45" s="844" t="s">
        <v>354</v>
      </c>
      <c r="C45" s="1064">
        <v>9.8000000000000004E-2</v>
      </c>
      <c r="D45" s="1064">
        <v>9.6000000000000002E-2</v>
      </c>
      <c r="E45" s="1064">
        <v>9.6000000000000002E-2</v>
      </c>
      <c r="F45" s="1076"/>
    </row>
    <row r="46" spans="1:6" ht="15" thickBot="1">
      <c r="A46" s="840" t="s">
        <v>442</v>
      </c>
      <c r="B46" s="844" t="s">
        <v>364</v>
      </c>
      <c r="C46" s="1064">
        <v>8.5999999999999993E-2</v>
      </c>
      <c r="D46" s="1064">
        <v>9.8000000000000004E-2</v>
      </c>
      <c r="E46" s="1064">
        <v>8.7999999999999995E-2</v>
      </c>
      <c r="F46" s="1076"/>
    </row>
    <row r="47" spans="1:6" ht="15" thickBot="1">
      <c r="A47" s="840" t="s">
        <v>442</v>
      </c>
      <c r="B47" s="844" t="s">
        <v>374</v>
      </c>
      <c r="C47" s="1064">
        <v>9.6000000000000002E-2</v>
      </c>
      <c r="D47" s="1077"/>
      <c r="E47" s="1064">
        <v>6.9000000000000006E-2</v>
      </c>
      <c r="F47" s="1076"/>
    </row>
    <row r="48" spans="1:6" ht="15" thickBot="1">
      <c r="A48" s="850" t="s">
        <v>442</v>
      </c>
      <c r="B48" s="845" t="s">
        <v>383</v>
      </c>
      <c r="C48" s="1066">
        <v>9.8000000000000004E-2</v>
      </c>
      <c r="D48" s="1074"/>
      <c r="E48" s="1066">
        <v>9.5000000000000001E-2</v>
      </c>
      <c r="F48" s="1075"/>
    </row>
    <row r="49" spans="1:6" ht="15" thickBot="1">
      <c r="A49" s="840" t="s">
        <v>137</v>
      </c>
      <c r="B49" s="841" t="s">
        <v>881</v>
      </c>
      <c r="C49" s="1062">
        <v>9.7000000000000003E-2</v>
      </c>
      <c r="D49" s="1062">
        <v>9.5000000000000001E-2</v>
      </c>
      <c r="E49" s="1062">
        <v>9.7000000000000003E-2</v>
      </c>
      <c r="F49" s="1063">
        <v>0.1</v>
      </c>
    </row>
    <row r="50" spans="1:6" ht="15" thickBot="1">
      <c r="A50" s="840" t="s">
        <v>137</v>
      </c>
      <c r="B50" s="834" t="s">
        <v>190</v>
      </c>
      <c r="C50" s="1064">
        <v>7.4999999999999997E-2</v>
      </c>
      <c r="D50" s="1064">
        <v>9.5000000000000001E-2</v>
      </c>
      <c r="E50" s="1064">
        <v>0.1</v>
      </c>
      <c r="F50" s="1065">
        <v>0.1</v>
      </c>
    </row>
    <row r="51" spans="1:6" ht="15" thickBot="1">
      <c r="A51" s="840" t="s">
        <v>137</v>
      </c>
      <c r="B51" s="834" t="s">
        <v>203</v>
      </c>
      <c r="C51" s="1064">
        <v>9.8000000000000004E-2</v>
      </c>
      <c r="D51" s="1064">
        <v>8.8999999999999996E-2</v>
      </c>
      <c r="E51" s="1064">
        <v>0.1</v>
      </c>
      <c r="F51" s="1065">
        <v>0.1</v>
      </c>
    </row>
    <row r="52" spans="1:6" ht="15" thickBot="1">
      <c r="A52" s="840" t="s">
        <v>137</v>
      </c>
      <c r="B52" s="834" t="s">
        <v>216</v>
      </c>
      <c r="C52" s="1064">
        <v>9.8000000000000004E-2</v>
      </c>
      <c r="D52" s="1064">
        <v>9.7000000000000003E-2</v>
      </c>
      <c r="E52" s="1064">
        <v>8.1000000000000003E-2</v>
      </c>
      <c r="F52" s="1065">
        <v>0.1</v>
      </c>
    </row>
    <row r="53" spans="1:6" ht="15" thickBot="1">
      <c r="A53" s="840" t="s">
        <v>137</v>
      </c>
      <c r="B53" s="834" t="s">
        <v>228</v>
      </c>
      <c r="C53" s="1064">
        <v>9.7000000000000003E-2</v>
      </c>
      <c r="D53" s="1064">
        <v>7.5999999999999998E-2</v>
      </c>
      <c r="E53" s="1064">
        <v>7.0999999999999994E-2</v>
      </c>
      <c r="F53" s="1065">
        <v>0.1</v>
      </c>
    </row>
    <row r="54" spans="1:6" ht="15" thickBot="1">
      <c r="A54" s="840" t="s">
        <v>137</v>
      </c>
      <c r="B54" s="834" t="s">
        <v>239</v>
      </c>
      <c r="C54" s="1064">
        <v>7.5999999999999998E-2</v>
      </c>
      <c r="D54" s="1064">
        <v>0.1</v>
      </c>
      <c r="E54" s="1064">
        <v>9.9000000000000005E-2</v>
      </c>
      <c r="F54" s="1065">
        <v>0.1</v>
      </c>
    </row>
    <row r="55" spans="1:6" ht="15" thickBot="1">
      <c r="A55" s="840" t="s">
        <v>137</v>
      </c>
      <c r="B55" s="834" t="s">
        <v>250</v>
      </c>
      <c r="C55" s="1064">
        <v>0.1</v>
      </c>
      <c r="D55" s="1064">
        <v>0.1</v>
      </c>
      <c r="E55" s="1064">
        <v>9.6000000000000002E-2</v>
      </c>
      <c r="F55" s="1065">
        <v>0.1</v>
      </c>
    </row>
    <row r="56" spans="1:6" ht="15" thickBot="1">
      <c r="A56" s="840" t="s">
        <v>137</v>
      </c>
      <c r="B56" s="834" t="s">
        <v>261</v>
      </c>
      <c r="C56" s="1064">
        <v>0.1</v>
      </c>
      <c r="D56" s="1064">
        <v>9.6000000000000002E-2</v>
      </c>
      <c r="E56" s="1064">
        <v>5.1999999999999998E-2</v>
      </c>
      <c r="F56" s="1065">
        <v>0.1</v>
      </c>
    </row>
    <row r="57" spans="1:6" ht="15" thickBot="1">
      <c r="A57" s="840" t="s">
        <v>137</v>
      </c>
      <c r="B57" s="834" t="s">
        <v>273</v>
      </c>
      <c r="C57" s="1064">
        <v>9.7000000000000003E-2</v>
      </c>
      <c r="D57" s="1064">
        <v>9.6000000000000002E-2</v>
      </c>
      <c r="E57" s="1064">
        <v>9.6000000000000002E-2</v>
      </c>
      <c r="F57" s="1065">
        <v>0.1</v>
      </c>
    </row>
    <row r="58" spans="1:6" ht="15" thickBot="1">
      <c r="A58" s="840" t="s">
        <v>137</v>
      </c>
      <c r="B58" s="834" t="s">
        <v>283</v>
      </c>
      <c r="C58" s="1064">
        <v>9.6000000000000002E-2</v>
      </c>
      <c r="D58" s="1064">
        <v>9.9000000000000005E-2</v>
      </c>
      <c r="E58" s="1064">
        <v>9.6000000000000002E-2</v>
      </c>
      <c r="F58" s="1065">
        <v>0.1</v>
      </c>
    </row>
    <row r="59" spans="1:6" ht="15" thickBot="1">
      <c r="A59" s="840" t="s">
        <v>137</v>
      </c>
      <c r="B59" s="834" t="s">
        <v>293</v>
      </c>
      <c r="C59" s="1064">
        <v>7.1999999999999995E-2</v>
      </c>
      <c r="D59" s="1064">
        <v>9.6000000000000002E-2</v>
      </c>
      <c r="E59" s="1064">
        <v>7.0999999999999994E-2</v>
      </c>
      <c r="F59" s="1065">
        <v>0.1</v>
      </c>
    </row>
    <row r="60" spans="1:6" ht="15" thickBot="1">
      <c r="A60" s="840" t="s">
        <v>137</v>
      </c>
      <c r="B60" s="834" t="s">
        <v>303</v>
      </c>
      <c r="C60" s="1064">
        <v>9.6000000000000002E-2</v>
      </c>
      <c r="D60" s="1064">
        <v>8.8999999999999996E-2</v>
      </c>
      <c r="E60" s="1064">
        <v>9.6000000000000002E-2</v>
      </c>
      <c r="F60" s="1065">
        <v>0.1</v>
      </c>
    </row>
    <row r="61" spans="1:6" ht="15" thickBot="1">
      <c r="A61" s="840" t="s">
        <v>137</v>
      </c>
      <c r="B61" s="834" t="s">
        <v>313</v>
      </c>
      <c r="C61" s="1064">
        <v>8.8999999999999996E-2</v>
      </c>
      <c r="D61" s="1064">
        <v>9.8000000000000004E-2</v>
      </c>
      <c r="E61" s="1064">
        <v>8.7999999999999995E-2</v>
      </c>
      <c r="F61" s="1076"/>
    </row>
    <row r="62" spans="1:6" ht="15" thickBot="1">
      <c r="A62" s="840" t="s">
        <v>137</v>
      </c>
      <c r="B62" s="834" t="s">
        <v>324</v>
      </c>
      <c r="C62" s="1064">
        <v>9.8000000000000004E-2</v>
      </c>
      <c r="D62" s="1064">
        <v>9.2999999999999999E-2</v>
      </c>
      <c r="E62" s="1064">
        <v>9.7000000000000003E-2</v>
      </c>
      <c r="F62" s="1076"/>
    </row>
    <row r="63" spans="1:6" ht="15" thickBot="1">
      <c r="A63" s="840" t="s">
        <v>137</v>
      </c>
      <c r="B63" s="834" t="s">
        <v>335</v>
      </c>
      <c r="C63" s="1064">
        <v>9.6000000000000002E-2</v>
      </c>
      <c r="D63" s="1064">
        <v>9.8000000000000004E-2</v>
      </c>
      <c r="E63" s="1064">
        <v>0.09</v>
      </c>
      <c r="F63" s="1076"/>
    </row>
    <row r="64" spans="1:6" ht="15" thickBot="1">
      <c r="A64" s="840" t="s">
        <v>137</v>
      </c>
      <c r="B64" s="834" t="s">
        <v>345</v>
      </c>
      <c r="C64" s="1064">
        <v>9.9000000000000005E-2</v>
      </c>
      <c r="D64" s="1064">
        <v>9.7000000000000003E-2</v>
      </c>
      <c r="E64" s="1064">
        <v>9.9000000000000005E-2</v>
      </c>
      <c r="F64" s="1076"/>
    </row>
    <row r="65" spans="1:6" ht="15" thickBot="1">
      <c r="A65" s="840" t="s">
        <v>137</v>
      </c>
      <c r="B65" s="834" t="s">
        <v>355</v>
      </c>
      <c r="C65" s="1064">
        <v>9.8000000000000004E-2</v>
      </c>
      <c r="D65" s="1064">
        <v>9.6000000000000002E-2</v>
      </c>
      <c r="E65" s="1064">
        <v>9.6000000000000002E-2</v>
      </c>
      <c r="F65" s="1076"/>
    </row>
    <row r="66" spans="1:6" ht="15" thickBot="1">
      <c r="A66" s="840" t="s">
        <v>137</v>
      </c>
      <c r="B66" s="834" t="s">
        <v>365</v>
      </c>
      <c r="C66" s="1064">
        <v>9.6000000000000002E-2</v>
      </c>
      <c r="D66" s="1064">
        <v>9.1999999999999998E-2</v>
      </c>
      <c r="E66" s="1064">
        <v>9.6000000000000002E-2</v>
      </c>
      <c r="F66" s="1076"/>
    </row>
    <row r="67" spans="1:6" ht="15" thickBot="1">
      <c r="A67" s="840" t="s">
        <v>137</v>
      </c>
      <c r="B67" s="834" t="s">
        <v>375</v>
      </c>
      <c r="C67" s="1064">
        <v>9.4E-2</v>
      </c>
      <c r="D67" s="1064">
        <v>0.1</v>
      </c>
      <c r="E67" s="1064">
        <v>8.7999999999999995E-2</v>
      </c>
      <c r="F67" s="1076"/>
    </row>
    <row r="68" spans="1:6" ht="15" thickBot="1">
      <c r="A68" s="840" t="s">
        <v>137</v>
      </c>
      <c r="B68" s="834" t="s">
        <v>384</v>
      </c>
      <c r="C68" s="1064">
        <v>0.1</v>
      </c>
      <c r="D68" s="1064">
        <v>8.7999999999999995E-2</v>
      </c>
      <c r="E68" s="1064">
        <v>9.7000000000000003E-2</v>
      </c>
      <c r="F68" s="1076"/>
    </row>
    <row r="69" spans="1:6" ht="15" thickBot="1">
      <c r="A69" s="840" t="s">
        <v>137</v>
      </c>
      <c r="B69" s="834" t="s">
        <v>393</v>
      </c>
      <c r="C69" s="1064">
        <v>6.4000000000000001E-2</v>
      </c>
      <c r="D69" s="1064">
        <v>0.1</v>
      </c>
      <c r="E69" s="1064">
        <v>0.1</v>
      </c>
      <c r="F69" s="1076"/>
    </row>
    <row r="70" spans="1:6" ht="15" thickBot="1">
      <c r="A70" s="840" t="s">
        <v>137</v>
      </c>
      <c r="B70" s="834" t="s">
        <v>401</v>
      </c>
      <c r="C70" s="1064">
        <v>9.0999999999999998E-2</v>
      </c>
      <c r="D70" s="1077"/>
      <c r="E70" s="1077"/>
      <c r="F70" s="1076"/>
    </row>
    <row r="71" spans="1:6" ht="15" thickBot="1">
      <c r="A71" s="840" t="s">
        <v>137</v>
      </c>
      <c r="B71" s="834" t="s">
        <v>408</v>
      </c>
      <c r="C71" s="1064">
        <v>0.1</v>
      </c>
      <c r="D71" s="1077"/>
      <c r="E71" s="1077"/>
      <c r="F71" s="1076"/>
    </row>
    <row r="72" spans="1:6" ht="24.6" thickBot="1">
      <c r="A72" s="840" t="s">
        <v>137</v>
      </c>
      <c r="B72" s="834" t="s">
        <v>882</v>
      </c>
      <c r="C72" s="1077"/>
      <c r="D72" s="1077"/>
      <c r="E72" s="1077"/>
      <c r="F72" s="1065">
        <v>0.05</v>
      </c>
    </row>
    <row r="73" spans="1:6" ht="24.6" thickBot="1">
      <c r="A73" s="840" t="s">
        <v>137</v>
      </c>
      <c r="B73" s="834" t="s">
        <v>883</v>
      </c>
      <c r="C73" s="1077"/>
      <c r="D73" s="1077"/>
      <c r="E73" s="1077"/>
      <c r="F73" s="1065">
        <v>0.05</v>
      </c>
    </row>
    <row r="74" spans="1:6" ht="24.6" thickBot="1">
      <c r="A74" s="840" t="s">
        <v>137</v>
      </c>
      <c r="B74" s="834" t="s">
        <v>884</v>
      </c>
      <c r="C74" s="1077"/>
      <c r="D74" s="1077"/>
      <c r="E74" s="1077"/>
      <c r="F74" s="1065">
        <v>0.05</v>
      </c>
    </row>
    <row r="75" spans="1:6" ht="24.6" thickBot="1">
      <c r="A75" s="850" t="s">
        <v>137</v>
      </c>
      <c r="B75" s="846" t="s">
        <v>885</v>
      </c>
      <c r="C75" s="1074"/>
      <c r="D75" s="1074"/>
      <c r="E75" s="1074"/>
      <c r="F75" s="1067">
        <v>0.05</v>
      </c>
    </row>
    <row r="76" spans="1:6" ht="15" thickBot="1">
      <c r="A76" s="840" t="s">
        <v>523</v>
      </c>
      <c r="B76" s="841" t="s">
        <v>886</v>
      </c>
      <c r="C76" s="1062">
        <v>0.1</v>
      </c>
      <c r="D76" s="1062">
        <v>0.1</v>
      </c>
      <c r="E76" s="1062">
        <v>0.1</v>
      </c>
      <c r="F76" s="1063">
        <v>0.1</v>
      </c>
    </row>
    <row r="77" spans="1:6" ht="15" thickBot="1">
      <c r="A77" s="840" t="s">
        <v>523</v>
      </c>
      <c r="B77" s="834" t="s">
        <v>191</v>
      </c>
      <c r="C77" s="1064">
        <v>8.7999999999999995E-2</v>
      </c>
      <c r="D77" s="1064">
        <v>8.6999999999999994E-2</v>
      </c>
      <c r="E77" s="1064">
        <v>7.9000000000000001E-2</v>
      </c>
      <c r="F77" s="1065">
        <v>0.1</v>
      </c>
    </row>
    <row r="78" spans="1:6" ht="15" thickBot="1">
      <c r="A78" s="840" t="s">
        <v>523</v>
      </c>
      <c r="B78" s="834" t="s">
        <v>204</v>
      </c>
      <c r="C78" s="1064">
        <v>8.6999999999999994E-2</v>
      </c>
      <c r="D78" s="1064">
        <v>8.4000000000000005E-2</v>
      </c>
      <c r="E78" s="1064">
        <v>9.6000000000000002E-2</v>
      </c>
      <c r="F78" s="1065">
        <v>0.1</v>
      </c>
    </row>
    <row r="79" spans="1:6" ht="15" thickBot="1">
      <c r="A79" s="840" t="s">
        <v>523</v>
      </c>
      <c r="B79" s="834" t="s">
        <v>217</v>
      </c>
      <c r="C79" s="1064">
        <v>9.8000000000000004E-2</v>
      </c>
      <c r="D79" s="1064">
        <v>9.8000000000000004E-2</v>
      </c>
      <c r="E79" s="1064">
        <v>9.0999999999999998E-2</v>
      </c>
      <c r="F79" s="1065">
        <v>0.1</v>
      </c>
    </row>
    <row r="80" spans="1:6" ht="15" thickBot="1">
      <c r="A80" s="840" t="s">
        <v>523</v>
      </c>
      <c r="B80" s="834" t="s">
        <v>229</v>
      </c>
      <c r="C80" s="1064">
        <v>9.6000000000000002E-2</v>
      </c>
      <c r="D80" s="1064">
        <v>9.6000000000000002E-2</v>
      </c>
      <c r="E80" s="1064">
        <v>0.1</v>
      </c>
      <c r="F80" s="1065">
        <v>0.1</v>
      </c>
    </row>
    <row r="81" spans="1:6" ht="15" thickBot="1">
      <c r="A81" s="840" t="s">
        <v>523</v>
      </c>
      <c r="B81" s="834" t="s">
        <v>240</v>
      </c>
      <c r="C81" s="1064">
        <v>9.9000000000000005E-2</v>
      </c>
      <c r="D81" s="1064">
        <v>9.9000000000000005E-2</v>
      </c>
      <c r="E81" s="1064">
        <v>9.8000000000000004E-2</v>
      </c>
      <c r="F81" s="1065">
        <v>0.1</v>
      </c>
    </row>
    <row r="82" spans="1:6" ht="15" thickBot="1">
      <c r="A82" s="840" t="s">
        <v>523</v>
      </c>
      <c r="B82" s="834" t="s">
        <v>251</v>
      </c>
      <c r="C82" s="1064">
        <v>9.9000000000000005E-2</v>
      </c>
      <c r="D82" s="1064">
        <v>9.9000000000000005E-2</v>
      </c>
      <c r="E82" s="1064">
        <v>9.7000000000000003E-2</v>
      </c>
      <c r="F82" s="1065">
        <v>0.1</v>
      </c>
    </row>
    <row r="83" spans="1:6" ht="15" thickBot="1">
      <c r="A83" s="840" t="s">
        <v>523</v>
      </c>
      <c r="B83" s="834" t="s">
        <v>262</v>
      </c>
      <c r="C83" s="1064">
        <v>9.8000000000000004E-2</v>
      </c>
      <c r="D83" s="1064">
        <v>9.8000000000000004E-2</v>
      </c>
      <c r="E83" s="1064">
        <v>9.8000000000000004E-2</v>
      </c>
      <c r="F83" s="1065">
        <v>0.1</v>
      </c>
    </row>
    <row r="84" spans="1:6" ht="15" thickBot="1">
      <c r="A84" s="840" t="s">
        <v>523</v>
      </c>
      <c r="B84" s="834" t="s">
        <v>274</v>
      </c>
      <c r="C84" s="1064">
        <v>9.9000000000000005E-2</v>
      </c>
      <c r="D84" s="1064">
        <v>9.9000000000000005E-2</v>
      </c>
      <c r="E84" s="1064">
        <v>9.9000000000000005E-2</v>
      </c>
      <c r="F84" s="1065">
        <v>0.1</v>
      </c>
    </row>
    <row r="85" spans="1:6" ht="15" thickBot="1">
      <c r="A85" s="840" t="s">
        <v>523</v>
      </c>
      <c r="B85" s="834" t="s">
        <v>284</v>
      </c>
      <c r="C85" s="1064">
        <v>9.9000000000000005E-2</v>
      </c>
      <c r="D85" s="1064">
        <v>9.9000000000000005E-2</v>
      </c>
      <c r="E85" s="1064">
        <v>9.9000000000000005E-2</v>
      </c>
      <c r="F85" s="1065">
        <v>0.1</v>
      </c>
    </row>
    <row r="86" spans="1:6" ht="15" thickBot="1">
      <c r="A86" s="840" t="s">
        <v>523</v>
      </c>
      <c r="B86" s="834" t="s">
        <v>294</v>
      </c>
      <c r="C86" s="1064">
        <v>0.1</v>
      </c>
      <c r="D86" s="1064">
        <v>0.1</v>
      </c>
      <c r="E86" s="1064">
        <v>7.6999999999999999E-2</v>
      </c>
      <c r="F86" s="1065">
        <v>0.1</v>
      </c>
    </row>
    <row r="87" spans="1:6" ht="15" thickBot="1">
      <c r="A87" s="840" t="s">
        <v>523</v>
      </c>
      <c r="B87" s="834" t="s">
        <v>304</v>
      </c>
      <c r="C87" s="1064">
        <v>0.1</v>
      </c>
      <c r="D87" s="1064">
        <v>0.1</v>
      </c>
      <c r="E87" s="1064">
        <v>9.8000000000000004E-2</v>
      </c>
      <c r="F87" s="1076"/>
    </row>
    <row r="88" spans="1:6" ht="15" thickBot="1">
      <c r="A88" s="840" t="s">
        <v>523</v>
      </c>
      <c r="B88" s="834" t="s">
        <v>314</v>
      </c>
      <c r="C88" s="1064">
        <v>9.1999999999999998E-2</v>
      </c>
      <c r="D88" s="1064">
        <v>8.5000000000000006E-2</v>
      </c>
      <c r="E88" s="1064">
        <v>9.6000000000000002E-2</v>
      </c>
      <c r="F88" s="1076"/>
    </row>
    <row r="89" spans="1:6" ht="15" thickBot="1">
      <c r="A89" s="840" t="s">
        <v>523</v>
      </c>
      <c r="B89" s="834" t="s">
        <v>325</v>
      </c>
      <c r="C89" s="1064">
        <v>0.1</v>
      </c>
      <c r="D89" s="1064">
        <v>0.1</v>
      </c>
      <c r="E89" s="1064">
        <v>9.7000000000000003E-2</v>
      </c>
      <c r="F89" s="1076"/>
    </row>
    <row r="90" spans="1:6" ht="15" thickBot="1">
      <c r="A90" s="840" t="s">
        <v>523</v>
      </c>
      <c r="B90" s="834" t="s">
        <v>336</v>
      </c>
      <c r="C90" s="1064">
        <v>9.8000000000000004E-2</v>
      </c>
      <c r="D90" s="1064">
        <v>9.8000000000000004E-2</v>
      </c>
      <c r="E90" s="1064">
        <v>8.7999999999999995E-2</v>
      </c>
      <c r="F90" s="1076"/>
    </row>
    <row r="91" spans="1:6" ht="15" thickBot="1">
      <c r="A91" s="840" t="s">
        <v>523</v>
      </c>
      <c r="B91" s="834" t="s">
        <v>346</v>
      </c>
      <c r="C91" s="1064">
        <v>9.9000000000000005E-2</v>
      </c>
      <c r="D91" s="1064">
        <v>9.9000000000000005E-2</v>
      </c>
      <c r="E91" s="1064">
        <v>9.0999999999999998E-2</v>
      </c>
      <c r="F91" s="1076"/>
    </row>
    <row r="92" spans="1:6" ht="15" thickBot="1">
      <c r="A92" s="840" t="s">
        <v>523</v>
      </c>
      <c r="B92" s="834" t="s">
        <v>356</v>
      </c>
      <c r="C92" s="1064">
        <v>9.6000000000000002E-2</v>
      </c>
      <c r="D92" s="1064">
        <v>9.6000000000000002E-2</v>
      </c>
      <c r="E92" s="1064">
        <v>7.2999999999999995E-2</v>
      </c>
      <c r="F92" s="1076"/>
    </row>
    <row r="93" spans="1:6" ht="15" thickBot="1">
      <c r="A93" s="840" t="s">
        <v>523</v>
      </c>
      <c r="B93" s="834" t="s">
        <v>366</v>
      </c>
      <c r="C93" s="1064">
        <v>9.6000000000000002E-2</v>
      </c>
      <c r="D93" s="1064">
        <v>9.6000000000000002E-2</v>
      </c>
      <c r="E93" s="1064">
        <v>9.9000000000000005E-2</v>
      </c>
      <c r="F93" s="1076"/>
    </row>
    <row r="94" spans="1:6" ht="15" thickBot="1">
      <c r="A94" s="840" t="s">
        <v>523</v>
      </c>
      <c r="B94" s="834" t="s">
        <v>376</v>
      </c>
      <c r="C94" s="1064">
        <v>7.5999999999999998E-2</v>
      </c>
      <c r="D94" s="1064">
        <v>7.3999999999999996E-2</v>
      </c>
      <c r="E94" s="1064">
        <v>9.7000000000000003E-2</v>
      </c>
      <c r="F94" s="1076"/>
    </row>
    <row r="95" spans="1:6" ht="15" thickBot="1">
      <c r="A95" s="840" t="s">
        <v>523</v>
      </c>
      <c r="B95" s="834" t="s">
        <v>385</v>
      </c>
      <c r="C95" s="1064">
        <v>9.9000000000000005E-2</v>
      </c>
      <c r="D95" s="1064">
        <v>9.4E-2</v>
      </c>
      <c r="E95" s="1064">
        <v>9.6000000000000002E-2</v>
      </c>
      <c r="F95" s="1076"/>
    </row>
    <row r="96" spans="1:6" ht="15" thickBot="1">
      <c r="A96" s="840" t="s">
        <v>523</v>
      </c>
      <c r="B96" s="834" t="s">
        <v>394</v>
      </c>
      <c r="C96" s="1064">
        <v>9.9000000000000005E-2</v>
      </c>
      <c r="D96" s="1064">
        <v>9.9000000000000005E-2</v>
      </c>
      <c r="E96" s="1064">
        <v>9.9000000000000005E-2</v>
      </c>
      <c r="F96" s="1076"/>
    </row>
    <row r="97" spans="1:6" ht="15" thickBot="1">
      <c r="A97" s="840" t="s">
        <v>523</v>
      </c>
      <c r="B97" s="834" t="s">
        <v>402</v>
      </c>
      <c r="C97" s="1064">
        <v>9.8000000000000004E-2</v>
      </c>
      <c r="D97" s="1064">
        <v>9.8000000000000004E-2</v>
      </c>
      <c r="E97" s="1064">
        <v>9.7000000000000003E-2</v>
      </c>
      <c r="F97" s="1076"/>
    </row>
    <row r="98" spans="1:6" ht="15" thickBot="1">
      <c r="A98" s="840" t="s">
        <v>523</v>
      </c>
      <c r="B98" s="834" t="s">
        <v>409</v>
      </c>
      <c r="C98" s="1064">
        <v>0.1</v>
      </c>
      <c r="D98" s="1064">
        <v>0.1</v>
      </c>
      <c r="E98" s="1064">
        <v>9.7000000000000003E-2</v>
      </c>
      <c r="F98" s="1076"/>
    </row>
    <row r="99" spans="1:6" ht="15" thickBot="1">
      <c r="A99" s="840" t="s">
        <v>523</v>
      </c>
      <c r="B99" s="834" t="s">
        <v>416</v>
      </c>
      <c r="C99" s="1064">
        <v>0.1</v>
      </c>
      <c r="D99" s="1064">
        <v>0.1</v>
      </c>
      <c r="E99" s="1077"/>
      <c r="F99" s="1076"/>
    </row>
    <row r="100" spans="1:6" ht="15" thickBot="1">
      <c r="A100" s="840" t="s">
        <v>523</v>
      </c>
      <c r="B100" s="834" t="s">
        <v>423</v>
      </c>
      <c r="C100" s="1064">
        <v>0.09</v>
      </c>
      <c r="D100" s="1064">
        <v>8.8999999999999996E-2</v>
      </c>
      <c r="E100" s="1077"/>
      <c r="F100" s="1076"/>
    </row>
    <row r="101" spans="1:6" ht="15" thickBot="1">
      <c r="A101" s="840" t="s">
        <v>523</v>
      </c>
      <c r="B101" s="834" t="s">
        <v>430</v>
      </c>
      <c r="C101" s="1064">
        <v>9.8000000000000004E-2</v>
      </c>
      <c r="D101" s="1064">
        <v>9.7000000000000003E-2</v>
      </c>
      <c r="E101" s="1077"/>
      <c r="F101" s="1076"/>
    </row>
    <row r="102" spans="1:6" ht="24.6" thickBot="1">
      <c r="A102" s="840" t="s">
        <v>523</v>
      </c>
      <c r="B102" s="834" t="s">
        <v>887</v>
      </c>
      <c r="C102" s="1077"/>
      <c r="D102" s="1077"/>
      <c r="E102" s="1077"/>
      <c r="F102" s="1065">
        <v>0.05</v>
      </c>
    </row>
    <row r="103" spans="1:6" ht="24.6" thickBot="1">
      <c r="A103" s="840" t="s">
        <v>523</v>
      </c>
      <c r="B103" s="834" t="s">
        <v>888</v>
      </c>
      <c r="C103" s="1077"/>
      <c r="D103" s="1077"/>
      <c r="E103" s="1077"/>
      <c r="F103" s="1065">
        <v>0.05</v>
      </c>
    </row>
    <row r="104" spans="1:6" ht="15" thickBot="1">
      <c r="A104" s="840" t="s">
        <v>523</v>
      </c>
      <c r="B104" s="834" t="s">
        <v>889</v>
      </c>
      <c r="C104" s="1077"/>
      <c r="D104" s="1077"/>
      <c r="E104" s="1077"/>
      <c r="F104" s="1065">
        <v>0.05</v>
      </c>
    </row>
    <row r="105" spans="1:6" ht="24.6" thickBot="1">
      <c r="A105" s="840" t="s">
        <v>523</v>
      </c>
      <c r="B105" s="834" t="s">
        <v>890</v>
      </c>
      <c r="C105" s="1077"/>
      <c r="D105" s="1077"/>
      <c r="E105" s="1077"/>
      <c r="F105" s="1065">
        <v>0.05</v>
      </c>
    </row>
    <row r="106" spans="1:6" ht="24.6" thickBot="1">
      <c r="A106" s="840" t="s">
        <v>523</v>
      </c>
      <c r="B106" s="834" t="s">
        <v>891</v>
      </c>
      <c r="C106" s="1077"/>
      <c r="D106" s="1077"/>
      <c r="E106" s="1077"/>
      <c r="F106" s="1065">
        <v>0.05</v>
      </c>
    </row>
    <row r="107" spans="1:6" ht="24.6" thickBot="1">
      <c r="A107" s="840" t="s">
        <v>523</v>
      </c>
      <c r="B107" s="834" t="s">
        <v>892</v>
      </c>
      <c r="C107" s="1077"/>
      <c r="D107" s="1077"/>
      <c r="E107" s="1077"/>
      <c r="F107" s="1065">
        <v>0.05</v>
      </c>
    </row>
    <row r="108" spans="1:6" ht="24.6" thickBot="1">
      <c r="A108" s="840" t="s">
        <v>523</v>
      </c>
      <c r="B108" s="834" t="s">
        <v>893</v>
      </c>
      <c r="C108" s="1077"/>
      <c r="D108" s="1077"/>
      <c r="E108" s="1077"/>
      <c r="F108" s="1065">
        <v>0.05</v>
      </c>
    </row>
    <row r="109" spans="1:6" ht="24.6" thickBot="1">
      <c r="A109" s="850" t="s">
        <v>523</v>
      </c>
      <c r="B109" s="846" t="s">
        <v>894</v>
      </c>
      <c r="C109" s="1074"/>
      <c r="D109" s="1074"/>
      <c r="E109" s="1074"/>
      <c r="F109" s="1067">
        <v>0.05</v>
      </c>
    </row>
    <row r="110" spans="1:6" ht="15" thickBot="1">
      <c r="A110" s="840" t="s">
        <v>56</v>
      </c>
      <c r="B110" s="841" t="s">
        <v>895</v>
      </c>
      <c r="C110" s="1062">
        <v>0.129</v>
      </c>
      <c r="D110" s="1062">
        <v>0.129</v>
      </c>
      <c r="E110" s="1062">
        <v>0.126</v>
      </c>
      <c r="F110" s="1063">
        <v>0.13</v>
      </c>
    </row>
    <row r="111" spans="1:6" ht="15" thickBot="1">
      <c r="A111" s="840" t="s">
        <v>56</v>
      </c>
      <c r="B111" s="834" t="s">
        <v>192</v>
      </c>
      <c r="C111" s="1064">
        <v>0.11</v>
      </c>
      <c r="D111" s="1064">
        <v>0.11</v>
      </c>
      <c r="E111" s="1064">
        <v>9.9000000000000005E-2</v>
      </c>
      <c r="F111" s="1065">
        <v>0.128</v>
      </c>
    </row>
    <row r="112" spans="1:6" ht="15" thickBot="1">
      <c r="A112" s="840" t="s">
        <v>56</v>
      </c>
      <c r="B112" s="834" t="s">
        <v>205</v>
      </c>
      <c r="C112" s="1064">
        <v>0.125</v>
      </c>
      <c r="D112" s="1064">
        <v>0.125</v>
      </c>
      <c r="E112" s="1064">
        <v>0.12</v>
      </c>
      <c r="F112" s="1065">
        <v>0.125</v>
      </c>
    </row>
    <row r="113" spans="1:6" ht="15" thickBot="1">
      <c r="A113" s="840" t="s">
        <v>56</v>
      </c>
      <c r="B113" s="834" t="s">
        <v>218</v>
      </c>
      <c r="C113" s="1064">
        <v>0.13</v>
      </c>
      <c r="D113" s="1064">
        <v>0.13</v>
      </c>
      <c r="E113" s="1064">
        <v>0.13</v>
      </c>
      <c r="F113" s="1065">
        <v>0.13</v>
      </c>
    </row>
    <row r="114" spans="1:6" ht="15" thickBot="1">
      <c r="A114" s="840" t="s">
        <v>56</v>
      </c>
      <c r="B114" s="834" t="s">
        <v>230</v>
      </c>
      <c r="C114" s="1064">
        <v>0.123</v>
      </c>
      <c r="D114" s="1064">
        <v>0.123</v>
      </c>
      <c r="E114" s="1064">
        <v>0.12</v>
      </c>
      <c r="F114" s="1065">
        <v>0.13</v>
      </c>
    </row>
    <row r="115" spans="1:6" ht="15" thickBot="1">
      <c r="A115" s="840" t="s">
        <v>56</v>
      </c>
      <c r="B115" s="834" t="s">
        <v>241</v>
      </c>
      <c r="C115" s="1064">
        <v>0.125</v>
      </c>
      <c r="D115" s="1064">
        <v>0.125</v>
      </c>
      <c r="E115" s="1064">
        <v>0.11700000000000001</v>
      </c>
      <c r="F115" s="1065">
        <v>0.13</v>
      </c>
    </row>
    <row r="116" spans="1:6" ht="15" thickBot="1">
      <c r="A116" s="840" t="s">
        <v>56</v>
      </c>
      <c r="B116" s="834" t="s">
        <v>252</v>
      </c>
      <c r="C116" s="1064">
        <v>0.11700000000000001</v>
      </c>
      <c r="D116" s="1064">
        <v>0.11700000000000001</v>
      </c>
      <c r="E116" s="1064">
        <v>8.7999999999999995E-2</v>
      </c>
      <c r="F116" s="1065">
        <v>0.13</v>
      </c>
    </row>
    <row r="117" spans="1:6" ht="15" thickBot="1">
      <c r="A117" s="840" t="s">
        <v>56</v>
      </c>
      <c r="B117" s="834" t="s">
        <v>263</v>
      </c>
      <c r="C117" s="1064">
        <v>0.13</v>
      </c>
      <c r="D117" s="1064">
        <v>0.13</v>
      </c>
      <c r="E117" s="1064">
        <v>0.129</v>
      </c>
      <c r="F117" s="1065">
        <v>0.13</v>
      </c>
    </row>
    <row r="118" spans="1:6" ht="15" thickBot="1">
      <c r="A118" s="840" t="s">
        <v>56</v>
      </c>
      <c r="B118" s="834" t="s">
        <v>275</v>
      </c>
      <c r="C118" s="1064">
        <v>0.123</v>
      </c>
      <c r="D118" s="1064">
        <v>0.123</v>
      </c>
      <c r="E118" s="1064">
        <v>0.11600000000000001</v>
      </c>
      <c r="F118" s="1065">
        <v>0.13</v>
      </c>
    </row>
    <row r="119" spans="1:6" ht="15" thickBot="1">
      <c r="A119" s="840" t="s">
        <v>56</v>
      </c>
      <c r="B119" s="834" t="s">
        <v>285</v>
      </c>
      <c r="C119" s="1064">
        <v>0.127</v>
      </c>
      <c r="D119" s="1064">
        <v>0.127</v>
      </c>
      <c r="E119" s="1064">
        <v>0.124</v>
      </c>
      <c r="F119" s="1065">
        <v>0.13</v>
      </c>
    </row>
    <row r="120" spans="1:6" ht="15" thickBot="1">
      <c r="A120" s="840" t="s">
        <v>56</v>
      </c>
      <c r="B120" s="834" t="s">
        <v>295</v>
      </c>
      <c r="C120" s="1064">
        <v>0.125</v>
      </c>
      <c r="D120" s="1064">
        <v>0.125</v>
      </c>
      <c r="E120" s="1064">
        <v>0.122</v>
      </c>
      <c r="F120" s="1065">
        <v>0.13</v>
      </c>
    </row>
    <row r="121" spans="1:6" ht="15" thickBot="1">
      <c r="A121" s="840" t="s">
        <v>56</v>
      </c>
      <c r="B121" s="834" t="s">
        <v>305</v>
      </c>
      <c r="C121" s="1064">
        <v>0.13</v>
      </c>
      <c r="D121" s="1064">
        <v>0.13</v>
      </c>
      <c r="E121" s="1064">
        <v>0.13</v>
      </c>
      <c r="F121" s="1065">
        <v>0.13</v>
      </c>
    </row>
    <row r="122" spans="1:6" ht="15" thickBot="1">
      <c r="A122" s="840" t="s">
        <v>56</v>
      </c>
      <c r="B122" s="834" t="s">
        <v>315</v>
      </c>
      <c r="C122" s="1064">
        <v>0.13</v>
      </c>
      <c r="D122" s="1064">
        <v>0.13</v>
      </c>
      <c r="E122" s="1064">
        <v>0.125</v>
      </c>
      <c r="F122" s="1065">
        <v>0.13</v>
      </c>
    </row>
    <row r="123" spans="1:6" ht="15" thickBot="1">
      <c r="A123" s="840" t="s">
        <v>56</v>
      </c>
      <c r="B123" s="834" t="s">
        <v>326</v>
      </c>
      <c r="C123" s="1064">
        <v>0.129</v>
      </c>
      <c r="D123" s="1064">
        <v>0.129</v>
      </c>
      <c r="E123" s="1064">
        <v>0.123</v>
      </c>
      <c r="F123" s="1065">
        <v>0.13</v>
      </c>
    </row>
    <row r="124" spans="1:6" ht="15" thickBot="1">
      <c r="A124" s="840" t="s">
        <v>56</v>
      </c>
      <c r="B124" s="834" t="s">
        <v>337</v>
      </c>
      <c r="C124" s="1064">
        <v>0.10199999999999999</v>
      </c>
      <c r="D124" s="1064">
        <v>0.10100000000000001</v>
      </c>
      <c r="E124" s="1064">
        <v>0.08</v>
      </c>
      <c r="F124" s="1076"/>
    </row>
    <row r="125" spans="1:6" ht="15" thickBot="1">
      <c r="A125" s="840" t="s">
        <v>56</v>
      </c>
      <c r="B125" s="834" t="s">
        <v>347</v>
      </c>
      <c r="C125" s="1064">
        <v>0.13</v>
      </c>
      <c r="D125" s="1064">
        <v>0.13</v>
      </c>
      <c r="E125" s="1064">
        <v>0.129</v>
      </c>
      <c r="F125" s="1076"/>
    </row>
    <row r="126" spans="1:6" ht="15" thickBot="1">
      <c r="A126" s="840" t="s">
        <v>56</v>
      </c>
      <c r="B126" s="834" t="s">
        <v>357</v>
      </c>
      <c r="C126" s="1064">
        <v>0.13</v>
      </c>
      <c r="D126" s="1064">
        <v>0.13</v>
      </c>
      <c r="E126" s="1064">
        <v>0.126</v>
      </c>
      <c r="F126" s="1076"/>
    </row>
    <row r="127" spans="1:6" ht="15" thickBot="1">
      <c r="A127" s="840" t="s">
        <v>56</v>
      </c>
      <c r="B127" s="834" t="s">
        <v>367</v>
      </c>
      <c r="C127" s="1064">
        <v>0.125</v>
      </c>
      <c r="D127" s="1064">
        <v>0.125</v>
      </c>
      <c r="E127" s="1064">
        <v>0.121</v>
      </c>
      <c r="F127" s="1076"/>
    </row>
    <row r="128" spans="1:6" ht="15" thickBot="1">
      <c r="A128" s="840" t="s">
        <v>56</v>
      </c>
      <c r="B128" s="834" t="s">
        <v>377</v>
      </c>
      <c r="C128" s="1064">
        <v>0.12</v>
      </c>
      <c r="D128" s="1064">
        <v>0.12</v>
      </c>
      <c r="E128" s="1064">
        <v>0.105</v>
      </c>
      <c r="F128" s="1076"/>
    </row>
    <row r="129" spans="1:6" ht="15" thickBot="1">
      <c r="A129" s="840" t="s">
        <v>56</v>
      </c>
      <c r="B129" s="834" t="s">
        <v>386</v>
      </c>
      <c r="C129" s="1064">
        <v>0.13</v>
      </c>
      <c r="D129" s="1064">
        <v>0.13</v>
      </c>
      <c r="E129" s="1064">
        <v>0.126</v>
      </c>
      <c r="F129" s="1076"/>
    </row>
    <row r="130" spans="1:6" ht="15" thickBot="1">
      <c r="A130" s="840" t="s">
        <v>56</v>
      </c>
      <c r="B130" s="834" t="s">
        <v>395</v>
      </c>
      <c r="C130" s="1064">
        <v>0.125</v>
      </c>
      <c r="D130" s="1064">
        <v>0.125</v>
      </c>
      <c r="E130" s="1064">
        <v>0.122</v>
      </c>
      <c r="F130" s="1076"/>
    </row>
    <row r="131" spans="1:6" ht="15" thickBot="1">
      <c r="A131" s="840" t="s">
        <v>56</v>
      </c>
      <c r="B131" s="834" t="s">
        <v>403</v>
      </c>
      <c r="C131" s="1064">
        <v>0.127</v>
      </c>
      <c r="D131" s="1064">
        <v>0.126</v>
      </c>
      <c r="E131" s="1064">
        <v>0.123</v>
      </c>
      <c r="F131" s="1076"/>
    </row>
    <row r="132" spans="1:6" ht="15" thickBot="1">
      <c r="A132" s="840" t="s">
        <v>56</v>
      </c>
      <c r="B132" s="834" t="s">
        <v>410</v>
      </c>
      <c r="C132" s="1064">
        <v>9.0999999999999998E-2</v>
      </c>
      <c r="D132" s="1064">
        <v>0.121</v>
      </c>
      <c r="E132" s="1064">
        <v>9.9000000000000005E-2</v>
      </c>
      <c r="F132" s="1076"/>
    </row>
    <row r="133" spans="1:6" ht="15" thickBot="1">
      <c r="A133" s="840" t="s">
        <v>56</v>
      </c>
      <c r="B133" s="834" t="s">
        <v>417</v>
      </c>
      <c r="C133" s="1064">
        <v>0.13</v>
      </c>
      <c r="D133" s="1064">
        <v>0.13</v>
      </c>
      <c r="E133" s="1064">
        <v>0.129</v>
      </c>
      <c r="F133" s="1076"/>
    </row>
    <row r="134" spans="1:6" ht="15" thickBot="1">
      <c r="A134" s="840" t="s">
        <v>56</v>
      </c>
      <c r="B134" s="834" t="s">
        <v>896</v>
      </c>
      <c r="C134" s="1064">
        <v>6.8000000000000005E-2</v>
      </c>
      <c r="D134" s="1064">
        <v>6.5000000000000002E-2</v>
      </c>
      <c r="E134" s="1064">
        <v>6.5000000000000002E-2</v>
      </c>
      <c r="F134" s="1065">
        <v>0.13</v>
      </c>
    </row>
    <row r="135" spans="1:6" ht="15" thickBot="1">
      <c r="A135" s="840" t="s">
        <v>56</v>
      </c>
      <c r="B135" s="834" t="s">
        <v>431</v>
      </c>
      <c r="C135" s="1064">
        <v>0.123</v>
      </c>
      <c r="D135" s="1064">
        <v>0.123</v>
      </c>
      <c r="E135" s="1064">
        <v>0.11</v>
      </c>
      <c r="F135" s="1076"/>
    </row>
    <row r="136" spans="1:6" ht="15" thickBot="1">
      <c r="A136" s="840" t="s">
        <v>56</v>
      </c>
      <c r="B136" s="834" t="s">
        <v>438</v>
      </c>
      <c r="C136" s="1064">
        <v>0.13</v>
      </c>
      <c r="D136" s="1064">
        <v>0.13</v>
      </c>
      <c r="E136" s="1064">
        <v>0.125</v>
      </c>
      <c r="F136" s="1076"/>
    </row>
    <row r="137" spans="1:6" ht="15" thickBot="1">
      <c r="A137" s="840" t="s">
        <v>56</v>
      </c>
      <c r="B137" s="834" t="s">
        <v>445</v>
      </c>
      <c r="C137" s="1064">
        <v>0.121</v>
      </c>
      <c r="D137" s="1064">
        <v>0.122</v>
      </c>
      <c r="E137" s="1064">
        <v>0.115</v>
      </c>
      <c r="F137" s="1076"/>
    </row>
    <row r="138" spans="1:6" ht="15" thickBot="1">
      <c r="A138" s="840" t="s">
        <v>56</v>
      </c>
      <c r="B138" s="834" t="s">
        <v>897</v>
      </c>
      <c r="C138" s="1064">
        <v>0.105</v>
      </c>
      <c r="D138" s="1064">
        <v>0.125</v>
      </c>
      <c r="E138" s="1064">
        <v>0.112</v>
      </c>
      <c r="F138" s="1076"/>
    </row>
    <row r="139" spans="1:6" ht="15" thickBot="1">
      <c r="A139" s="840" t="s">
        <v>56</v>
      </c>
      <c r="B139" s="834" t="s">
        <v>898</v>
      </c>
      <c r="C139" s="1064">
        <v>0.127</v>
      </c>
      <c r="D139" s="1064">
        <v>0.127</v>
      </c>
      <c r="E139" s="1064">
        <v>0.122</v>
      </c>
      <c r="F139" s="1065">
        <v>0.13</v>
      </c>
    </row>
    <row r="140" spans="1:6" ht="15" thickBot="1">
      <c r="A140" s="840" t="s">
        <v>56</v>
      </c>
      <c r="B140" s="834" t="s">
        <v>899</v>
      </c>
      <c r="C140" s="1064">
        <v>0.125</v>
      </c>
      <c r="D140" s="1064">
        <v>0.125</v>
      </c>
      <c r="E140" s="1064">
        <v>0.11899999999999999</v>
      </c>
      <c r="F140" s="1065">
        <v>0.13</v>
      </c>
    </row>
    <row r="141" spans="1:6" ht="15" thickBot="1">
      <c r="A141" s="840" t="s">
        <v>56</v>
      </c>
      <c r="B141" s="834" t="s">
        <v>464</v>
      </c>
      <c r="C141" s="1064">
        <v>0.125</v>
      </c>
      <c r="D141" s="1064">
        <v>0.125</v>
      </c>
      <c r="E141" s="1064">
        <v>0.11700000000000001</v>
      </c>
      <c r="F141" s="1076"/>
    </row>
    <row r="142" spans="1:6" ht="15" thickBot="1">
      <c r="A142" s="840" t="s">
        <v>56</v>
      </c>
      <c r="B142" s="834" t="s">
        <v>469</v>
      </c>
      <c r="C142" s="1064">
        <v>0.125</v>
      </c>
      <c r="D142" s="1064">
        <v>0.125</v>
      </c>
      <c r="E142" s="1064">
        <v>0.115</v>
      </c>
      <c r="F142" s="1076"/>
    </row>
    <row r="143" spans="1:6" ht="15" thickBot="1">
      <c r="A143" s="840" t="s">
        <v>56</v>
      </c>
      <c r="B143" s="834" t="s">
        <v>474</v>
      </c>
      <c r="C143" s="1064">
        <v>0.121</v>
      </c>
      <c r="D143" s="1064">
        <v>0.121</v>
      </c>
      <c r="E143" s="1064">
        <v>0.108</v>
      </c>
      <c r="F143" s="1076"/>
    </row>
    <row r="144" spans="1:6" ht="15" thickBot="1">
      <c r="A144" s="840" t="s">
        <v>56</v>
      </c>
      <c r="B144" s="1068" t="s">
        <v>900</v>
      </c>
      <c r="C144" s="1069">
        <v>0.126</v>
      </c>
      <c r="D144" s="1069">
        <v>0.126</v>
      </c>
      <c r="E144" s="1069">
        <v>0.121</v>
      </c>
      <c r="F144" s="1076"/>
    </row>
    <row r="145" spans="1:6" ht="15" thickBot="1">
      <c r="A145" s="850" t="s">
        <v>56</v>
      </c>
      <c r="B145" s="1070" t="s">
        <v>901</v>
      </c>
      <c r="C145" s="1078"/>
      <c r="D145" s="1078"/>
      <c r="E145" s="1078"/>
      <c r="F145" s="1071">
        <v>0.05</v>
      </c>
    </row>
    <row r="146" spans="1:6" ht="24.6" thickBot="1">
      <c r="A146" s="1072" t="s">
        <v>56</v>
      </c>
      <c r="B146" s="844" t="s">
        <v>902</v>
      </c>
      <c r="C146" s="1077"/>
      <c r="D146" s="1077"/>
      <c r="E146" s="1077"/>
      <c r="F146" s="1073">
        <v>0.05</v>
      </c>
    </row>
    <row r="147" spans="1:6" ht="24.6" thickBot="1">
      <c r="A147" s="840" t="s">
        <v>56</v>
      </c>
      <c r="B147" s="834" t="s">
        <v>903</v>
      </c>
      <c r="C147" s="1077"/>
      <c r="D147" s="1077"/>
      <c r="E147" s="1077"/>
      <c r="F147" s="1065">
        <v>0.05</v>
      </c>
    </row>
    <row r="148" spans="1:6" ht="24.6" thickBot="1">
      <c r="A148" s="840" t="s">
        <v>56</v>
      </c>
      <c r="B148" s="834" t="s">
        <v>904</v>
      </c>
      <c r="C148" s="1077"/>
      <c r="D148" s="1077"/>
      <c r="E148" s="1077"/>
      <c r="F148" s="1065">
        <v>0.05</v>
      </c>
    </row>
    <row r="149" spans="1:6" ht="24.6" thickBot="1">
      <c r="A149" s="840" t="s">
        <v>56</v>
      </c>
      <c r="B149" s="834" t="s">
        <v>905</v>
      </c>
      <c r="C149" s="1077"/>
      <c r="D149" s="1077"/>
      <c r="E149" s="1077"/>
      <c r="F149" s="1065">
        <v>0.05</v>
      </c>
    </row>
    <row r="150" spans="1:6" ht="24.6" thickBot="1">
      <c r="A150" s="840" t="s">
        <v>56</v>
      </c>
      <c r="B150" s="834" t="s">
        <v>906</v>
      </c>
      <c r="C150" s="1077"/>
      <c r="D150" s="1077"/>
      <c r="E150" s="1077"/>
      <c r="F150" s="1065">
        <v>0.05</v>
      </c>
    </row>
    <row r="151" spans="1:6" ht="24.6" thickBot="1">
      <c r="A151" s="840" t="s">
        <v>56</v>
      </c>
      <c r="B151" s="834" t="s">
        <v>907</v>
      </c>
      <c r="C151" s="1077"/>
      <c r="D151" s="1077"/>
      <c r="E151" s="1077"/>
      <c r="F151" s="1065">
        <v>0.05</v>
      </c>
    </row>
    <row r="152" spans="1:6" ht="24.6" thickBot="1">
      <c r="A152" s="840" t="s">
        <v>56</v>
      </c>
      <c r="B152" s="834" t="s">
        <v>507</v>
      </c>
      <c r="C152" s="1077"/>
      <c r="D152" s="1077"/>
      <c r="E152" s="1077"/>
      <c r="F152" s="1065">
        <v>0.05</v>
      </c>
    </row>
    <row r="153" spans="1:6" ht="15" thickBot="1">
      <c r="A153" s="840" t="s">
        <v>56</v>
      </c>
      <c r="B153" s="834" t="s">
        <v>908</v>
      </c>
      <c r="C153" s="1077"/>
      <c r="D153" s="1077"/>
      <c r="E153" s="1077"/>
      <c r="F153" s="1065">
        <v>0.05</v>
      </c>
    </row>
    <row r="154" spans="1:6" ht="15" thickBot="1">
      <c r="A154" s="840" t="s">
        <v>56</v>
      </c>
      <c r="B154" s="834" t="s">
        <v>909</v>
      </c>
      <c r="C154" s="1077"/>
      <c r="D154" s="1077"/>
      <c r="E154" s="1077"/>
      <c r="F154" s="1065">
        <v>0.05</v>
      </c>
    </row>
    <row r="155" spans="1:6" ht="24.6" thickBot="1">
      <c r="A155" s="840" t="s">
        <v>56</v>
      </c>
      <c r="B155" s="834" t="s">
        <v>910</v>
      </c>
      <c r="C155" s="1077"/>
      <c r="D155" s="1077"/>
      <c r="E155" s="1077"/>
      <c r="F155" s="1065">
        <v>0.05</v>
      </c>
    </row>
    <row r="156" spans="1:6" ht="24.6" thickBot="1">
      <c r="A156" s="840" t="s">
        <v>56</v>
      </c>
      <c r="B156" s="834" t="s">
        <v>911</v>
      </c>
      <c r="C156" s="1077"/>
      <c r="D156" s="1077"/>
      <c r="E156" s="1077"/>
      <c r="F156" s="1065">
        <v>0.05</v>
      </c>
    </row>
    <row r="157" spans="1:6" ht="24.6" thickBot="1">
      <c r="A157" s="850" t="s">
        <v>56</v>
      </c>
      <c r="B157" s="846" t="s">
        <v>912</v>
      </c>
      <c r="C157" s="1074"/>
      <c r="D157" s="1074"/>
      <c r="E157" s="1074"/>
      <c r="F157" s="1067">
        <v>0.05</v>
      </c>
    </row>
    <row r="158" spans="1:6" ht="15" thickBot="1">
      <c r="A158" s="840" t="s">
        <v>526</v>
      </c>
      <c r="B158" s="841" t="s">
        <v>913</v>
      </c>
      <c r="C158" s="1062">
        <v>0.13</v>
      </c>
      <c r="D158" s="1062">
        <v>0.13</v>
      </c>
      <c r="E158" s="1062">
        <v>0.13</v>
      </c>
      <c r="F158" s="1063">
        <v>0.13</v>
      </c>
    </row>
    <row r="159" spans="1:6" ht="15" thickBot="1">
      <c r="A159" s="840" t="s">
        <v>526</v>
      </c>
      <c r="B159" s="834" t="s">
        <v>193</v>
      </c>
      <c r="C159" s="1064">
        <v>0.13</v>
      </c>
      <c r="D159" s="1064">
        <v>0.13</v>
      </c>
      <c r="E159" s="1064">
        <v>0.13</v>
      </c>
      <c r="F159" s="1065">
        <v>0.13</v>
      </c>
    </row>
    <row r="160" spans="1:6" ht="15" thickBot="1">
      <c r="A160" s="840" t="s">
        <v>526</v>
      </c>
      <c r="B160" s="834" t="s">
        <v>206</v>
      </c>
      <c r="C160" s="1064">
        <v>0.13</v>
      </c>
      <c r="D160" s="1064">
        <v>0.13</v>
      </c>
      <c r="E160" s="1064">
        <v>0.129</v>
      </c>
      <c r="F160" s="1065">
        <v>0.13</v>
      </c>
    </row>
    <row r="161" spans="1:6" ht="15" thickBot="1">
      <c r="A161" s="840" t="s">
        <v>526</v>
      </c>
      <c r="B161" s="834" t="s">
        <v>219</v>
      </c>
      <c r="C161" s="1064">
        <v>0.128</v>
      </c>
      <c r="D161" s="1064">
        <v>0.128</v>
      </c>
      <c r="E161" s="1064">
        <v>0.125</v>
      </c>
      <c r="F161" s="1065">
        <v>0.13</v>
      </c>
    </row>
    <row r="162" spans="1:6" ht="15" thickBot="1">
      <c r="A162" s="840" t="s">
        <v>526</v>
      </c>
      <c r="B162" s="834" t="s">
        <v>231</v>
      </c>
      <c r="C162" s="1064">
        <v>0.122</v>
      </c>
      <c r="D162" s="1064">
        <v>0.122</v>
      </c>
      <c r="E162" s="1064">
        <v>0.126</v>
      </c>
      <c r="F162" s="1065">
        <v>0.122</v>
      </c>
    </row>
    <row r="163" spans="1:6" ht="15" thickBot="1">
      <c r="A163" s="840" t="s">
        <v>526</v>
      </c>
      <c r="B163" s="834" t="s">
        <v>242</v>
      </c>
      <c r="C163" s="1064">
        <v>0.13</v>
      </c>
      <c r="D163" s="1064">
        <v>0.13</v>
      </c>
      <c r="E163" s="1064">
        <v>0.125</v>
      </c>
      <c r="F163" s="1065">
        <v>0.13</v>
      </c>
    </row>
    <row r="164" spans="1:6" ht="15" thickBot="1">
      <c r="A164" s="840" t="s">
        <v>526</v>
      </c>
      <c r="B164" s="834" t="s">
        <v>253</v>
      </c>
      <c r="C164" s="1064">
        <v>0.13</v>
      </c>
      <c r="D164" s="1064">
        <v>0.13</v>
      </c>
      <c r="E164" s="1064">
        <v>0.13</v>
      </c>
      <c r="F164" s="1065">
        <v>0.13</v>
      </c>
    </row>
    <row r="165" spans="1:6" ht="15" thickBot="1">
      <c r="A165" s="840" t="s">
        <v>526</v>
      </c>
      <c r="B165" s="834" t="s">
        <v>264</v>
      </c>
      <c r="C165" s="1064">
        <v>0.13</v>
      </c>
      <c r="D165" s="1064">
        <v>0.13</v>
      </c>
      <c r="E165" s="1064">
        <v>0.124</v>
      </c>
      <c r="F165" s="1065">
        <v>0.13</v>
      </c>
    </row>
    <row r="166" spans="1:6" ht="15" thickBot="1">
      <c r="A166" s="840" t="s">
        <v>526</v>
      </c>
      <c r="B166" s="834" t="s">
        <v>276</v>
      </c>
      <c r="C166" s="1064">
        <v>0.13</v>
      </c>
      <c r="D166" s="1064">
        <v>0.13</v>
      </c>
      <c r="E166" s="1064">
        <v>0.13</v>
      </c>
      <c r="F166" s="1065">
        <v>0.13</v>
      </c>
    </row>
    <row r="167" spans="1:6" ht="15" thickBot="1">
      <c r="A167" s="840" t="s">
        <v>526</v>
      </c>
      <c r="B167" s="834" t="s">
        <v>286</v>
      </c>
      <c r="C167" s="1064">
        <v>0.125</v>
      </c>
      <c r="D167" s="1064">
        <v>0.125</v>
      </c>
      <c r="E167" s="1064">
        <v>0.121</v>
      </c>
      <c r="F167" s="1076"/>
    </row>
    <row r="168" spans="1:6" ht="15" thickBot="1">
      <c r="A168" s="840" t="s">
        <v>526</v>
      </c>
      <c r="B168" s="834" t="s">
        <v>296</v>
      </c>
      <c r="C168" s="1064">
        <v>0.13</v>
      </c>
      <c r="D168" s="1064">
        <v>0.13</v>
      </c>
      <c r="E168" s="1064">
        <v>0.126</v>
      </c>
      <c r="F168" s="1076"/>
    </row>
    <row r="169" spans="1:6" ht="15" thickBot="1">
      <c r="A169" s="840" t="s">
        <v>526</v>
      </c>
      <c r="B169" s="834" t="s">
        <v>306</v>
      </c>
      <c r="C169" s="1064">
        <v>0.128</v>
      </c>
      <c r="D169" s="1064">
        <v>0.129</v>
      </c>
      <c r="E169" s="1064">
        <v>0.13</v>
      </c>
      <c r="F169" s="1076"/>
    </row>
    <row r="170" spans="1:6" ht="15" thickBot="1">
      <c r="A170" s="840" t="s">
        <v>526</v>
      </c>
      <c r="B170" s="834" t="s">
        <v>316</v>
      </c>
      <c r="C170" s="1064">
        <v>0.14099999999999999</v>
      </c>
      <c r="D170" s="1064">
        <v>0.13</v>
      </c>
      <c r="E170" s="1064">
        <v>0.125</v>
      </c>
      <c r="F170" s="1076"/>
    </row>
    <row r="171" spans="1:6" ht="15" thickBot="1">
      <c r="A171" s="840" t="s">
        <v>526</v>
      </c>
      <c r="B171" s="834" t="s">
        <v>914</v>
      </c>
      <c r="C171" s="1064">
        <v>0.127</v>
      </c>
      <c r="D171" s="1064">
        <v>0.126</v>
      </c>
      <c r="E171" s="1064">
        <v>0.126</v>
      </c>
      <c r="F171" s="1065">
        <v>0.11799999999999999</v>
      </c>
    </row>
    <row r="172" spans="1:6" ht="15" thickBot="1">
      <c r="A172" s="840" t="s">
        <v>526</v>
      </c>
      <c r="B172" s="834" t="s">
        <v>915</v>
      </c>
      <c r="C172" s="1064">
        <v>0.13</v>
      </c>
      <c r="D172" s="1064">
        <v>0.13</v>
      </c>
      <c r="E172" s="1064">
        <v>0.13</v>
      </c>
      <c r="F172" s="1076"/>
    </row>
    <row r="173" spans="1:6" ht="15" thickBot="1">
      <c r="A173" s="840" t="s">
        <v>526</v>
      </c>
      <c r="B173" s="834" t="s">
        <v>348</v>
      </c>
      <c r="C173" s="1064">
        <v>0.13</v>
      </c>
      <c r="D173" s="1064">
        <v>0.13</v>
      </c>
      <c r="E173" s="1064">
        <v>0.13</v>
      </c>
      <c r="F173" s="1076"/>
    </row>
    <row r="174" spans="1:6" ht="15" thickBot="1">
      <c r="A174" s="840" t="s">
        <v>526</v>
      </c>
      <c r="B174" s="834" t="s">
        <v>916</v>
      </c>
      <c r="C174" s="1064">
        <v>0.13</v>
      </c>
      <c r="D174" s="1064">
        <v>0.13</v>
      </c>
      <c r="E174" s="1064">
        <v>0.13</v>
      </c>
      <c r="F174" s="1065">
        <v>0.13</v>
      </c>
    </row>
    <row r="175" spans="1:6" ht="15" thickBot="1">
      <c r="A175" s="840" t="s">
        <v>526</v>
      </c>
      <c r="B175" s="834" t="s">
        <v>917</v>
      </c>
      <c r="C175" s="1064">
        <v>0.13</v>
      </c>
      <c r="D175" s="1064">
        <v>0.13</v>
      </c>
      <c r="E175" s="1064">
        <v>0.13</v>
      </c>
      <c r="F175" s="1065">
        <v>0.13</v>
      </c>
    </row>
    <row r="176" spans="1:6" ht="15" thickBot="1">
      <c r="A176" s="840" t="s">
        <v>526</v>
      </c>
      <c r="B176" s="834" t="s">
        <v>378</v>
      </c>
      <c r="C176" s="1064">
        <v>0.13</v>
      </c>
      <c r="D176" s="1064">
        <v>0.13</v>
      </c>
      <c r="E176" s="1064">
        <v>0.13</v>
      </c>
      <c r="F176" s="1065">
        <v>0.13</v>
      </c>
    </row>
    <row r="177" spans="1:6" ht="15" thickBot="1">
      <c r="A177" s="840" t="s">
        <v>526</v>
      </c>
      <c r="B177" s="834" t="s">
        <v>918</v>
      </c>
      <c r="C177" s="1064">
        <v>0.13</v>
      </c>
      <c r="D177" s="1064">
        <v>0.13</v>
      </c>
      <c r="E177" s="1064">
        <v>0.13</v>
      </c>
      <c r="F177" s="1065">
        <v>0.13</v>
      </c>
    </row>
    <row r="178" spans="1:6" ht="15" thickBot="1">
      <c r="A178" s="840" t="s">
        <v>526</v>
      </c>
      <c r="B178" s="834" t="s">
        <v>396</v>
      </c>
      <c r="C178" s="1064">
        <v>0.13</v>
      </c>
      <c r="D178" s="1064">
        <v>0.13</v>
      </c>
      <c r="E178" s="1064">
        <v>0.13</v>
      </c>
      <c r="F178" s="1065">
        <v>0.127</v>
      </c>
    </row>
    <row r="179" spans="1:6" ht="15" thickBot="1">
      <c r="A179" s="840" t="s">
        <v>526</v>
      </c>
      <c r="B179" s="834" t="s">
        <v>404</v>
      </c>
      <c r="C179" s="1064">
        <v>0.13</v>
      </c>
      <c r="D179" s="1064">
        <v>0.13</v>
      </c>
      <c r="E179" s="1064">
        <v>0.13</v>
      </c>
      <c r="F179" s="1076"/>
    </row>
    <row r="180" spans="1:6" ht="15" thickBot="1">
      <c r="A180" s="840" t="s">
        <v>526</v>
      </c>
      <c r="B180" s="834" t="s">
        <v>919</v>
      </c>
      <c r="C180" s="1064">
        <v>0.13</v>
      </c>
      <c r="D180" s="1064">
        <v>0.13</v>
      </c>
      <c r="E180" s="1064">
        <v>0.125</v>
      </c>
      <c r="F180" s="1065">
        <v>0.13</v>
      </c>
    </row>
    <row r="181" spans="1:6" ht="15" thickBot="1">
      <c r="A181" s="840" t="s">
        <v>526</v>
      </c>
      <c r="B181" s="834" t="s">
        <v>418</v>
      </c>
      <c r="C181" s="1064">
        <v>0.122</v>
      </c>
      <c r="D181" s="1064">
        <v>0.123</v>
      </c>
      <c r="E181" s="1064">
        <v>0.126</v>
      </c>
      <c r="F181" s="1065">
        <v>0.121</v>
      </c>
    </row>
    <row r="182" spans="1:6" ht="15" thickBot="1">
      <c r="A182" s="840" t="s">
        <v>526</v>
      </c>
      <c r="B182" s="834" t="s">
        <v>425</v>
      </c>
      <c r="C182" s="1064">
        <v>0.125</v>
      </c>
      <c r="D182" s="1064">
        <v>0.125</v>
      </c>
      <c r="E182" s="1064">
        <v>0.11700000000000001</v>
      </c>
      <c r="F182" s="1065">
        <v>0.13</v>
      </c>
    </row>
    <row r="183" spans="1:6" ht="15" thickBot="1">
      <c r="A183" s="840" t="s">
        <v>526</v>
      </c>
      <c r="B183" s="834" t="s">
        <v>432</v>
      </c>
      <c r="C183" s="1064">
        <v>0.127</v>
      </c>
      <c r="D183" s="1064">
        <v>0.127</v>
      </c>
      <c r="E183" s="1064">
        <v>0.128</v>
      </c>
      <c r="F183" s="1076"/>
    </row>
    <row r="184" spans="1:6" ht="15" thickBot="1">
      <c r="A184" s="840" t="s">
        <v>526</v>
      </c>
      <c r="B184" s="834" t="s">
        <v>439</v>
      </c>
      <c r="C184" s="1064">
        <v>0.125</v>
      </c>
      <c r="D184" s="1064">
        <v>0.125</v>
      </c>
      <c r="E184" s="1064">
        <v>0.127</v>
      </c>
      <c r="F184" s="1076"/>
    </row>
    <row r="185" spans="1:6" ht="15" thickBot="1">
      <c r="A185" s="840" t="s">
        <v>526</v>
      </c>
      <c r="B185" s="834" t="s">
        <v>920</v>
      </c>
      <c r="C185" s="1064">
        <v>0.127</v>
      </c>
      <c r="D185" s="1064">
        <v>0.127</v>
      </c>
      <c r="E185" s="1064">
        <v>0.128</v>
      </c>
      <c r="F185" s="1065">
        <v>0.13</v>
      </c>
    </row>
    <row r="186" spans="1:6" ht="24.6" thickBot="1">
      <c r="A186" s="840" t="s">
        <v>526</v>
      </c>
      <c r="B186" s="834" t="s">
        <v>921</v>
      </c>
      <c r="C186" s="1077"/>
      <c r="D186" s="1077"/>
      <c r="E186" s="1077"/>
      <c r="F186" s="1065">
        <v>0.05</v>
      </c>
    </row>
    <row r="187" spans="1:6" ht="15" thickBot="1">
      <c r="A187" s="840" t="s">
        <v>526</v>
      </c>
      <c r="B187" s="834" t="s">
        <v>922</v>
      </c>
      <c r="C187" s="1077"/>
      <c r="D187" s="1077"/>
      <c r="E187" s="1077"/>
      <c r="F187" s="1065">
        <v>0.05</v>
      </c>
    </row>
    <row r="188" spans="1:6" ht="24.6" thickBot="1">
      <c r="A188" s="840" t="s">
        <v>526</v>
      </c>
      <c r="B188" s="834" t="s">
        <v>923</v>
      </c>
      <c r="C188" s="1077"/>
      <c r="D188" s="1077"/>
      <c r="E188" s="1077"/>
      <c r="F188" s="1065">
        <v>0.05</v>
      </c>
    </row>
    <row r="189" spans="1:6" ht="24.6" thickBot="1">
      <c r="A189" s="840" t="s">
        <v>526</v>
      </c>
      <c r="B189" s="834" t="s">
        <v>924</v>
      </c>
      <c r="C189" s="1077"/>
      <c r="D189" s="1077"/>
      <c r="E189" s="1077"/>
      <c r="F189" s="1065">
        <v>0.05</v>
      </c>
    </row>
    <row r="190" spans="1:6" ht="24.6" thickBot="1">
      <c r="A190" s="840" t="s">
        <v>526</v>
      </c>
      <c r="B190" s="834" t="s">
        <v>925</v>
      </c>
      <c r="C190" s="1077"/>
      <c r="D190" s="1077"/>
      <c r="E190" s="1077"/>
      <c r="F190" s="1065">
        <v>0.05</v>
      </c>
    </row>
    <row r="191" spans="1:6" ht="24.6" thickBot="1">
      <c r="A191" s="840" t="s">
        <v>526</v>
      </c>
      <c r="B191" s="834" t="s">
        <v>926</v>
      </c>
      <c r="C191" s="1077"/>
      <c r="D191" s="1077"/>
      <c r="E191" s="1077"/>
      <c r="F191" s="1065">
        <v>0.05</v>
      </c>
    </row>
    <row r="192" spans="1:6" ht="24.6" thickBot="1">
      <c r="A192" s="840" t="s">
        <v>526</v>
      </c>
      <c r="B192" s="834" t="s">
        <v>927</v>
      </c>
      <c r="C192" s="1077"/>
      <c r="D192" s="1077"/>
      <c r="E192" s="1077"/>
      <c r="F192" s="1065">
        <v>0.05</v>
      </c>
    </row>
    <row r="193" spans="1:6" ht="24.6" thickBot="1">
      <c r="A193" s="840" t="s">
        <v>526</v>
      </c>
      <c r="B193" s="834" t="s">
        <v>928</v>
      </c>
      <c r="C193" s="1077"/>
      <c r="D193" s="1077"/>
      <c r="E193" s="1077"/>
      <c r="F193" s="1065">
        <v>0.05</v>
      </c>
    </row>
    <row r="194" spans="1:6" ht="24.6" thickBot="1">
      <c r="A194" s="840" t="s">
        <v>526</v>
      </c>
      <c r="B194" s="834" t="s">
        <v>929</v>
      </c>
      <c r="C194" s="1077"/>
      <c r="D194" s="1077"/>
      <c r="E194" s="1077"/>
      <c r="F194" s="1065">
        <v>0.05</v>
      </c>
    </row>
    <row r="195" spans="1:6" ht="15" thickBot="1">
      <c r="A195" s="840" t="s">
        <v>526</v>
      </c>
      <c r="B195" s="834" t="s">
        <v>930</v>
      </c>
      <c r="C195" s="1077"/>
      <c r="D195" s="1077"/>
      <c r="E195" s="1077"/>
      <c r="F195" s="1065">
        <v>0.05</v>
      </c>
    </row>
    <row r="196" spans="1:6" ht="24.6" thickBot="1">
      <c r="A196" s="840" t="s">
        <v>526</v>
      </c>
      <c r="B196" s="834" t="s">
        <v>931</v>
      </c>
      <c r="C196" s="1077"/>
      <c r="D196" s="1077"/>
      <c r="E196" s="1077"/>
      <c r="F196" s="1065">
        <v>0.05</v>
      </c>
    </row>
    <row r="197" spans="1:6" ht="24.6" thickBot="1">
      <c r="A197" s="840" t="s">
        <v>526</v>
      </c>
      <c r="B197" s="834" t="s">
        <v>932</v>
      </c>
      <c r="C197" s="1077"/>
      <c r="D197" s="1077"/>
      <c r="E197" s="1077"/>
      <c r="F197" s="1065">
        <v>0.05</v>
      </c>
    </row>
    <row r="198" spans="1:6" ht="24.6" thickBot="1">
      <c r="A198" s="840" t="s">
        <v>526</v>
      </c>
      <c r="B198" s="834" t="s">
        <v>933</v>
      </c>
      <c r="C198" s="1077"/>
      <c r="D198" s="1077"/>
      <c r="E198" s="1077"/>
      <c r="F198" s="1065">
        <v>0.05</v>
      </c>
    </row>
    <row r="199" spans="1:6" ht="24.6" thickBot="1">
      <c r="A199" s="840" t="s">
        <v>526</v>
      </c>
      <c r="B199" s="834" t="s">
        <v>934</v>
      </c>
      <c r="C199" s="1077"/>
      <c r="D199" s="1077"/>
      <c r="E199" s="1077"/>
      <c r="F199" s="1065">
        <v>0.05</v>
      </c>
    </row>
    <row r="200" spans="1:6" ht="24.6" thickBot="1">
      <c r="A200" s="840" t="s">
        <v>526</v>
      </c>
      <c r="B200" s="834" t="s">
        <v>935</v>
      </c>
      <c r="C200" s="1077"/>
      <c r="D200" s="1077"/>
      <c r="E200" s="1077"/>
      <c r="F200" s="1065">
        <v>0.05</v>
      </c>
    </row>
    <row r="201" spans="1:6" ht="24.6" thickBot="1">
      <c r="A201" s="840" t="s">
        <v>526</v>
      </c>
      <c r="B201" s="834" t="s">
        <v>936</v>
      </c>
      <c r="C201" s="1077"/>
      <c r="D201" s="1077"/>
      <c r="E201" s="1077"/>
      <c r="F201" s="1065">
        <v>0.05</v>
      </c>
    </row>
    <row r="202" spans="1:6" ht="24.6" thickBot="1">
      <c r="A202" s="840" t="s">
        <v>526</v>
      </c>
      <c r="B202" s="834" t="s">
        <v>937</v>
      </c>
      <c r="C202" s="1077"/>
      <c r="D202" s="1077"/>
      <c r="E202" s="1077"/>
      <c r="F202" s="1065">
        <v>0.05</v>
      </c>
    </row>
    <row r="203" spans="1:6" ht="24.6" thickBot="1">
      <c r="A203" s="840" t="s">
        <v>526</v>
      </c>
      <c r="B203" s="834" t="s">
        <v>938</v>
      </c>
      <c r="C203" s="1077"/>
      <c r="D203" s="1077"/>
      <c r="E203" s="1077"/>
      <c r="F203" s="1065">
        <v>0.05</v>
      </c>
    </row>
    <row r="204" spans="1:6" ht="15" thickBot="1">
      <c r="A204" s="840" t="s">
        <v>526</v>
      </c>
      <c r="B204" s="834" t="s">
        <v>939</v>
      </c>
      <c r="C204" s="1077"/>
      <c r="D204" s="1077"/>
      <c r="E204" s="1077"/>
      <c r="F204" s="1065">
        <v>0.05</v>
      </c>
    </row>
    <row r="205" spans="1:6" ht="15" thickBot="1">
      <c r="A205" s="850" t="s">
        <v>526</v>
      </c>
      <c r="B205" s="846" t="s">
        <v>940</v>
      </c>
      <c r="C205" s="1074"/>
      <c r="D205" s="1074"/>
      <c r="E205" s="1074"/>
      <c r="F205" s="1067">
        <v>0.05</v>
      </c>
    </row>
    <row r="206" spans="1:6" ht="15" thickBot="1">
      <c r="A206" s="840" t="s">
        <v>528</v>
      </c>
      <c r="B206" s="841" t="s">
        <v>941</v>
      </c>
      <c r="C206" s="1062">
        <v>0.15</v>
      </c>
      <c r="D206" s="1062">
        <v>0.15</v>
      </c>
      <c r="E206" s="1062">
        <v>0.15</v>
      </c>
      <c r="F206" s="1063">
        <v>0.15</v>
      </c>
    </row>
    <row r="207" spans="1:6" ht="15" thickBot="1">
      <c r="A207" s="840" t="s">
        <v>528</v>
      </c>
      <c r="B207" s="834" t="s">
        <v>194</v>
      </c>
      <c r="C207" s="1064">
        <v>0.15</v>
      </c>
      <c r="D207" s="1064">
        <v>0.15</v>
      </c>
      <c r="E207" s="1064">
        <v>0.15</v>
      </c>
      <c r="F207" s="1065">
        <v>0.14399999999999999</v>
      </c>
    </row>
    <row r="208" spans="1:6" ht="15" thickBot="1">
      <c r="A208" s="840" t="s">
        <v>528</v>
      </c>
      <c r="B208" s="834" t="s">
        <v>207</v>
      </c>
      <c r="C208" s="1064">
        <v>0.15</v>
      </c>
      <c r="D208" s="1064">
        <v>0.15</v>
      </c>
      <c r="E208" s="1064">
        <v>0.15</v>
      </c>
      <c r="F208" s="1065">
        <v>0.15</v>
      </c>
    </row>
    <row r="209" spans="1:6" ht="15" thickBot="1">
      <c r="A209" s="840" t="s">
        <v>528</v>
      </c>
      <c r="B209" s="834" t="s">
        <v>220</v>
      </c>
      <c r="C209" s="1064">
        <v>0.13700000000000001</v>
      </c>
      <c r="D209" s="1064">
        <v>0.13700000000000001</v>
      </c>
      <c r="E209" s="1064">
        <v>0.14000000000000001</v>
      </c>
      <c r="F209" s="1065">
        <v>0.11700000000000001</v>
      </c>
    </row>
    <row r="210" spans="1:6" ht="15" thickBot="1">
      <c r="A210" s="840" t="s">
        <v>528</v>
      </c>
      <c r="B210" s="834" t="s">
        <v>942</v>
      </c>
      <c r="C210" s="1064">
        <v>0.15</v>
      </c>
      <c r="D210" s="1064">
        <v>0.15</v>
      </c>
      <c r="E210" s="1064">
        <v>0.15</v>
      </c>
      <c r="F210" s="1065">
        <v>0.13800000000000001</v>
      </c>
    </row>
    <row r="211" spans="1:6" ht="15" thickBot="1">
      <c r="A211" s="840" t="s">
        <v>528</v>
      </c>
      <c r="B211" s="834" t="s">
        <v>943</v>
      </c>
      <c r="C211" s="1064">
        <v>0.13700000000000001</v>
      </c>
      <c r="D211" s="1064">
        <v>0.13500000000000001</v>
      </c>
      <c r="E211" s="1064">
        <v>0.13600000000000001</v>
      </c>
      <c r="F211" s="1065">
        <v>0.1</v>
      </c>
    </row>
    <row r="212" spans="1:6" ht="15" thickBot="1">
      <c r="A212" s="840" t="s">
        <v>528</v>
      </c>
      <c r="B212" s="834" t="s">
        <v>944</v>
      </c>
      <c r="C212" s="1064">
        <v>0.15</v>
      </c>
      <c r="D212" s="1064">
        <v>0.15</v>
      </c>
      <c r="E212" s="1064">
        <v>0.14799999999999999</v>
      </c>
      <c r="F212" s="1065">
        <v>0.13600000000000001</v>
      </c>
    </row>
    <row r="213" spans="1:6" ht="15" thickBot="1">
      <c r="A213" s="840" t="s">
        <v>528</v>
      </c>
      <c r="B213" s="834" t="s">
        <v>265</v>
      </c>
      <c r="C213" s="1064">
        <v>0.15</v>
      </c>
      <c r="D213" s="1064">
        <v>0.15</v>
      </c>
      <c r="E213" s="1064">
        <v>0.15</v>
      </c>
      <c r="F213" s="1065">
        <v>0.13800000000000001</v>
      </c>
    </row>
    <row r="214" spans="1:6" ht="15" thickBot="1">
      <c r="A214" s="840" t="s">
        <v>528</v>
      </c>
      <c r="B214" s="834" t="s">
        <v>277</v>
      </c>
      <c r="C214" s="1064">
        <v>9.0999999999999998E-2</v>
      </c>
      <c r="D214" s="1064">
        <v>0.09</v>
      </c>
      <c r="E214" s="1064">
        <v>9.1999999999999998E-2</v>
      </c>
      <c r="F214" s="1076"/>
    </row>
    <row r="215" spans="1:6" ht="15" thickBot="1">
      <c r="A215" s="840" t="s">
        <v>528</v>
      </c>
      <c r="B215" s="834" t="s">
        <v>945</v>
      </c>
      <c r="C215" s="1064">
        <v>0.15</v>
      </c>
      <c r="D215" s="1064">
        <v>0.15</v>
      </c>
      <c r="E215" s="1064">
        <v>0.15</v>
      </c>
      <c r="F215" s="1065">
        <v>0.15</v>
      </c>
    </row>
    <row r="216" spans="1:6" ht="15" thickBot="1">
      <c r="A216" s="840" t="s">
        <v>528</v>
      </c>
      <c r="B216" s="834" t="s">
        <v>297</v>
      </c>
      <c r="C216" s="1064">
        <v>0.14699999999999999</v>
      </c>
      <c r="D216" s="1064">
        <v>0.14699999999999999</v>
      </c>
      <c r="E216" s="1064">
        <v>0.15</v>
      </c>
      <c r="F216" s="1065">
        <v>0.14000000000000001</v>
      </c>
    </row>
    <row r="217" spans="1:6" ht="15" thickBot="1">
      <c r="A217" s="840" t="s">
        <v>528</v>
      </c>
      <c r="B217" s="834" t="s">
        <v>307</v>
      </c>
      <c r="C217" s="1064">
        <v>0.15</v>
      </c>
      <c r="D217" s="1064">
        <v>0.15</v>
      </c>
      <c r="E217" s="1064">
        <v>0.15</v>
      </c>
      <c r="F217" s="1065">
        <v>0.15</v>
      </c>
    </row>
    <row r="218" spans="1:6" ht="15" thickBot="1">
      <c r="A218" s="840" t="s">
        <v>528</v>
      </c>
      <c r="B218" s="834" t="s">
        <v>946</v>
      </c>
      <c r="C218" s="1064">
        <v>0.15</v>
      </c>
      <c r="D218" s="1064">
        <v>0.15</v>
      </c>
      <c r="E218" s="1064">
        <v>0.15</v>
      </c>
      <c r="F218" s="1065">
        <v>0.15</v>
      </c>
    </row>
    <row r="219" spans="1:6" ht="15" thickBot="1">
      <c r="A219" s="840" t="s">
        <v>528</v>
      </c>
      <c r="B219" s="834" t="s">
        <v>328</v>
      </c>
      <c r="C219" s="1064">
        <v>0.15</v>
      </c>
      <c r="D219" s="1064">
        <v>0.15</v>
      </c>
      <c r="E219" s="1064">
        <v>0.15</v>
      </c>
      <c r="F219" s="1065">
        <v>0.14799999999999999</v>
      </c>
    </row>
    <row r="220" spans="1:6" ht="15" thickBot="1">
      <c r="A220" s="840" t="s">
        <v>528</v>
      </c>
      <c r="B220" s="834" t="s">
        <v>947</v>
      </c>
      <c r="C220" s="1064">
        <v>0.15</v>
      </c>
      <c r="D220" s="1064">
        <v>0.15</v>
      </c>
      <c r="E220" s="1064">
        <v>0.15</v>
      </c>
      <c r="F220" s="1065">
        <v>0.15</v>
      </c>
    </row>
    <row r="221" spans="1:6" ht="15" thickBot="1">
      <c r="A221" s="840" t="s">
        <v>528</v>
      </c>
      <c r="B221" s="834" t="s">
        <v>349</v>
      </c>
      <c r="C221" s="1064"/>
      <c r="D221" s="1077"/>
      <c r="E221" s="1077"/>
      <c r="F221" s="1065">
        <v>0.14799999999999999</v>
      </c>
    </row>
    <row r="222" spans="1:6" ht="15" thickBot="1">
      <c r="A222" s="840" t="s">
        <v>528</v>
      </c>
      <c r="B222" s="834" t="s">
        <v>359</v>
      </c>
      <c r="C222" s="1064"/>
      <c r="D222" s="1077"/>
      <c r="E222" s="1077"/>
      <c r="F222" s="1065">
        <v>0.1</v>
      </c>
    </row>
    <row r="223" spans="1:6" ht="15" thickBot="1">
      <c r="A223" s="840" t="s">
        <v>528</v>
      </c>
      <c r="B223" s="834" t="s">
        <v>369</v>
      </c>
      <c r="C223" s="1064"/>
      <c r="D223" s="1077"/>
      <c r="E223" s="1077"/>
      <c r="F223" s="1065">
        <v>0.15</v>
      </c>
    </row>
    <row r="224" spans="1:6" ht="15" thickBot="1">
      <c r="A224" s="840" t="s">
        <v>528</v>
      </c>
      <c r="B224" s="834" t="s">
        <v>379</v>
      </c>
      <c r="C224" s="1064"/>
      <c r="D224" s="1077"/>
      <c r="E224" s="1077"/>
      <c r="F224" s="1065">
        <v>0.15</v>
      </c>
    </row>
    <row r="225" spans="1:6" ht="15" thickBot="1">
      <c r="A225" s="840" t="s">
        <v>528</v>
      </c>
      <c r="B225" s="834" t="s">
        <v>948</v>
      </c>
      <c r="C225" s="1064">
        <v>0.15</v>
      </c>
      <c r="D225" s="1064">
        <v>0.15</v>
      </c>
      <c r="E225" s="1064">
        <v>0.15</v>
      </c>
      <c r="F225" s="1065">
        <v>0.15</v>
      </c>
    </row>
    <row r="226" spans="1:6" ht="15" thickBot="1">
      <c r="A226" s="840" t="s">
        <v>528</v>
      </c>
      <c r="B226" s="834" t="s">
        <v>397</v>
      </c>
      <c r="C226" s="1064">
        <v>0.15</v>
      </c>
      <c r="D226" s="1064">
        <v>0.15</v>
      </c>
      <c r="E226" s="1064">
        <v>0.15</v>
      </c>
      <c r="F226" s="1065">
        <v>0.14799999999999999</v>
      </c>
    </row>
    <row r="227" spans="1:6" ht="15" thickBot="1">
      <c r="A227" s="840" t="s">
        <v>528</v>
      </c>
      <c r="B227" s="834" t="s">
        <v>949</v>
      </c>
      <c r="C227" s="1064">
        <v>0.15</v>
      </c>
      <c r="D227" s="1064">
        <v>0.15</v>
      </c>
      <c r="E227" s="1064">
        <v>0.15</v>
      </c>
      <c r="F227" s="1065">
        <v>0.15</v>
      </c>
    </row>
    <row r="228" spans="1:6" ht="15" thickBot="1">
      <c r="A228" s="840" t="s">
        <v>528</v>
      </c>
      <c r="B228" s="834" t="s">
        <v>412</v>
      </c>
      <c r="C228" s="1064">
        <v>0.15</v>
      </c>
      <c r="D228" s="1064">
        <v>0.15</v>
      </c>
      <c r="E228" s="1064">
        <v>0.15</v>
      </c>
      <c r="F228" s="1065">
        <v>0.15</v>
      </c>
    </row>
    <row r="229" spans="1:6" ht="15" thickBot="1">
      <c r="A229" s="840" t="s">
        <v>528</v>
      </c>
      <c r="B229" s="834" t="s">
        <v>419</v>
      </c>
      <c r="C229" s="1064">
        <v>0.15</v>
      </c>
      <c r="D229" s="1064">
        <v>0.15</v>
      </c>
      <c r="E229" s="1064">
        <v>0.15</v>
      </c>
      <c r="F229" s="1076"/>
    </row>
    <row r="230" spans="1:6" ht="15" thickBot="1">
      <c r="A230" s="840" t="s">
        <v>528</v>
      </c>
      <c r="B230" s="834" t="s">
        <v>426</v>
      </c>
      <c r="C230" s="1064">
        <v>0.14499999999999999</v>
      </c>
      <c r="D230" s="1064">
        <v>0.14499999999999999</v>
      </c>
      <c r="E230" s="1064">
        <v>0.14399999999999999</v>
      </c>
      <c r="F230" s="1076"/>
    </row>
    <row r="231" spans="1:6" ht="15" thickBot="1">
      <c r="A231" s="840" t="s">
        <v>528</v>
      </c>
      <c r="B231" s="834" t="s">
        <v>950</v>
      </c>
      <c r="C231" s="1064">
        <v>0.128</v>
      </c>
      <c r="D231" s="1064">
        <v>0.125</v>
      </c>
      <c r="E231" s="1064">
        <v>0.13200000000000001</v>
      </c>
      <c r="F231" s="1076"/>
    </row>
    <row r="232" spans="1:6" ht="15" thickBot="1">
      <c r="A232" s="840" t="s">
        <v>528</v>
      </c>
      <c r="B232" s="834" t="s">
        <v>951</v>
      </c>
      <c r="C232" s="1064">
        <v>0.14499999999999999</v>
      </c>
      <c r="D232" s="1064">
        <v>0.14399999999999999</v>
      </c>
      <c r="E232" s="1064">
        <v>0.14599999999999999</v>
      </c>
      <c r="F232" s="1065">
        <v>0.13800000000000001</v>
      </c>
    </row>
    <row r="233" spans="1:6" ht="15" thickBot="1">
      <c r="A233" s="840" t="s">
        <v>528</v>
      </c>
      <c r="B233" s="834" t="s">
        <v>952</v>
      </c>
      <c r="C233" s="1064">
        <v>0.14499999999999999</v>
      </c>
      <c r="D233" s="1064">
        <v>0.14299999999999999</v>
      </c>
      <c r="E233" s="1064">
        <v>0.14199999999999999</v>
      </c>
      <c r="F233" s="1076"/>
    </row>
    <row r="234" spans="1:6" ht="15" thickBot="1">
      <c r="A234" s="840" t="s">
        <v>528</v>
      </c>
      <c r="B234" s="834" t="s">
        <v>953</v>
      </c>
      <c r="C234" s="1064">
        <v>0.14000000000000001</v>
      </c>
      <c r="D234" s="1064">
        <v>0.14000000000000001</v>
      </c>
      <c r="E234" s="1064">
        <v>0.14399999999999999</v>
      </c>
      <c r="F234" s="1076"/>
    </row>
    <row r="235" spans="1:6" ht="15" thickBot="1">
      <c r="A235" s="840" t="s">
        <v>528</v>
      </c>
      <c r="B235" s="834" t="s">
        <v>954</v>
      </c>
      <c r="C235" s="1064">
        <v>0.14099999999999999</v>
      </c>
      <c r="D235" s="1064">
        <v>0.14199999999999999</v>
      </c>
      <c r="E235" s="1064">
        <v>0.14499999999999999</v>
      </c>
      <c r="F235" s="1065">
        <v>0.15</v>
      </c>
    </row>
    <row r="236" spans="1:6" ht="15" thickBot="1">
      <c r="A236" s="840" t="s">
        <v>528</v>
      </c>
      <c r="B236" s="834" t="s">
        <v>461</v>
      </c>
      <c r="C236" s="1077"/>
      <c r="D236" s="1077"/>
      <c r="E236" s="1077"/>
      <c r="F236" s="1065">
        <v>0.14299999999999999</v>
      </c>
    </row>
    <row r="237" spans="1:6" ht="24.6" thickBot="1">
      <c r="A237" s="840" t="s">
        <v>528</v>
      </c>
      <c r="B237" s="834" t="s">
        <v>955</v>
      </c>
      <c r="C237" s="1077"/>
      <c r="D237" s="1077"/>
      <c r="E237" s="1077"/>
      <c r="F237" s="1065">
        <v>0.05</v>
      </c>
    </row>
    <row r="238" spans="1:6" ht="24.6" thickBot="1">
      <c r="A238" s="840" t="s">
        <v>528</v>
      </c>
      <c r="B238" s="834" t="s">
        <v>956</v>
      </c>
      <c r="C238" s="1077"/>
      <c r="D238" s="1077"/>
      <c r="E238" s="1077"/>
      <c r="F238" s="1065">
        <v>0.05</v>
      </c>
    </row>
    <row r="239" spans="1:6" ht="24.6" thickBot="1">
      <c r="A239" s="840" t="s">
        <v>528</v>
      </c>
      <c r="B239" s="834" t="s">
        <v>957</v>
      </c>
      <c r="C239" s="1077"/>
      <c r="D239" s="1077"/>
      <c r="E239" s="1077"/>
      <c r="F239" s="1065">
        <v>0.05</v>
      </c>
    </row>
    <row r="240" spans="1:6" ht="24.6" thickBot="1">
      <c r="A240" s="840" t="s">
        <v>528</v>
      </c>
      <c r="B240" s="834" t="s">
        <v>958</v>
      </c>
      <c r="C240" s="1077"/>
      <c r="D240" s="1077"/>
      <c r="E240" s="1077"/>
      <c r="F240" s="1065">
        <v>0.05</v>
      </c>
    </row>
    <row r="241" spans="1:6" ht="24.6" thickBot="1">
      <c r="A241" s="840" t="s">
        <v>528</v>
      </c>
      <c r="B241" s="834" t="s">
        <v>959</v>
      </c>
      <c r="C241" s="1077"/>
      <c r="D241" s="1077"/>
      <c r="E241" s="1077"/>
      <c r="F241" s="1065">
        <v>0.05</v>
      </c>
    </row>
    <row r="242" spans="1:6" ht="24.6" thickBot="1">
      <c r="A242" s="840" t="s">
        <v>528</v>
      </c>
      <c r="B242" s="834" t="s">
        <v>960</v>
      </c>
      <c r="C242" s="1077"/>
      <c r="D242" s="1077"/>
      <c r="E242" s="1077"/>
      <c r="F242" s="1065">
        <v>0.05</v>
      </c>
    </row>
    <row r="243" spans="1:6" ht="24.6" thickBot="1">
      <c r="A243" s="840" t="s">
        <v>528</v>
      </c>
      <c r="B243" s="834" t="s">
        <v>961</v>
      </c>
      <c r="C243" s="1077"/>
      <c r="D243" s="1077"/>
      <c r="E243" s="1077"/>
      <c r="F243" s="1065">
        <v>0.05</v>
      </c>
    </row>
    <row r="244" spans="1:6" ht="24.6" thickBot="1">
      <c r="A244" s="850" t="s">
        <v>528</v>
      </c>
      <c r="B244" s="846" t="s">
        <v>962</v>
      </c>
      <c r="C244" s="1074"/>
      <c r="D244" s="1074"/>
      <c r="E244" s="1074"/>
      <c r="F244" s="1067">
        <v>0.05</v>
      </c>
    </row>
    <row r="245" spans="1:6" ht="15" thickBot="1">
      <c r="A245" s="840" t="s">
        <v>530</v>
      </c>
      <c r="B245" s="841" t="s">
        <v>963</v>
      </c>
      <c r="C245" s="1062">
        <v>0.15</v>
      </c>
      <c r="D245" s="1062">
        <v>0.15</v>
      </c>
      <c r="E245" s="1062">
        <v>0.15</v>
      </c>
      <c r="F245" s="1063">
        <v>0.14299999999999999</v>
      </c>
    </row>
    <row r="246" spans="1:6" ht="15" thickBot="1">
      <c r="A246" s="840" t="s">
        <v>530</v>
      </c>
      <c r="B246" s="834" t="s">
        <v>195</v>
      </c>
      <c r="C246" s="1064">
        <v>0.15</v>
      </c>
      <c r="D246" s="1064">
        <v>0.15</v>
      </c>
      <c r="E246" s="1064">
        <v>0.15</v>
      </c>
      <c r="F246" s="1065">
        <v>0.114</v>
      </c>
    </row>
    <row r="247" spans="1:6" ht="15" thickBot="1">
      <c r="A247" s="840" t="s">
        <v>530</v>
      </c>
      <c r="B247" s="834" t="s">
        <v>964</v>
      </c>
      <c r="C247" s="1064">
        <v>0.15</v>
      </c>
      <c r="D247" s="1064">
        <v>0.15</v>
      </c>
      <c r="E247" s="1064">
        <v>0.15</v>
      </c>
      <c r="F247" s="1065">
        <v>0.15</v>
      </c>
    </row>
    <row r="248" spans="1:6" ht="15" thickBot="1">
      <c r="A248" s="840" t="s">
        <v>530</v>
      </c>
      <c r="B248" s="834" t="s">
        <v>965</v>
      </c>
      <c r="C248" s="1064">
        <v>0.15</v>
      </c>
      <c r="D248" s="1064">
        <v>0.15</v>
      </c>
      <c r="E248" s="1064">
        <v>0.15</v>
      </c>
      <c r="F248" s="1065">
        <v>0.14000000000000001</v>
      </c>
    </row>
    <row r="249" spans="1:6" ht="15" thickBot="1">
      <c r="A249" s="840" t="s">
        <v>530</v>
      </c>
      <c r="B249" s="834" t="s">
        <v>966</v>
      </c>
      <c r="C249" s="1064">
        <v>0.15</v>
      </c>
      <c r="D249" s="1064">
        <v>0.14899999999999999</v>
      </c>
      <c r="E249" s="1064">
        <v>0.15</v>
      </c>
      <c r="F249" s="1065">
        <v>0.1</v>
      </c>
    </row>
    <row r="250" spans="1:6" ht="15" thickBot="1">
      <c r="A250" s="840" t="s">
        <v>530</v>
      </c>
      <c r="B250" s="834" t="s">
        <v>967</v>
      </c>
      <c r="C250" s="1064">
        <v>0.15</v>
      </c>
      <c r="D250" s="1064">
        <v>0.15</v>
      </c>
      <c r="E250" s="1064">
        <v>0.15</v>
      </c>
      <c r="F250" s="1065">
        <v>0.14399999999999999</v>
      </c>
    </row>
    <row r="251" spans="1:6" ht="15" thickBot="1">
      <c r="A251" s="840" t="s">
        <v>530</v>
      </c>
      <c r="B251" s="834" t="s">
        <v>255</v>
      </c>
      <c r="C251" s="1064">
        <v>0.15</v>
      </c>
      <c r="D251" s="1064">
        <v>0.15</v>
      </c>
      <c r="E251" s="1064">
        <v>0.15</v>
      </c>
      <c r="F251" s="1065">
        <v>0.14299999999999999</v>
      </c>
    </row>
    <row r="252" spans="1:6" ht="15" thickBot="1">
      <c r="A252" s="840" t="s">
        <v>530</v>
      </c>
      <c r="B252" s="834" t="s">
        <v>266</v>
      </c>
      <c r="C252" s="1064">
        <v>0.15</v>
      </c>
      <c r="D252" s="1064">
        <v>0.15</v>
      </c>
      <c r="E252" s="1064">
        <v>0.15</v>
      </c>
      <c r="F252" s="1065">
        <v>0.1</v>
      </c>
    </row>
    <row r="253" spans="1:6" ht="15" thickBot="1">
      <c r="A253" s="840" t="s">
        <v>530</v>
      </c>
      <c r="B253" s="834" t="s">
        <v>278</v>
      </c>
      <c r="C253" s="1064">
        <v>0.15</v>
      </c>
      <c r="D253" s="1064">
        <v>0.15</v>
      </c>
      <c r="E253" s="1064">
        <v>0.15</v>
      </c>
      <c r="F253" s="1065">
        <v>0.1</v>
      </c>
    </row>
    <row r="254" spans="1:6" ht="15" thickBot="1">
      <c r="A254" s="840" t="s">
        <v>530</v>
      </c>
      <c r="B254" s="834" t="s">
        <v>288</v>
      </c>
      <c r="C254" s="1077"/>
      <c r="D254" s="1077"/>
      <c r="E254" s="1077"/>
      <c r="F254" s="1065">
        <v>0.15</v>
      </c>
    </row>
    <row r="255" spans="1:6" ht="15" thickBot="1">
      <c r="A255" s="840" t="s">
        <v>530</v>
      </c>
      <c r="B255" s="834" t="s">
        <v>298</v>
      </c>
      <c r="C255" s="1077"/>
      <c r="D255" s="1077"/>
      <c r="E255" s="1077"/>
      <c r="F255" s="1065">
        <v>0.14299999999999999</v>
      </c>
    </row>
    <row r="256" spans="1:6" ht="15" thickBot="1">
      <c r="A256" s="840" t="s">
        <v>530</v>
      </c>
      <c r="B256" s="834" t="s">
        <v>968</v>
      </c>
      <c r="C256" s="1064">
        <v>0.14599999999999999</v>
      </c>
      <c r="D256" s="1064">
        <v>0.14699999999999999</v>
      </c>
      <c r="E256" s="1064">
        <v>0.15</v>
      </c>
      <c r="F256" s="1065">
        <v>0.13200000000000001</v>
      </c>
    </row>
    <row r="257" spans="1:6" ht="15" thickBot="1">
      <c r="A257" s="840" t="s">
        <v>530</v>
      </c>
      <c r="B257" s="834" t="s">
        <v>318</v>
      </c>
      <c r="C257" s="1064">
        <v>0.15</v>
      </c>
      <c r="D257" s="1064">
        <v>0.15</v>
      </c>
      <c r="E257" s="1064">
        <v>0.15</v>
      </c>
      <c r="F257" s="1065">
        <v>0.13900000000000001</v>
      </c>
    </row>
    <row r="258" spans="1:6" ht="15" thickBot="1">
      <c r="A258" s="840" t="s">
        <v>530</v>
      </c>
      <c r="B258" s="834" t="s">
        <v>329</v>
      </c>
      <c r="C258" s="1064">
        <v>0.15</v>
      </c>
      <c r="D258" s="1064">
        <v>0.15</v>
      </c>
      <c r="E258" s="1064">
        <v>0.15</v>
      </c>
      <c r="F258" s="1065">
        <v>0.13</v>
      </c>
    </row>
    <row r="259" spans="1:6" ht="15" thickBot="1">
      <c r="A259" s="840" t="s">
        <v>530</v>
      </c>
      <c r="B259" s="834" t="s">
        <v>969</v>
      </c>
      <c r="C259" s="1064">
        <v>0.14799999999999999</v>
      </c>
      <c r="D259" s="1064">
        <v>0.14899999999999999</v>
      </c>
      <c r="E259" s="1064">
        <v>0.15</v>
      </c>
      <c r="F259" s="1065">
        <v>0.13700000000000001</v>
      </c>
    </row>
    <row r="260" spans="1:6" ht="15" thickBot="1">
      <c r="A260" s="840" t="s">
        <v>530</v>
      </c>
      <c r="B260" s="834" t="s">
        <v>350</v>
      </c>
      <c r="C260" s="1064">
        <v>0.15</v>
      </c>
      <c r="D260" s="1064">
        <v>0.15</v>
      </c>
      <c r="E260" s="1064">
        <v>0.15</v>
      </c>
      <c r="F260" s="1065">
        <v>0.14199999999999999</v>
      </c>
    </row>
    <row r="261" spans="1:6" ht="15" thickBot="1">
      <c r="A261" s="840" t="s">
        <v>530</v>
      </c>
      <c r="B261" s="834" t="s">
        <v>360</v>
      </c>
      <c r="C261" s="1064">
        <v>0.15</v>
      </c>
      <c r="D261" s="1064">
        <v>0.15</v>
      </c>
      <c r="E261" s="1064">
        <v>0.14899999999999999</v>
      </c>
      <c r="F261" s="1065">
        <v>0.14799999999999999</v>
      </c>
    </row>
    <row r="262" spans="1:6" ht="15" thickBot="1">
      <c r="A262" s="840" t="s">
        <v>530</v>
      </c>
      <c r="B262" s="834" t="s">
        <v>370</v>
      </c>
      <c r="C262" s="1064">
        <v>0.15</v>
      </c>
      <c r="D262" s="1064">
        <v>0.15</v>
      </c>
      <c r="E262" s="1064">
        <v>0.15</v>
      </c>
      <c r="F262" s="1076"/>
    </row>
    <row r="263" spans="1:6" ht="15" thickBot="1">
      <c r="A263" s="840" t="s">
        <v>530</v>
      </c>
      <c r="B263" s="834" t="s">
        <v>970</v>
      </c>
      <c r="C263" s="1064">
        <v>0.14899999999999999</v>
      </c>
      <c r="D263" s="1064">
        <v>0.14899999999999999</v>
      </c>
      <c r="E263" s="1064">
        <v>0.15</v>
      </c>
      <c r="F263" s="1065">
        <v>0.13</v>
      </c>
    </row>
    <row r="264" spans="1:6" ht="15" thickBot="1">
      <c r="A264" s="840" t="s">
        <v>530</v>
      </c>
      <c r="B264" s="834" t="s">
        <v>389</v>
      </c>
      <c r="C264" s="1064">
        <v>0.14799999999999999</v>
      </c>
      <c r="D264" s="1064">
        <v>0.14699999999999999</v>
      </c>
      <c r="E264" s="1064">
        <v>0.15</v>
      </c>
      <c r="F264" s="1065">
        <v>7.8E-2</v>
      </c>
    </row>
    <row r="265" spans="1:6" ht="15" thickBot="1">
      <c r="A265" s="840" t="s">
        <v>530</v>
      </c>
      <c r="B265" s="834" t="s">
        <v>398</v>
      </c>
      <c r="C265" s="1064">
        <v>0.15</v>
      </c>
      <c r="D265" s="1064">
        <v>0.15</v>
      </c>
      <c r="E265" s="1064">
        <v>0.15</v>
      </c>
      <c r="F265" s="1065">
        <v>7.3999999999999996E-2</v>
      </c>
    </row>
    <row r="266" spans="1:6" ht="15" thickBot="1">
      <c r="A266" s="840" t="s">
        <v>530</v>
      </c>
      <c r="B266" s="834" t="s">
        <v>406</v>
      </c>
      <c r="C266" s="1064">
        <v>0.14699999999999999</v>
      </c>
      <c r="D266" s="1064">
        <v>0.14699999999999999</v>
      </c>
      <c r="E266" s="1064">
        <v>0.15</v>
      </c>
      <c r="F266" s="1065">
        <v>0.14299999999999999</v>
      </c>
    </row>
    <row r="267" spans="1:6" ht="15" thickBot="1">
      <c r="A267" s="840" t="s">
        <v>530</v>
      </c>
      <c r="B267" s="834" t="s">
        <v>413</v>
      </c>
      <c r="C267" s="1064">
        <v>0.14199999999999999</v>
      </c>
      <c r="D267" s="1064">
        <v>0.14299999999999999</v>
      </c>
      <c r="E267" s="1064">
        <v>0.15</v>
      </c>
      <c r="F267" s="1076"/>
    </row>
    <row r="268" spans="1:6" ht="15" thickBot="1">
      <c r="A268" s="840" t="s">
        <v>530</v>
      </c>
      <c r="B268" s="834" t="s">
        <v>971</v>
      </c>
      <c r="C268" s="1064">
        <v>0.15</v>
      </c>
      <c r="D268" s="1064">
        <v>0.15</v>
      </c>
      <c r="E268" s="1064">
        <v>0.15</v>
      </c>
      <c r="F268" s="1065">
        <v>0.13</v>
      </c>
    </row>
    <row r="269" spans="1:6" ht="15" thickBot="1">
      <c r="A269" s="840" t="s">
        <v>530</v>
      </c>
      <c r="B269" s="834" t="s">
        <v>427</v>
      </c>
      <c r="C269" s="1064">
        <v>0.15</v>
      </c>
      <c r="D269" s="1064">
        <v>0.15</v>
      </c>
      <c r="E269" s="1064">
        <v>0.15</v>
      </c>
      <c r="F269" s="1065">
        <v>0.14299999999999999</v>
      </c>
    </row>
    <row r="270" spans="1:6" ht="15" thickBot="1">
      <c r="A270" s="840" t="s">
        <v>530</v>
      </c>
      <c r="B270" s="834" t="s">
        <v>434</v>
      </c>
      <c r="C270" s="1064">
        <v>0.14499999999999999</v>
      </c>
      <c r="D270" s="1064">
        <v>0.14499999999999999</v>
      </c>
      <c r="E270" s="1064">
        <v>0.15</v>
      </c>
      <c r="F270" s="1065">
        <v>0.14699999999999999</v>
      </c>
    </row>
    <row r="271" spans="1:6" ht="15" thickBot="1">
      <c r="A271" s="840" t="s">
        <v>530</v>
      </c>
      <c r="B271" s="834" t="s">
        <v>441</v>
      </c>
      <c r="C271" s="1064">
        <v>0.15</v>
      </c>
      <c r="D271" s="1064">
        <v>0.15</v>
      </c>
      <c r="E271" s="1064">
        <v>0.15</v>
      </c>
      <c r="F271" s="1065">
        <v>0.13800000000000001</v>
      </c>
    </row>
    <row r="272" spans="1:6" ht="15" thickBot="1">
      <c r="A272" s="840" t="s">
        <v>530</v>
      </c>
      <c r="B272" s="834" t="s">
        <v>448</v>
      </c>
      <c r="C272" s="1077"/>
      <c r="D272" s="1077"/>
      <c r="E272" s="1077"/>
      <c r="F272" s="1065">
        <v>0.14000000000000001</v>
      </c>
    </row>
    <row r="273" spans="1:6" ht="15" thickBot="1">
      <c r="A273" s="840" t="s">
        <v>530</v>
      </c>
      <c r="B273" s="834" t="s">
        <v>972</v>
      </c>
      <c r="C273" s="1064">
        <v>0.14199999999999999</v>
      </c>
      <c r="D273" s="1064">
        <v>0.14299999999999999</v>
      </c>
      <c r="E273" s="1064">
        <v>0.15</v>
      </c>
      <c r="F273" s="1065">
        <v>0.1</v>
      </c>
    </row>
    <row r="274" spans="1:6" ht="15" thickBot="1">
      <c r="A274" s="840" t="s">
        <v>530</v>
      </c>
      <c r="B274" s="834" t="s">
        <v>973</v>
      </c>
      <c r="C274" s="1064">
        <v>0.14799999999999999</v>
      </c>
      <c r="D274" s="1064">
        <v>0.14799999999999999</v>
      </c>
      <c r="E274" s="1064">
        <v>0.15</v>
      </c>
      <c r="F274" s="1065">
        <v>6.7000000000000004E-2</v>
      </c>
    </row>
    <row r="275" spans="1:6" ht="15" thickBot="1">
      <c r="A275" s="840" t="s">
        <v>530</v>
      </c>
      <c r="B275" s="834" t="s">
        <v>974</v>
      </c>
      <c r="C275" s="1064">
        <v>0.15</v>
      </c>
      <c r="D275" s="1064">
        <v>0.15</v>
      </c>
      <c r="E275" s="1064">
        <v>0.15</v>
      </c>
      <c r="F275" s="1065">
        <v>0.15</v>
      </c>
    </row>
    <row r="276" spans="1:6" ht="15" thickBot="1">
      <c r="A276" s="840" t="s">
        <v>530</v>
      </c>
      <c r="B276" s="834" t="s">
        <v>975</v>
      </c>
      <c r="C276" s="1064">
        <v>0.14499999999999999</v>
      </c>
      <c r="D276" s="1064">
        <v>0.14299999999999999</v>
      </c>
      <c r="E276" s="1064">
        <v>0.15</v>
      </c>
      <c r="F276" s="1065">
        <v>5.8999999999999997E-2</v>
      </c>
    </row>
    <row r="277" spans="1:6" ht="15" thickBot="1">
      <c r="A277" s="840" t="s">
        <v>530</v>
      </c>
      <c r="B277" s="834" t="s">
        <v>976</v>
      </c>
      <c r="C277" s="1064">
        <v>0.15</v>
      </c>
      <c r="D277" s="1064">
        <v>0.15</v>
      </c>
      <c r="E277" s="1064">
        <v>0.15</v>
      </c>
      <c r="F277" s="1065">
        <v>0.121</v>
      </c>
    </row>
    <row r="278" spans="1:6" ht="15" thickBot="1">
      <c r="A278" s="840" t="s">
        <v>530</v>
      </c>
      <c r="B278" s="834" t="s">
        <v>977</v>
      </c>
      <c r="C278" s="1064">
        <v>0.15</v>
      </c>
      <c r="D278" s="1064">
        <v>0.15</v>
      </c>
      <c r="E278" s="1064">
        <v>0.15</v>
      </c>
      <c r="F278" s="1065">
        <v>0.13800000000000001</v>
      </c>
    </row>
    <row r="279" spans="1:6" ht="24.6" thickBot="1">
      <c r="A279" s="840" t="s">
        <v>530</v>
      </c>
      <c r="B279" s="834" t="s">
        <v>978</v>
      </c>
      <c r="C279" s="1077"/>
      <c r="D279" s="1077"/>
      <c r="E279" s="1077"/>
      <c r="F279" s="1065">
        <v>0.05</v>
      </c>
    </row>
    <row r="280" spans="1:6" ht="24.6" thickBot="1">
      <c r="A280" s="840" t="s">
        <v>530</v>
      </c>
      <c r="B280" s="834" t="s">
        <v>979</v>
      </c>
      <c r="C280" s="1077"/>
      <c r="D280" s="1077"/>
      <c r="E280" s="1077"/>
      <c r="F280" s="1065">
        <v>0.05</v>
      </c>
    </row>
    <row r="281" spans="1:6" ht="24.6" thickBot="1">
      <c r="A281" s="840" t="s">
        <v>530</v>
      </c>
      <c r="B281" s="834" t="s">
        <v>980</v>
      </c>
      <c r="C281" s="1077"/>
      <c r="D281" s="1077"/>
      <c r="E281" s="1077"/>
      <c r="F281" s="1065">
        <v>0.05</v>
      </c>
    </row>
    <row r="282" spans="1:6" ht="24.6" thickBot="1">
      <c r="A282" s="840" t="s">
        <v>530</v>
      </c>
      <c r="B282" s="834" t="s">
        <v>981</v>
      </c>
      <c r="C282" s="1077"/>
      <c r="D282" s="1077"/>
      <c r="E282" s="1077"/>
      <c r="F282" s="1065">
        <v>0.05</v>
      </c>
    </row>
    <row r="283" spans="1:6" ht="24.6" thickBot="1">
      <c r="A283" s="840" t="s">
        <v>530</v>
      </c>
      <c r="B283" s="834" t="s">
        <v>982</v>
      </c>
      <c r="C283" s="1077"/>
      <c r="D283" s="1077"/>
      <c r="E283" s="1077"/>
      <c r="F283" s="1065">
        <v>0.05</v>
      </c>
    </row>
    <row r="284" spans="1:6" ht="24.6" thickBot="1">
      <c r="A284" s="840" t="s">
        <v>530</v>
      </c>
      <c r="B284" s="834" t="s">
        <v>983</v>
      </c>
      <c r="C284" s="1077"/>
      <c r="D284" s="1077"/>
      <c r="E284" s="1077"/>
      <c r="F284" s="1065">
        <v>0.05</v>
      </c>
    </row>
    <row r="285" spans="1:6" ht="24.6" thickBot="1">
      <c r="A285" s="840" t="s">
        <v>530</v>
      </c>
      <c r="B285" s="834" t="s">
        <v>984</v>
      </c>
      <c r="C285" s="1077"/>
      <c r="D285" s="1077"/>
      <c r="E285" s="1077"/>
      <c r="F285" s="1065">
        <v>0.05</v>
      </c>
    </row>
    <row r="286" spans="1:6" ht="24.6" thickBot="1">
      <c r="A286" s="840" t="s">
        <v>530</v>
      </c>
      <c r="B286" s="834" t="s">
        <v>985</v>
      </c>
      <c r="C286" s="1077"/>
      <c r="D286" s="1077"/>
      <c r="E286" s="1077"/>
      <c r="F286" s="1065">
        <v>0.05</v>
      </c>
    </row>
    <row r="287" spans="1:6" ht="24.6" thickBot="1">
      <c r="A287" s="840" t="s">
        <v>530</v>
      </c>
      <c r="B287" s="834" t="s">
        <v>986</v>
      </c>
      <c r="C287" s="1077"/>
      <c r="D287" s="1077"/>
      <c r="E287" s="1077"/>
      <c r="F287" s="1065">
        <v>0.05</v>
      </c>
    </row>
    <row r="288" spans="1:6" ht="24.6" thickBot="1">
      <c r="A288" s="840" t="s">
        <v>530</v>
      </c>
      <c r="B288" s="834" t="s">
        <v>987</v>
      </c>
      <c r="C288" s="1077"/>
      <c r="D288" s="1077"/>
      <c r="E288" s="1077"/>
      <c r="F288" s="1065">
        <v>0.05</v>
      </c>
    </row>
    <row r="289" spans="1:6" ht="24.6" thickBot="1">
      <c r="A289" s="850" t="s">
        <v>530</v>
      </c>
      <c r="B289" s="846" t="s">
        <v>988</v>
      </c>
      <c r="C289" s="1074"/>
      <c r="D289" s="1074"/>
      <c r="E289" s="1074"/>
      <c r="F289" s="1067">
        <v>0.05</v>
      </c>
    </row>
    <row r="290" spans="1:6" ht="15" thickBot="1">
      <c r="A290" s="840" t="s">
        <v>534</v>
      </c>
      <c r="B290" s="841" t="s">
        <v>989</v>
      </c>
      <c r="C290" s="1062">
        <v>0.15</v>
      </c>
      <c r="D290" s="1062">
        <v>0.15</v>
      </c>
      <c r="E290" s="1062">
        <v>0.15</v>
      </c>
      <c r="F290" s="1079"/>
    </row>
    <row r="291" spans="1:6" ht="15" thickBot="1">
      <c r="A291" s="840" t="s">
        <v>534</v>
      </c>
      <c r="B291" s="834" t="s">
        <v>196</v>
      </c>
      <c r="C291" s="1064">
        <v>0.15</v>
      </c>
      <c r="D291" s="1064">
        <v>0.15</v>
      </c>
      <c r="E291" s="1064">
        <v>0.15</v>
      </c>
      <c r="F291" s="1076"/>
    </row>
    <row r="292" spans="1:6" ht="15" thickBot="1">
      <c r="A292" s="840" t="s">
        <v>534</v>
      </c>
      <c r="B292" s="834" t="s">
        <v>990</v>
      </c>
      <c r="C292" s="1064">
        <v>0.15</v>
      </c>
      <c r="D292" s="1064">
        <v>0.15</v>
      </c>
      <c r="E292" s="1064">
        <v>0.15</v>
      </c>
      <c r="F292" s="1065">
        <v>0.14699999999999999</v>
      </c>
    </row>
    <row r="293" spans="1:6" ht="15" thickBot="1">
      <c r="A293" s="840" t="s">
        <v>534</v>
      </c>
      <c r="B293" s="834" t="s">
        <v>991</v>
      </c>
      <c r="C293" s="1077"/>
      <c r="D293" s="1077"/>
      <c r="E293" s="1077"/>
      <c r="F293" s="1065">
        <v>0.1</v>
      </c>
    </row>
    <row r="294" spans="1:6" ht="15" thickBot="1">
      <c r="A294" s="840" t="s">
        <v>534</v>
      </c>
      <c r="B294" s="834" t="s">
        <v>992</v>
      </c>
      <c r="C294" s="1064">
        <v>0.15</v>
      </c>
      <c r="D294" s="1064">
        <v>0.15</v>
      </c>
      <c r="E294" s="1064">
        <v>0.15</v>
      </c>
      <c r="F294" s="1065">
        <v>0.15</v>
      </c>
    </row>
    <row r="295" spans="1:6" ht="15" thickBot="1">
      <c r="A295" s="840" t="s">
        <v>534</v>
      </c>
      <c r="B295" s="834" t="s">
        <v>234</v>
      </c>
      <c r="C295" s="1064">
        <v>0.15</v>
      </c>
      <c r="D295" s="1064">
        <v>0.15</v>
      </c>
      <c r="E295" s="1064">
        <v>0.15</v>
      </c>
      <c r="F295" s="1065">
        <v>0.15</v>
      </c>
    </row>
    <row r="296" spans="1:6" ht="15" thickBot="1">
      <c r="A296" s="840" t="s">
        <v>534</v>
      </c>
      <c r="B296" s="834" t="s">
        <v>993</v>
      </c>
      <c r="C296" s="1064">
        <v>0.15</v>
      </c>
      <c r="D296" s="1064">
        <v>0.15</v>
      </c>
      <c r="E296" s="1064">
        <v>0.15</v>
      </c>
      <c r="F296" s="1065">
        <v>0.15</v>
      </c>
    </row>
    <row r="297" spans="1:6" ht="15" thickBot="1">
      <c r="A297" s="840" t="s">
        <v>534</v>
      </c>
      <c r="B297" s="834" t="s">
        <v>994</v>
      </c>
      <c r="C297" s="1064">
        <v>0.14799999999999999</v>
      </c>
      <c r="D297" s="1064">
        <v>0.14899999999999999</v>
      </c>
      <c r="E297" s="1064">
        <v>0.15</v>
      </c>
      <c r="F297" s="1065">
        <v>0.13700000000000001</v>
      </c>
    </row>
    <row r="298" spans="1:6" ht="15" thickBot="1">
      <c r="A298" s="840" t="s">
        <v>534</v>
      </c>
      <c r="B298" s="834" t="s">
        <v>267</v>
      </c>
      <c r="C298" s="1064">
        <v>0.13400000000000001</v>
      </c>
      <c r="D298" s="1064">
        <v>0.13400000000000001</v>
      </c>
      <c r="E298" s="1064">
        <v>0.14499999999999999</v>
      </c>
      <c r="F298" s="1065">
        <v>0.14799999999999999</v>
      </c>
    </row>
    <row r="299" spans="1:6" ht="15" thickBot="1">
      <c r="A299" s="840" t="s">
        <v>534</v>
      </c>
      <c r="B299" s="834" t="s">
        <v>279</v>
      </c>
      <c r="C299" s="1064">
        <v>0.15</v>
      </c>
      <c r="D299" s="1064">
        <v>0.15</v>
      </c>
      <c r="E299" s="1064">
        <v>0.15</v>
      </c>
      <c r="F299" s="1076"/>
    </row>
    <row r="300" spans="1:6" ht="15" thickBot="1">
      <c r="A300" s="840" t="s">
        <v>534</v>
      </c>
      <c r="B300" s="834" t="s">
        <v>995</v>
      </c>
      <c r="C300" s="1064">
        <v>0.15</v>
      </c>
      <c r="D300" s="1064">
        <v>0.15</v>
      </c>
      <c r="E300" s="1064">
        <v>0.15</v>
      </c>
      <c r="F300" s="1065">
        <v>0.15</v>
      </c>
    </row>
    <row r="301" spans="1:6" ht="15" thickBot="1">
      <c r="A301" s="840" t="s">
        <v>534</v>
      </c>
      <c r="B301" s="834" t="s">
        <v>299</v>
      </c>
      <c r="C301" s="1064">
        <v>0.15</v>
      </c>
      <c r="D301" s="1064">
        <v>0.15</v>
      </c>
      <c r="E301" s="1064">
        <v>0.15</v>
      </c>
      <c r="F301" s="1076"/>
    </row>
    <row r="302" spans="1:6" ht="15" thickBot="1">
      <c r="A302" s="840" t="s">
        <v>534</v>
      </c>
      <c r="B302" s="834" t="s">
        <v>996</v>
      </c>
      <c r="C302" s="1064">
        <v>0.15</v>
      </c>
      <c r="D302" s="1064">
        <v>0.15</v>
      </c>
      <c r="E302" s="1064">
        <v>0.15</v>
      </c>
      <c r="F302" s="1065">
        <v>0.15</v>
      </c>
    </row>
    <row r="303" spans="1:6" ht="15" thickBot="1">
      <c r="A303" s="840" t="s">
        <v>534</v>
      </c>
      <c r="B303" s="834" t="s">
        <v>319</v>
      </c>
      <c r="C303" s="1064">
        <v>0.15</v>
      </c>
      <c r="D303" s="1064">
        <v>0.15</v>
      </c>
      <c r="E303" s="1064">
        <v>0.15</v>
      </c>
      <c r="F303" s="1065">
        <v>0.15</v>
      </c>
    </row>
    <row r="304" spans="1:6" ht="15" thickBot="1">
      <c r="A304" s="840" t="s">
        <v>534</v>
      </c>
      <c r="B304" s="834" t="s">
        <v>330</v>
      </c>
      <c r="C304" s="1064">
        <v>0.15</v>
      </c>
      <c r="D304" s="1064">
        <v>0.15</v>
      </c>
      <c r="E304" s="1064">
        <v>0.15</v>
      </c>
      <c r="F304" s="1076"/>
    </row>
    <row r="305" spans="1:6" ht="15" thickBot="1">
      <c r="A305" s="840" t="s">
        <v>534</v>
      </c>
      <c r="B305" s="834" t="s">
        <v>997</v>
      </c>
      <c r="C305" s="1064">
        <v>0.15</v>
      </c>
      <c r="D305" s="1064">
        <v>0.15</v>
      </c>
      <c r="E305" s="1064">
        <v>0.15</v>
      </c>
      <c r="F305" s="1065">
        <v>0.14000000000000001</v>
      </c>
    </row>
    <row r="306" spans="1:6" ht="15" thickBot="1">
      <c r="A306" s="840" t="s">
        <v>534</v>
      </c>
      <c r="B306" s="834" t="s">
        <v>351</v>
      </c>
      <c r="C306" s="1064">
        <v>0.15</v>
      </c>
      <c r="D306" s="1064">
        <v>0.15</v>
      </c>
      <c r="E306" s="1064">
        <v>0.15</v>
      </c>
      <c r="F306" s="1076"/>
    </row>
    <row r="307" spans="1:6" ht="15" thickBot="1">
      <c r="A307" s="840" t="s">
        <v>534</v>
      </c>
      <c r="B307" s="834" t="s">
        <v>998</v>
      </c>
      <c r="C307" s="1064">
        <v>0.15</v>
      </c>
      <c r="D307" s="1064">
        <v>0.15</v>
      </c>
      <c r="E307" s="1064">
        <v>0.15</v>
      </c>
      <c r="F307" s="1065">
        <v>0.14299999999999999</v>
      </c>
    </row>
    <row r="308" spans="1:6" ht="15" thickBot="1">
      <c r="A308" s="840" t="s">
        <v>534</v>
      </c>
      <c r="B308" s="834" t="s">
        <v>371</v>
      </c>
      <c r="C308" s="1064">
        <v>0.15</v>
      </c>
      <c r="D308" s="1064">
        <v>0.15</v>
      </c>
      <c r="E308" s="1064">
        <v>0.15</v>
      </c>
      <c r="F308" s="1065">
        <v>0.15</v>
      </c>
    </row>
    <row r="309" spans="1:6" ht="15" thickBot="1">
      <c r="A309" s="840" t="s">
        <v>534</v>
      </c>
      <c r="B309" s="834" t="s">
        <v>381</v>
      </c>
      <c r="C309" s="1064">
        <v>0.15</v>
      </c>
      <c r="D309" s="1064">
        <v>0.15</v>
      </c>
      <c r="E309" s="1064">
        <v>0.15</v>
      </c>
      <c r="F309" s="1076"/>
    </row>
    <row r="310" spans="1:6" ht="15" thickBot="1">
      <c r="A310" s="840" t="s">
        <v>534</v>
      </c>
      <c r="B310" s="834" t="s">
        <v>999</v>
      </c>
      <c r="C310" s="1064">
        <v>0.15</v>
      </c>
      <c r="D310" s="1064">
        <v>0.15</v>
      </c>
      <c r="E310" s="1064">
        <v>0.15</v>
      </c>
      <c r="F310" s="1065">
        <v>0.13700000000000001</v>
      </c>
    </row>
    <row r="311" spans="1:6" ht="15" thickBot="1">
      <c r="A311" s="840" t="s">
        <v>534</v>
      </c>
      <c r="B311" s="834" t="s">
        <v>1000</v>
      </c>
      <c r="C311" s="1064">
        <v>0.15</v>
      </c>
      <c r="D311" s="1064">
        <v>0.15</v>
      </c>
      <c r="E311" s="1064">
        <v>0.15</v>
      </c>
      <c r="F311" s="1065">
        <v>0.15</v>
      </c>
    </row>
    <row r="312" spans="1:6" ht="15" thickBot="1">
      <c r="A312" s="840" t="s">
        <v>534</v>
      </c>
      <c r="B312" s="834" t="s">
        <v>407</v>
      </c>
      <c r="C312" s="1064">
        <v>0.15</v>
      </c>
      <c r="D312" s="1064">
        <v>0.15</v>
      </c>
      <c r="E312" s="1064">
        <v>0.15</v>
      </c>
      <c r="F312" s="1065">
        <v>0.1</v>
      </c>
    </row>
    <row r="313" spans="1:6" ht="15" thickBot="1">
      <c r="A313" s="840" t="s">
        <v>534</v>
      </c>
      <c r="B313" s="834" t="s">
        <v>1001</v>
      </c>
      <c r="C313" s="1064">
        <v>0.15</v>
      </c>
      <c r="D313" s="1064">
        <v>0.15</v>
      </c>
      <c r="E313" s="1064">
        <v>0.15</v>
      </c>
      <c r="F313" s="1065">
        <v>0.15</v>
      </c>
    </row>
    <row r="314" spans="1:6" ht="24.6" thickBot="1">
      <c r="A314" s="840" t="s">
        <v>534</v>
      </c>
      <c r="B314" s="834" t="s">
        <v>1002</v>
      </c>
      <c r="C314" s="1077"/>
      <c r="D314" s="1077"/>
      <c r="E314" s="1077"/>
      <c r="F314" s="1065">
        <v>0.05</v>
      </c>
    </row>
    <row r="315" spans="1:6" ht="24.6" thickBot="1">
      <c r="A315" s="840" t="s">
        <v>534</v>
      </c>
      <c r="B315" s="834" t="s">
        <v>1003</v>
      </c>
      <c r="C315" s="1077"/>
      <c r="D315" s="1077"/>
      <c r="E315" s="1077"/>
      <c r="F315" s="1065">
        <v>0.05</v>
      </c>
    </row>
    <row r="316" spans="1:6" ht="24.6" thickBot="1">
      <c r="A316" s="850" t="s">
        <v>534</v>
      </c>
      <c r="B316" s="846" t="s">
        <v>1004</v>
      </c>
      <c r="C316" s="1074"/>
      <c r="D316" s="1074"/>
      <c r="E316" s="1074"/>
      <c r="F316" s="1067">
        <v>0.05</v>
      </c>
    </row>
    <row r="317" spans="1:6" ht="15" thickBot="1">
      <c r="A317" s="840" t="s">
        <v>1005</v>
      </c>
      <c r="B317" s="841" t="s">
        <v>1006</v>
      </c>
      <c r="C317" s="1062">
        <v>0.15</v>
      </c>
      <c r="D317" s="1062">
        <v>0.15</v>
      </c>
      <c r="E317" s="1062">
        <v>0.15</v>
      </c>
      <c r="F317" s="1063">
        <v>0.15</v>
      </c>
    </row>
    <row r="318" spans="1:6" ht="15" thickBot="1">
      <c r="A318" s="840" t="s">
        <v>1005</v>
      </c>
      <c r="B318" s="834" t="s">
        <v>1007</v>
      </c>
      <c r="C318" s="1064">
        <v>0.107</v>
      </c>
      <c r="D318" s="1064">
        <v>0.11</v>
      </c>
      <c r="E318" s="1064">
        <v>0.112</v>
      </c>
      <c r="F318" s="1076"/>
    </row>
    <row r="319" spans="1:6" ht="15" thickBot="1">
      <c r="A319" s="840" t="s">
        <v>1005</v>
      </c>
      <c r="B319" s="834" t="s">
        <v>1008</v>
      </c>
      <c r="C319" s="1064">
        <v>0.15</v>
      </c>
      <c r="D319" s="1064">
        <v>0.15</v>
      </c>
      <c r="E319" s="1064">
        <v>0.15</v>
      </c>
      <c r="F319" s="1065">
        <v>0.15</v>
      </c>
    </row>
    <row r="320" spans="1:6" ht="15" thickBot="1">
      <c r="A320" s="840" t="s">
        <v>1005</v>
      </c>
      <c r="B320" s="834" t="s">
        <v>223</v>
      </c>
      <c r="C320" s="1064">
        <v>0.15</v>
      </c>
      <c r="D320" s="1064">
        <v>0.15</v>
      </c>
      <c r="E320" s="1064">
        <v>0.15</v>
      </c>
      <c r="F320" s="1076"/>
    </row>
    <row r="321" spans="1:6" ht="15" thickBot="1">
      <c r="A321" s="840" t="s">
        <v>1005</v>
      </c>
      <c r="B321" s="834" t="s">
        <v>1009</v>
      </c>
      <c r="C321" s="1064">
        <v>0.15</v>
      </c>
      <c r="D321" s="1064">
        <v>0.15</v>
      </c>
      <c r="E321" s="1064">
        <v>0.15</v>
      </c>
      <c r="F321" s="1076"/>
    </row>
    <row r="322" spans="1:6" ht="15" thickBot="1">
      <c r="A322" s="840" t="s">
        <v>1005</v>
      </c>
      <c r="B322" s="834" t="s">
        <v>1010</v>
      </c>
      <c r="C322" s="1064">
        <v>0.15</v>
      </c>
      <c r="D322" s="1064">
        <v>0.15</v>
      </c>
      <c r="E322" s="1064">
        <v>0.15</v>
      </c>
      <c r="F322" s="1065">
        <v>0.15</v>
      </c>
    </row>
    <row r="323" spans="1:6" ht="15" thickBot="1">
      <c r="A323" s="840" t="s">
        <v>1005</v>
      </c>
      <c r="B323" s="834" t="s">
        <v>1011</v>
      </c>
      <c r="C323" s="1064">
        <v>0.15</v>
      </c>
      <c r="D323" s="1064">
        <v>0.15</v>
      </c>
      <c r="E323" s="1064">
        <v>0.15</v>
      </c>
      <c r="F323" s="1076"/>
    </row>
    <row r="324" spans="1:6" ht="15" thickBot="1">
      <c r="A324" s="840" t="s">
        <v>1005</v>
      </c>
      <c r="B324" s="834" t="s">
        <v>1012</v>
      </c>
      <c r="C324" s="1064">
        <v>0.15</v>
      </c>
      <c r="D324" s="1064">
        <v>0.15</v>
      </c>
      <c r="E324" s="1064">
        <v>0.15</v>
      </c>
      <c r="F324" s="1076"/>
    </row>
    <row r="325" spans="1:6" ht="15" thickBot="1">
      <c r="A325" s="840" t="s">
        <v>1005</v>
      </c>
      <c r="B325" s="834" t="s">
        <v>1013</v>
      </c>
      <c r="C325" s="1064">
        <v>0.15</v>
      </c>
      <c r="D325" s="1064">
        <v>0.15</v>
      </c>
      <c r="E325" s="1064">
        <v>0.15</v>
      </c>
      <c r="F325" s="1065">
        <v>0.14699999999999999</v>
      </c>
    </row>
    <row r="326" spans="1:6" ht="15" thickBot="1">
      <c r="A326" s="840" t="s">
        <v>1005</v>
      </c>
      <c r="B326" s="834" t="s">
        <v>290</v>
      </c>
      <c r="C326" s="1064">
        <v>0.15</v>
      </c>
      <c r="D326" s="1064">
        <v>0.15</v>
      </c>
      <c r="E326" s="1064">
        <v>0.15</v>
      </c>
      <c r="F326" s="1076"/>
    </row>
    <row r="327" spans="1:6" ht="15" thickBot="1">
      <c r="A327" s="840" t="s">
        <v>1005</v>
      </c>
      <c r="B327" s="834" t="s">
        <v>1014</v>
      </c>
      <c r="C327" s="1064">
        <v>0.15</v>
      </c>
      <c r="D327" s="1064">
        <v>0.15</v>
      </c>
      <c r="E327" s="1064">
        <v>0.15</v>
      </c>
      <c r="F327" s="1065">
        <v>0.15</v>
      </c>
    </row>
    <row r="328" spans="1:6" ht="15" thickBot="1">
      <c r="A328" s="840" t="s">
        <v>1005</v>
      </c>
      <c r="B328" s="834" t="s">
        <v>310</v>
      </c>
      <c r="C328" s="1064">
        <v>0.15</v>
      </c>
      <c r="D328" s="1064">
        <v>0.15</v>
      </c>
      <c r="E328" s="1064">
        <v>0.15</v>
      </c>
      <c r="F328" s="1065">
        <v>0.14099999999999999</v>
      </c>
    </row>
    <row r="329" spans="1:6" ht="15" thickBot="1">
      <c r="A329" s="840" t="s">
        <v>1005</v>
      </c>
      <c r="B329" s="834" t="s">
        <v>320</v>
      </c>
      <c r="C329" s="1064">
        <v>0.15</v>
      </c>
      <c r="D329" s="1064">
        <v>0.15</v>
      </c>
      <c r="E329" s="1064">
        <v>0.15</v>
      </c>
      <c r="F329" s="1065">
        <v>0.15</v>
      </c>
    </row>
    <row r="330" spans="1:6" ht="15" thickBot="1">
      <c r="A330" s="840" t="s">
        <v>1005</v>
      </c>
      <c r="B330" s="834" t="s">
        <v>331</v>
      </c>
      <c r="C330" s="1064">
        <v>0.15</v>
      </c>
      <c r="D330" s="1064">
        <v>0.15</v>
      </c>
      <c r="E330" s="1064">
        <v>0.15</v>
      </c>
      <c r="F330" s="1076"/>
    </row>
    <row r="331" spans="1:6" ht="15" thickBot="1">
      <c r="A331" s="840" t="s">
        <v>1005</v>
      </c>
      <c r="B331" s="834" t="s">
        <v>1015</v>
      </c>
      <c r="C331" s="1064">
        <v>0.15</v>
      </c>
      <c r="D331" s="1064">
        <v>0.15</v>
      </c>
      <c r="E331" s="1064">
        <v>0.15</v>
      </c>
      <c r="F331" s="1065">
        <v>0.15</v>
      </c>
    </row>
    <row r="332" spans="1:6" ht="15" thickBot="1">
      <c r="A332" s="840" t="s">
        <v>1005</v>
      </c>
      <c r="B332" s="834" t="s">
        <v>352</v>
      </c>
      <c r="C332" s="1064">
        <v>0.15</v>
      </c>
      <c r="D332" s="1064">
        <v>0.15</v>
      </c>
      <c r="E332" s="1064">
        <v>0.15</v>
      </c>
      <c r="F332" s="1065">
        <v>0.15</v>
      </c>
    </row>
    <row r="333" spans="1:6" ht="15" thickBot="1">
      <c r="A333" s="840" t="s">
        <v>1005</v>
      </c>
      <c r="B333" s="834" t="s">
        <v>1016</v>
      </c>
      <c r="C333" s="1064">
        <v>0.15</v>
      </c>
      <c r="D333" s="1064">
        <v>0.15</v>
      </c>
      <c r="E333" s="1064">
        <v>0.15</v>
      </c>
      <c r="F333" s="1065">
        <v>0.14099999999999999</v>
      </c>
    </row>
    <row r="334" spans="1:6" ht="15" thickBot="1">
      <c r="A334" s="840" t="s">
        <v>1005</v>
      </c>
      <c r="B334" s="834" t="s">
        <v>372</v>
      </c>
      <c r="C334" s="1064">
        <v>0.15</v>
      </c>
      <c r="D334" s="1064">
        <v>0.15</v>
      </c>
      <c r="E334" s="1064">
        <v>0.15</v>
      </c>
      <c r="F334" s="1065">
        <v>0.15</v>
      </c>
    </row>
    <row r="335" spans="1:6" ht="15" thickBot="1">
      <c r="A335" s="840" t="s">
        <v>1005</v>
      </c>
      <c r="B335" s="834" t="s">
        <v>382</v>
      </c>
      <c r="C335" s="1064">
        <v>0.15</v>
      </c>
      <c r="D335" s="1064">
        <v>0.15</v>
      </c>
      <c r="E335" s="1064">
        <v>0.15</v>
      </c>
      <c r="F335" s="1076"/>
    </row>
    <row r="336" spans="1:6" ht="15" thickBot="1">
      <c r="A336" s="840" t="s">
        <v>1005</v>
      </c>
      <c r="B336" s="834" t="s">
        <v>1017</v>
      </c>
      <c r="C336" s="1064">
        <v>0.15</v>
      </c>
      <c r="D336" s="1064">
        <v>0.15</v>
      </c>
      <c r="E336" s="1064">
        <v>0.15</v>
      </c>
      <c r="F336" s="1065">
        <v>0.11799999999999999</v>
      </c>
    </row>
    <row r="337" spans="1:6" ht="15" thickBot="1">
      <c r="A337" s="850" t="s">
        <v>1005</v>
      </c>
      <c r="B337" s="846" t="s">
        <v>400</v>
      </c>
      <c r="C337" s="1074"/>
      <c r="D337" s="1074"/>
      <c r="E337" s="1074"/>
      <c r="F337" s="1067">
        <v>0.14299999999999999</v>
      </c>
    </row>
    <row r="338" spans="1:6" ht="15" thickBot="1">
      <c r="A338" s="840" t="s">
        <v>1018</v>
      </c>
      <c r="B338" s="841" t="s">
        <v>1019</v>
      </c>
      <c r="C338" s="1062">
        <v>0.15</v>
      </c>
      <c r="D338" s="1062">
        <v>0.15</v>
      </c>
      <c r="E338" s="1062">
        <v>0.15</v>
      </c>
      <c r="F338" s="1079"/>
    </row>
    <row r="339" spans="1:6" ht="15" thickBot="1">
      <c r="A339" s="840" t="s">
        <v>1018</v>
      </c>
      <c r="B339" s="834" t="s">
        <v>1020</v>
      </c>
      <c r="C339" s="1064">
        <v>0.15</v>
      </c>
      <c r="D339" s="1064">
        <v>0.15</v>
      </c>
      <c r="E339" s="1064">
        <v>0.15</v>
      </c>
      <c r="F339" s="1076"/>
    </row>
    <row r="340" spans="1:6" ht="15" thickBot="1">
      <c r="A340" s="840" t="s">
        <v>1018</v>
      </c>
      <c r="B340" s="834" t="s">
        <v>1021</v>
      </c>
      <c r="C340" s="1064">
        <v>0.15</v>
      </c>
      <c r="D340" s="1064">
        <v>0.15</v>
      </c>
      <c r="E340" s="1064">
        <v>0.15</v>
      </c>
      <c r="F340" s="1076"/>
    </row>
    <row r="341" spans="1:6" ht="15" thickBot="1">
      <c r="A341" s="840" t="s">
        <v>1018</v>
      </c>
      <c r="B341" s="834" t="s">
        <v>1022</v>
      </c>
      <c r="C341" s="1064">
        <v>0.15</v>
      </c>
      <c r="D341" s="1064">
        <v>0.15</v>
      </c>
      <c r="E341" s="1064">
        <v>0.15</v>
      </c>
      <c r="F341" s="1065">
        <v>0.15</v>
      </c>
    </row>
    <row r="342" spans="1:6" ht="15" thickBot="1">
      <c r="A342" s="840" t="s">
        <v>1018</v>
      </c>
      <c r="B342" s="834" t="s">
        <v>1023</v>
      </c>
      <c r="C342" s="1064">
        <v>0.15</v>
      </c>
      <c r="D342" s="1064">
        <v>0.15</v>
      </c>
      <c r="E342" s="1064">
        <v>0.15</v>
      </c>
      <c r="F342" s="1065">
        <v>0.15</v>
      </c>
    </row>
    <row r="343" spans="1:6" ht="15" thickBot="1">
      <c r="A343" s="840" t="s">
        <v>1018</v>
      </c>
      <c r="B343" s="834" t="s">
        <v>1024</v>
      </c>
      <c r="C343" s="1064">
        <v>0.15</v>
      </c>
      <c r="D343" s="1064">
        <v>0.15</v>
      </c>
      <c r="E343" s="1064">
        <v>0.15</v>
      </c>
      <c r="F343" s="1065">
        <v>0.15</v>
      </c>
    </row>
    <row r="344" spans="1:6" ht="15" thickBot="1">
      <c r="A344" s="850" t="s">
        <v>1018</v>
      </c>
      <c r="B344" s="846"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1296</v>
      </c>
      <c r="C1" s="1694">
        <f>项目基本情况!D3</f>
        <v>43692</v>
      </c>
      <c r="D1" s="1700" t="s">
        <v>1297</v>
      </c>
      <c r="E1" s="1695">
        <f>'数据-取费表'!B22</f>
        <v>3</v>
      </c>
      <c r="F1" s="1700" t="s">
        <v>1298</v>
      </c>
      <c r="G1" s="1696">
        <f ca="1">INDIRECT("d"&amp;$K$1)/100</f>
        <v>4.7500000000000001E-2</v>
      </c>
      <c r="H1" s="1700" t="s">
        <v>1328</v>
      </c>
      <c r="I1" s="1696">
        <f ca="1">F4/100</f>
        <v>1.4999999999999999E-2</v>
      </c>
      <c r="J1" s="1701">
        <f>IF(C1&gt;C13,0,MATCH(C1,C$13:C$100,-1))+IF(SUMIF(C13:C100,C1,D13:D100)=0,13,12)</f>
        <v>13</v>
      </c>
      <c r="K1" s="1701">
        <f ca="1">MATCH(E1,C3:C7,1)+IF(SUMIF(C3:C7,E1,D3:D7)=0,2,1)</f>
        <v>5</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1368</v>
      </c>
      <c r="E1" s="1776" t="s">
        <v>1372</v>
      </c>
      <c r="F1" s="1777" t="s">
        <v>1376</v>
      </c>
    </row>
    <row r="2" spans="1:13" ht="19.8">
      <c r="A2" s="1783" t="s">
        <v>1369</v>
      </c>
    </row>
    <row r="3" spans="1:13" ht="15.6">
      <c r="A3" s="1784" t="s">
        <v>1370</v>
      </c>
    </row>
    <row r="4" spans="1:13">
      <c r="A4" s="1774" t="s">
        <v>1371</v>
      </c>
      <c r="B4" s="1779" t="s">
        <v>1373</v>
      </c>
      <c r="C4" s="1780"/>
      <c r="D4" s="1781"/>
      <c r="E4" s="1779" t="s">
        <v>27</v>
      </c>
      <c r="F4" s="1780"/>
      <c r="G4" s="1781"/>
      <c r="H4" s="1779" t="s">
        <v>1374</v>
      </c>
      <c r="I4" s="1780"/>
      <c r="J4" s="1781"/>
      <c r="K4" s="1779" t="s">
        <v>6</v>
      </c>
      <c r="L4" s="1780"/>
      <c r="M4" s="1781"/>
    </row>
    <row r="5" spans="1:13">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案例</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土地案例</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2019-08-19T08:43:58Z</dcterms:modified>
</cp:coreProperties>
</file>