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74" r:id="rId16"/>
    <sheet name="结果表" sheetId="9" r:id="rId17"/>
    <sheet name="成本法" sheetId="68" r:id="rId18"/>
    <sheet name="成本法 (元)" sheetId="69" state="hidden" r:id="rId19"/>
    <sheet name="土地比较法-住宅、综合" sheetId="39" r:id="rId20"/>
    <sheet name="定义" sheetId="10" state="hidden" r:id="rId21"/>
    <sheet name="假设开发法" sheetId="12" r:id="rId22"/>
    <sheet name="地上办公" sheetId="15" state="hidden" r:id="rId23"/>
    <sheet name="地下车库" sheetId="78" state="hidden" r:id="rId24"/>
    <sheet name="地下餐厅" sheetId="80" state="hidden" r:id="rId25"/>
    <sheet name="地下办公" sheetId="79" state="hidden"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规证" sheetId="81" r:id="rId48"/>
    <sheet name="代建清单" sheetId="82" r:id="rId49"/>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0" hidden="1">'数据-基础表'!$A$12:$AT$587</definedName>
    <definedName name="_xlnm._FilterDatabase" localSheetId="35" hidden="1">'土地比较法-工业'!$A$1:$L$43</definedName>
    <definedName name="_xlnm._FilterDatabase" localSheetId="19" hidden="1">'土地比较法-住宅、综合'!$A$1:$L$48</definedName>
    <definedName name="_xlnm._FilterDatabase" localSheetId="9" hidden="1">项目基本情况!$A$42:$N$42</definedName>
    <definedName name="_xlnm.Print_Area" localSheetId="22">地上办公!$A$1:$AK$69</definedName>
    <definedName name="_xlnm.Print_Area" localSheetId="25">地下办公!$A$1:$AK$69</definedName>
    <definedName name="_xlnm.Print_Area" localSheetId="24">地下餐厅!$A$1:$AK$69</definedName>
    <definedName name="_xlnm.Print_Area" localSheetId="23">地下车库!$A$1:$AK$69</definedName>
    <definedName name="_xlnm.Print_Area" localSheetId="8">估价师及机构信息!$A$1:$F$29</definedName>
    <definedName name="_xlnm.Print_Area" localSheetId="26">'收益法 (元)'!$A$1:$AK$69</definedName>
    <definedName name="_xlnm.Print_Area" localSheetId="12">'数据-汇总表'!$A$1:$P$32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8" i="12" l="1"/>
  <c r="D46" i="82"/>
  <c r="E46" i="82"/>
  <c r="D65" i="82"/>
  <c r="E65" i="82"/>
  <c r="E66" i="82"/>
  <c r="D40" i="82"/>
  <c r="D66" i="82"/>
  <c r="E64" i="82"/>
  <c r="E63" i="82"/>
  <c r="E62" i="82"/>
  <c r="E61" i="82"/>
  <c r="E60" i="82"/>
  <c r="E59" i="82"/>
  <c r="E58" i="82"/>
  <c r="E53" i="82"/>
  <c r="E52" i="82"/>
  <c r="E51" i="82"/>
  <c r="E50" i="82"/>
  <c r="E49" i="82"/>
  <c r="E48" i="82"/>
  <c r="E45" i="82"/>
  <c r="E44" i="82"/>
  <c r="E43" i="82"/>
  <c r="E42" i="82"/>
  <c r="E39" i="82"/>
  <c r="E38" i="82"/>
  <c r="E37" i="82"/>
  <c r="E36" i="82"/>
  <c r="E35" i="82"/>
  <c r="E34" i="82"/>
  <c r="E33" i="82"/>
  <c r="E32" i="82"/>
  <c r="E31" i="82"/>
  <c r="E30" i="82"/>
  <c r="E29" i="82"/>
  <c r="E28" i="82"/>
  <c r="E27" i="82"/>
  <c r="E26" i="82"/>
  <c r="E25" i="82"/>
  <c r="E24" i="82"/>
  <c r="E23" i="82"/>
  <c r="E22" i="82"/>
  <c r="E21" i="82"/>
  <c r="E20" i="82"/>
  <c r="E18" i="82"/>
  <c r="E16" i="82"/>
  <c r="E13" i="82"/>
  <c r="E12" i="82"/>
  <c r="E11" i="82"/>
  <c r="E10" i="82"/>
  <c r="E9" i="82"/>
  <c r="E8" i="82"/>
  <c r="E7" i="82"/>
  <c r="E6" i="82"/>
  <c r="E5" i="82"/>
  <c r="E4" i="82"/>
  <c r="C129" i="81"/>
  <c r="A6" i="1"/>
  <c r="A7" i="1"/>
  <c r="A8" i="1"/>
  <c r="A9" i="1"/>
  <c r="G1" i="79"/>
  <c r="G22" i="6"/>
  <c r="E22" i="6"/>
  <c r="K9" i="1"/>
  <c r="C1" i="73"/>
  <c r="L1" i="73"/>
  <c r="B43" i="1"/>
  <c r="B41" i="1"/>
  <c r="F32" i="79"/>
  <c r="B2" i="1"/>
  <c r="C42" i="1"/>
  <c r="M9"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G28" i="6" s="1"/>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I13" i="3"/>
  <c r="I14" i="3"/>
  <c r="I15" i="3"/>
  <c r="F19" i="6"/>
  <c r="E19" i="6"/>
  <c r="K16" i="3"/>
  <c r="G20" i="6"/>
  <c r="E20" i="6"/>
  <c r="G21" i="6"/>
  <c r="E21"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F15" i="79"/>
  <c r="F17" i="79"/>
  <c r="F18" i="79"/>
  <c r="F20" i="79"/>
  <c r="J1" i="73"/>
  <c r="B22" i="1"/>
  <c r="E1" i="73"/>
  <c r="K1" i="73"/>
  <c r="F23" i="79"/>
  <c r="F21" i="79"/>
  <c r="F28" i="79"/>
  <c r="C28" i="79"/>
  <c r="F33" i="79"/>
  <c r="A10" i="1"/>
  <c r="R10" i="1"/>
  <c r="BM13" i="3"/>
  <c r="BN13" i="3"/>
  <c r="BO13" i="3"/>
  <c r="BP13" i="3"/>
  <c r="BL13" i="3"/>
  <c r="AZ13" i="3"/>
  <c r="BM14" i="3"/>
  <c r="BN14" i="3"/>
  <c r="BO14" i="3"/>
  <c r="BP14" i="3"/>
  <c r="BL14" i="3"/>
  <c r="AZ14" i="3"/>
  <c r="BM15" i="3"/>
  <c r="BN15" i="3"/>
  <c r="BO15" i="3"/>
  <c r="BP15" i="3"/>
  <c r="BL15" i="3"/>
  <c r="AZ15" i="3"/>
  <c r="BM16" i="3"/>
  <c r="BN16" i="3"/>
  <c r="BO16" i="3"/>
  <c r="BP16" i="3"/>
  <c r="BL16" i="3"/>
  <c r="AZ16" i="3"/>
  <c r="AZ5" i="3" s="1"/>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H13" i="3"/>
  <c r="AC13" i="3"/>
  <c r="G13" i="3"/>
  <c r="H14" i="3"/>
  <c r="AC14" i="3"/>
  <c r="G14" i="3"/>
  <c r="H15" i="3"/>
  <c r="AC15" i="3"/>
  <c r="G15" i="3"/>
  <c r="H16" i="3"/>
  <c r="AC16" i="3"/>
  <c r="G16" i="3" s="1"/>
  <c r="G5" i="3" s="1"/>
  <c r="B3" i="3" s="1"/>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L22" i="6"/>
  <c r="B52" i="1"/>
  <c r="F34" i="79"/>
  <c r="AE10" i="1"/>
  <c r="M47" i="79"/>
  <c r="F15" i="4"/>
  <c r="F9" i="1"/>
  <c r="J50" i="79"/>
  <c r="J51" i="79"/>
  <c r="B24" i="1"/>
  <c r="D9" i="1"/>
  <c r="G1" i="80"/>
  <c r="K8" i="1"/>
  <c r="F32" i="80"/>
  <c r="M8" i="1"/>
  <c r="F15" i="80"/>
  <c r="F17" i="80"/>
  <c r="F18" i="80"/>
  <c r="F20" i="80"/>
  <c r="F23" i="80"/>
  <c r="F21" i="80"/>
  <c r="F28" i="80"/>
  <c r="C28" i="80"/>
  <c r="F33" i="80"/>
  <c r="L21" i="6"/>
  <c r="F34" i="80"/>
  <c r="M47" i="80"/>
  <c r="E15" i="4"/>
  <c r="F8" i="1"/>
  <c r="J50" i="80"/>
  <c r="J51" i="80"/>
  <c r="D8" i="1"/>
  <c r="G1" i="78"/>
  <c r="K7" i="1"/>
  <c r="F32" i="78"/>
  <c r="M7" i="1"/>
  <c r="F15" i="78"/>
  <c r="F17" i="78"/>
  <c r="F18" i="78"/>
  <c r="F20" i="78"/>
  <c r="F23" i="78"/>
  <c r="F21" i="78"/>
  <c r="F28" i="78"/>
  <c r="C28" i="78"/>
  <c r="F33" i="78"/>
  <c r="L20" i="6"/>
  <c r="F34" i="78"/>
  <c r="M47" i="78"/>
  <c r="G15" i="4"/>
  <c r="F7" i="1"/>
  <c r="J50" i="78"/>
  <c r="J51" i="78"/>
  <c r="D7" i="1"/>
  <c r="G1" i="15"/>
  <c r="K6" i="1"/>
  <c r="F32" i="15"/>
  <c r="M6" i="1"/>
  <c r="F15" i="15"/>
  <c r="F17" i="15"/>
  <c r="F18" i="15"/>
  <c r="F20" i="15"/>
  <c r="F23" i="15"/>
  <c r="F21" i="15"/>
  <c r="F28" i="15"/>
  <c r="C28" i="15"/>
  <c r="F33" i="15"/>
  <c r="L19" i="6"/>
  <c r="F34" i="15"/>
  <c r="M47" i="15"/>
  <c r="F6" i="1"/>
  <c r="J50" i="15"/>
  <c r="J51" i="15"/>
  <c r="D6" i="1"/>
  <c r="K59" i="80"/>
  <c r="P74" i="80"/>
  <c r="Q72" i="80"/>
  <c r="F60" i="80"/>
  <c r="F61" i="80"/>
  <c r="F62" i="80"/>
  <c r="P61" i="80"/>
  <c r="Q59" i="80"/>
  <c r="F59" i="80"/>
  <c r="Q58" i="80"/>
  <c r="Q51" i="80"/>
  <c r="D46" i="80"/>
  <c r="F31" i="80"/>
  <c r="AG8" i="1"/>
  <c r="M18" i="80"/>
  <c r="M19" i="80"/>
  <c r="M20" i="80"/>
  <c r="D24" i="80"/>
  <c r="D23" i="80"/>
  <c r="D22" i="80"/>
  <c r="M17" i="80"/>
  <c r="K59" i="79"/>
  <c r="P74" i="79"/>
  <c r="Q72" i="79"/>
  <c r="F60" i="79"/>
  <c r="F61" i="79"/>
  <c r="F62" i="79"/>
  <c r="P61" i="79"/>
  <c r="Q59" i="79"/>
  <c r="F59" i="79"/>
  <c r="Q58" i="79"/>
  <c r="Q51" i="79"/>
  <c r="D46" i="79"/>
  <c r="F31" i="79"/>
  <c r="AG9" i="1"/>
  <c r="M18" i="79"/>
  <c r="M19" i="79"/>
  <c r="M20" i="79"/>
  <c r="D24" i="79"/>
  <c r="D23" i="79"/>
  <c r="D22" i="79"/>
  <c r="M17" i="79"/>
  <c r="K59" i="78"/>
  <c r="P74" i="78"/>
  <c r="Q72" i="78"/>
  <c r="F60" i="78"/>
  <c r="F61" i="78"/>
  <c r="F62" i="78"/>
  <c r="P61" i="78"/>
  <c r="Q59" i="78"/>
  <c r="F59" i="78"/>
  <c r="Q58" i="78"/>
  <c r="Q51" i="78"/>
  <c r="D46" i="78"/>
  <c r="F31" i="78"/>
  <c r="AG7" i="1"/>
  <c r="M18" i="78"/>
  <c r="M19" i="78"/>
  <c r="M20" i="78"/>
  <c r="D24" i="78"/>
  <c r="D23" i="78"/>
  <c r="D22" i="78"/>
  <c r="M17" i="78"/>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P23" i="43"/>
  <c r="B71" i="39"/>
  <c r="F7" i="39"/>
  <c r="AA7" i="39"/>
  <c r="R46" i="39"/>
  <c r="G6" i="1"/>
  <c r="G7" i="1"/>
  <c r="G8" i="1"/>
  <c r="G9" i="1"/>
  <c r="D10" i="1"/>
  <c r="F10" i="1"/>
  <c r="G10" i="1"/>
  <c r="D11" i="1"/>
  <c r="F11" i="1"/>
  <c r="G11" i="1"/>
  <c r="D12" i="1"/>
  <c r="F12" i="1"/>
  <c r="G12" i="1"/>
  <c r="D13" i="1"/>
  <c r="F13" i="1"/>
  <c r="G13" i="1"/>
  <c r="K10" i="1"/>
  <c r="A11" i="1"/>
  <c r="K11" i="1"/>
  <c r="A12" i="1"/>
  <c r="K12" i="1"/>
  <c r="A13" i="1"/>
  <c r="K13" i="1"/>
  <c r="M13" i="1" s="1"/>
  <c r="F8" i="39"/>
  <c r="AA8" i="39"/>
  <c r="F9" i="39"/>
  <c r="AA9" i="39"/>
  <c r="D81" i="39"/>
  <c r="E81" i="39"/>
  <c r="B82" i="39"/>
  <c r="F12" i="39"/>
  <c r="AA12" i="39"/>
  <c r="B84" i="39"/>
  <c r="F13" i="39"/>
  <c r="AA13" i="39"/>
  <c r="B86" i="39"/>
  <c r="F14" i="39"/>
  <c r="AA14" i="39"/>
  <c r="D89" i="39"/>
  <c r="F15" i="39"/>
  <c r="AA15" i="39"/>
  <c r="D91" i="39"/>
  <c r="F17" i="39"/>
  <c r="AA17" i="39"/>
  <c r="D93" i="39"/>
  <c r="F19" i="39"/>
  <c r="AA19" i="39"/>
  <c r="D95" i="39"/>
  <c r="F21" i="39"/>
  <c r="AA21" i="39"/>
  <c r="D97" i="39"/>
  <c r="F23" i="39"/>
  <c r="AA23" i="39"/>
  <c r="D99" i="39"/>
  <c r="F25" i="39"/>
  <c r="AA25" i="39"/>
  <c r="D101" i="39"/>
  <c r="F27" i="39"/>
  <c r="AA27" i="39"/>
  <c r="D103" i="39"/>
  <c r="E103" i="39"/>
  <c r="F29" i="39"/>
  <c r="AA29" i="39"/>
  <c r="B104" i="39"/>
  <c r="D105" i="39"/>
  <c r="E105" i="39"/>
  <c r="F31" i="39"/>
  <c r="AA31" i="39"/>
  <c r="F32" i="39"/>
  <c r="AA32" i="39"/>
  <c r="F34" i="39"/>
  <c r="AA34" i="39"/>
  <c r="B110" i="39"/>
  <c r="F35" i="39"/>
  <c r="AA35" i="39"/>
  <c r="B112" i="39"/>
  <c r="F36" i="39"/>
  <c r="AA36" i="39"/>
  <c r="B114" i="39"/>
  <c r="F37" i="39"/>
  <c r="AA37" i="39"/>
  <c r="D120" i="39"/>
  <c r="F39" i="39"/>
  <c r="AA39" i="39"/>
  <c r="D122" i="39"/>
  <c r="F40" i="39"/>
  <c r="AA40" i="39"/>
  <c r="D124" i="39"/>
  <c r="E124" i="39"/>
  <c r="F41" i="39"/>
  <c r="AA41" i="39"/>
  <c r="D126" i="39"/>
  <c r="F42" i="39"/>
  <c r="AA42" i="39"/>
  <c r="B127" i="39"/>
  <c r="F43" i="39"/>
  <c r="AA43" i="39"/>
  <c r="B129" i="39"/>
  <c r="F44" i="39"/>
  <c r="AA44" i="39"/>
  <c r="B131" i="39"/>
  <c r="F45" i="39"/>
  <c r="AA45" i="39"/>
  <c r="T46" i="39"/>
  <c r="H7" i="39"/>
  <c r="AB7" i="39"/>
  <c r="H8" i="39"/>
  <c r="AB8" i="39"/>
  <c r="H9" i="39"/>
  <c r="AB9" i="39"/>
  <c r="H12" i="39"/>
  <c r="AB12" i="39"/>
  <c r="H13" i="39"/>
  <c r="AB13" i="39"/>
  <c r="H14" i="39"/>
  <c r="AB14" i="39"/>
  <c r="H15" i="39"/>
  <c r="AB15" i="39"/>
  <c r="H17" i="39"/>
  <c r="AB17" i="39"/>
  <c r="H19" i="39"/>
  <c r="AB19" i="39"/>
  <c r="H21" i="39"/>
  <c r="AB21" i="39"/>
  <c r="H23" i="39"/>
  <c r="AB23" i="39"/>
  <c r="H25" i="39"/>
  <c r="AB25" i="39"/>
  <c r="H27" i="39"/>
  <c r="AB27" i="39"/>
  <c r="H29" i="39"/>
  <c r="AB29" i="39"/>
  <c r="H31" i="39"/>
  <c r="AB31" i="39"/>
  <c r="H32" i="39"/>
  <c r="AB32" i="39"/>
  <c r="H34" i="39"/>
  <c r="AB34" i="39"/>
  <c r="H35" i="39"/>
  <c r="AB35" i="39"/>
  <c r="H36" i="39"/>
  <c r="AB36" i="39"/>
  <c r="H37" i="39"/>
  <c r="AB37" i="39"/>
  <c r="H39" i="39"/>
  <c r="AB39" i="39"/>
  <c r="H40" i="39"/>
  <c r="AB40" i="39"/>
  <c r="H41" i="39"/>
  <c r="AB41" i="39"/>
  <c r="H42" i="39"/>
  <c r="AB42" i="39"/>
  <c r="H43" i="39"/>
  <c r="AB43" i="39"/>
  <c r="H44" i="39"/>
  <c r="AB44" i="39"/>
  <c r="H45" i="39"/>
  <c r="AB45" i="39"/>
  <c r="V46" i="39"/>
  <c r="J7" i="39"/>
  <c r="AC7" i="39"/>
  <c r="J8" i="39"/>
  <c r="AC8" i="39"/>
  <c r="J9" i="39"/>
  <c r="AC9" i="39"/>
  <c r="J12" i="39"/>
  <c r="AC12" i="39"/>
  <c r="J13" i="39"/>
  <c r="AC13" i="39"/>
  <c r="J14" i="39"/>
  <c r="AC14" i="39"/>
  <c r="J15" i="39"/>
  <c r="AC15" i="39"/>
  <c r="J17" i="39"/>
  <c r="AC17" i="39"/>
  <c r="J19" i="39"/>
  <c r="AC19" i="39"/>
  <c r="J21" i="39"/>
  <c r="AC21" i="39"/>
  <c r="J23" i="39"/>
  <c r="AC23" i="39"/>
  <c r="J25" i="39"/>
  <c r="AC25" i="39"/>
  <c r="J27" i="39"/>
  <c r="AC27" i="39"/>
  <c r="J29" i="39"/>
  <c r="AC29" i="39"/>
  <c r="J31" i="39"/>
  <c r="AC31" i="39"/>
  <c r="J32" i="39"/>
  <c r="AC32" i="39"/>
  <c r="J34" i="39"/>
  <c r="AC34" i="39"/>
  <c r="J35" i="39"/>
  <c r="AC35" i="39"/>
  <c r="J36" i="39"/>
  <c r="AC36" i="39"/>
  <c r="J37" i="39"/>
  <c r="AC37" i="39"/>
  <c r="J39" i="39"/>
  <c r="AC39" i="39"/>
  <c r="J40" i="39"/>
  <c r="AC40" i="39"/>
  <c r="J41" i="39"/>
  <c r="AC41" i="39"/>
  <c r="J42" i="39"/>
  <c r="AC42" i="39"/>
  <c r="J43" i="39"/>
  <c r="AC43" i="39"/>
  <c r="J44" i="39"/>
  <c r="AC44" i="39"/>
  <c r="J45" i="39"/>
  <c r="AC45" i="39"/>
  <c r="BB10" i="3"/>
  <c r="BC10" i="3"/>
  <c r="BD10" i="3"/>
  <c r="BE10" i="3"/>
  <c r="BB5" i="3"/>
  <c r="BF10" i="3"/>
  <c r="BG10" i="3"/>
  <c r="BH10" i="3"/>
  <c r="BI10" i="3"/>
  <c r="BJ10" i="3"/>
  <c r="BK10" i="3"/>
  <c r="BC5" i="3"/>
  <c r="BD5" i="3"/>
  <c r="BE5" i="3"/>
  <c r="BF5" i="3"/>
  <c r="BG5" i="3"/>
  <c r="BH5" i="3"/>
  <c r="BI5" i="3"/>
  <c r="BJ5" i="3"/>
  <c r="BK5" i="3"/>
  <c r="E8" i="6"/>
  <c r="E56" i="39"/>
  <c r="H57" i="39"/>
  <c r="I57" i="39"/>
  <c r="C57" i="39"/>
  <c r="H58" i="39"/>
  <c r="I58" i="39"/>
  <c r="C58" i="39"/>
  <c r="H59" i="39"/>
  <c r="I59" i="39"/>
  <c r="C59" i="39"/>
  <c r="H60" i="39"/>
  <c r="I60" i="39"/>
  <c r="C60" i="39"/>
  <c r="H61" i="39"/>
  <c r="I61" i="39"/>
  <c r="C61" i="39"/>
  <c r="H62" i="39"/>
  <c r="I62" i="39"/>
  <c r="C62" i="39"/>
  <c r="H63" i="39"/>
  <c r="I63" i="39"/>
  <c r="C63" i="39"/>
  <c r="H64" i="39"/>
  <c r="I64" i="39"/>
  <c r="C64" i="39"/>
  <c r="H65" i="39"/>
  <c r="I65" i="39"/>
  <c r="C65" i="39"/>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20" i="43"/>
  <c r="M19" i="43"/>
  <c r="C19" i="43"/>
  <c r="I20" i="43"/>
  <c r="G20" i="43"/>
  <c r="J20" i="43"/>
  <c r="C20" i="43"/>
  <c r="AL5" i="3"/>
  <c r="I5" i="3"/>
  <c r="AD5" i="3"/>
  <c r="AH5" i="3"/>
  <c r="AP5" i="3"/>
  <c r="I4" i="6"/>
  <c r="C11" i="39" s="1"/>
  <c r="C24" i="43"/>
  <c r="D5" i="43"/>
  <c r="G2" i="43"/>
  <c r="F33" i="43"/>
  <c r="C33" i="43"/>
  <c r="E33" i="43"/>
  <c r="G33" i="43"/>
  <c r="H33" i="43"/>
  <c r="I33" i="43"/>
  <c r="F34" i="43"/>
  <c r="C34" i="43"/>
  <c r="F35" i="43"/>
  <c r="C35" i="43"/>
  <c r="F36" i="43"/>
  <c r="C36" i="43"/>
  <c r="G17" i="43"/>
  <c r="H17" i="43"/>
  <c r="I17" i="43"/>
  <c r="J17" i="43"/>
  <c r="C17" i="43"/>
  <c r="C16" i="43"/>
  <c r="C6" i="43"/>
  <c r="C5" i="43"/>
  <c r="F37" i="43"/>
  <c r="C37" i="43"/>
  <c r="F38" i="43"/>
  <c r="C38" i="43"/>
  <c r="F39" i="43"/>
  <c r="C39" i="43"/>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3" i="6"/>
  <c r="L24" i="6"/>
  <c r="L25" i="6"/>
  <c r="L26" i="6"/>
  <c r="P27" i="6"/>
  <c r="A7" i="70"/>
  <c r="A8" i="70"/>
  <c r="A9" i="70"/>
  <c r="A10" i="70"/>
  <c r="E10" i="70"/>
  <c r="A11" i="70"/>
  <c r="E11" i="70"/>
  <c r="A12" i="70"/>
  <c r="E12" i="70"/>
  <c r="A13" i="70"/>
  <c r="E13" i="70"/>
  <c r="A6" i="70"/>
  <c r="Q25" i="40"/>
  <c r="Z25" i="40"/>
  <c r="D94" i="40"/>
  <c r="E94" i="40"/>
  <c r="F25" i="40"/>
  <c r="AA25" i="40"/>
  <c r="Q29" i="39"/>
  <c r="Z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1" i="1"/>
  <c r="AE12" i="1"/>
  <c r="AE13"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I15" i="4"/>
  <c r="H15" i="4"/>
  <c r="D15"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C18" i="43"/>
  <c r="F15" i="43"/>
  <c r="E15" i="43"/>
  <c r="D15" i="43"/>
  <c r="C15" i="43"/>
  <c r="C10" i="43"/>
  <c r="C11" i="43"/>
  <c r="C9" i="43"/>
  <c r="A7" i="43"/>
  <c r="F61" i="15"/>
  <c r="M19" i="15"/>
  <c r="M10" i="1"/>
  <c r="O10" i="1" s="1"/>
  <c r="P10" i="1" s="1"/>
  <c r="B23" i="1"/>
  <c r="D78" i="9"/>
  <c r="D24" i="15"/>
  <c r="O8" i="1"/>
  <c r="P8" i="1"/>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F124" i="39"/>
  <c r="G124" i="39"/>
  <c r="H124" i="39"/>
  <c r="I124" i="39"/>
  <c r="J124" i="39"/>
  <c r="K124" i="39"/>
  <c r="L124" i="39"/>
  <c r="M124" i="39"/>
  <c r="E120" i="39"/>
  <c r="F120" i="39"/>
  <c r="G120" i="39"/>
  <c r="H120" i="39"/>
  <c r="I120" i="39"/>
  <c r="J120" i="39"/>
  <c r="K120" i="39"/>
  <c r="L120" i="39"/>
  <c r="M120" i="39"/>
  <c r="D109" i="39"/>
  <c r="D107" i="39"/>
  <c r="E107" i="39"/>
  <c r="F105" i="39"/>
  <c r="G105" i="39"/>
  <c r="H105" i="39"/>
  <c r="I105" i="39"/>
  <c r="J105" i="39"/>
  <c r="K105" i="39"/>
  <c r="L105" i="39"/>
  <c r="M105" i="39"/>
  <c r="E99" i="39"/>
  <c r="F99" i="39"/>
  <c r="G99" i="39"/>
  <c r="Q39" i="39"/>
  <c r="Z39" i="39"/>
  <c r="Q40" i="39"/>
  <c r="Z40" i="39"/>
  <c r="Q41" i="39"/>
  <c r="Z41" i="39"/>
  <c r="Q42" i="39"/>
  <c r="Z42" i="39"/>
  <c r="Q43" i="39"/>
  <c r="Z43" i="39"/>
  <c r="Q44" i="39"/>
  <c r="Z44" i="39"/>
  <c r="Q45" i="39"/>
  <c r="Z45" i="39"/>
  <c r="Q38" i="39"/>
  <c r="Z38" i="39"/>
  <c r="Q36" i="39"/>
  <c r="Z36" i="39"/>
  <c r="Q37" i="39"/>
  <c r="Z37" i="39"/>
  <c r="E126" i="39"/>
  <c r="F126" i="39"/>
  <c r="G126" i="39"/>
  <c r="H126" i="39"/>
  <c r="I126" i="39"/>
  <c r="J126" i="39"/>
  <c r="K126" i="39"/>
  <c r="L126" i="39"/>
  <c r="M126" i="39"/>
  <c r="E122" i="39"/>
  <c r="F122" i="39"/>
  <c r="G122" i="39"/>
  <c r="H122" i="39"/>
  <c r="I122" i="39"/>
  <c r="J122" i="39"/>
  <c r="K122" i="39"/>
  <c r="L122" i="39"/>
  <c r="M122" i="39"/>
  <c r="E95" i="39"/>
  <c r="F95" i="39"/>
  <c r="E93" i="39"/>
  <c r="F93" i="39"/>
  <c r="G93" i="39"/>
  <c r="E91" i="39"/>
  <c r="F91" i="39"/>
  <c r="G91" i="39"/>
  <c r="E89" i="39"/>
  <c r="F89" i="39"/>
  <c r="G89" i="39"/>
  <c r="M79" i="39"/>
  <c r="L79" i="39"/>
  <c r="K79" i="39"/>
  <c r="J79" i="39"/>
  <c r="I79" i="39"/>
  <c r="H79" i="39"/>
  <c r="G79" i="39"/>
  <c r="F79" i="39"/>
  <c r="E79" i="39"/>
  <c r="D79" i="39"/>
  <c r="C79" i="39"/>
  <c r="P48" i="39"/>
  <c r="P47"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S45" i="39"/>
  <c r="W45" i="39"/>
  <c r="S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4" i="39"/>
  <c r="U34" i="39"/>
  <c r="E109" i="39"/>
  <c r="E101" i="39"/>
  <c r="J23" i="40"/>
  <c r="AC23" i="40"/>
  <c r="F21" i="40"/>
  <c r="AA21" i="40"/>
  <c r="J21" i="40"/>
  <c r="W21" i="40"/>
  <c r="F109" i="39"/>
  <c r="G109" i="39"/>
  <c r="H109" i="39"/>
  <c r="I109" i="39"/>
  <c r="J109" i="39"/>
  <c r="K109" i="39"/>
  <c r="L109" i="39"/>
  <c r="M109" i="39"/>
  <c r="F101" i="39"/>
  <c r="U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W41"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W43" i="39"/>
  <c r="U45" i="39"/>
  <c r="U44" i="39"/>
  <c r="G101" i="39"/>
  <c r="W37" i="39"/>
  <c r="U15" i="39"/>
  <c r="W15" i="39"/>
  <c r="W27" i="39"/>
  <c r="U40" i="39"/>
  <c r="S42" i="39"/>
  <c r="W14" i="39"/>
  <c r="W9" i="39"/>
  <c r="W8" i="39"/>
  <c r="J19" i="40"/>
  <c r="AC19" i="40"/>
  <c r="J50" i="40"/>
  <c r="B54" i="72"/>
  <c r="H103" i="9"/>
  <c r="D8" i="53"/>
  <c r="B16" i="53"/>
  <c r="B33" i="72"/>
  <c r="C7" i="37"/>
  <c r="C7" i="34"/>
  <c r="C7" i="36"/>
  <c r="W35" i="40"/>
  <c r="A118" i="9"/>
  <c r="A4" i="52"/>
  <c r="B41" i="72"/>
  <c r="A12" i="52"/>
  <c r="B56" i="72"/>
  <c r="G4" i="4"/>
  <c r="I4" i="4"/>
  <c r="K5" i="4"/>
  <c r="B47" i="48"/>
  <c r="A2" i="9"/>
  <c r="N2" i="43"/>
  <c r="F59" i="43"/>
  <c r="BO5" i="3"/>
  <c r="BM5" i="3"/>
  <c r="F29" i="6"/>
  <c r="AC5" i="3"/>
  <c r="BP5" i="3"/>
  <c r="BN5" i="3"/>
  <c r="F27" i="6"/>
  <c r="U36" i="40"/>
  <c r="N4" i="43"/>
  <c r="F81" i="43"/>
  <c r="H83" i="43"/>
  <c r="H113" i="43"/>
  <c r="F48" i="43"/>
  <c r="H52" i="43"/>
  <c r="N7" i="43"/>
  <c r="F70" i="43"/>
  <c r="H73" i="43"/>
  <c r="M6" i="43"/>
  <c r="M11" i="43"/>
  <c r="E17" i="43"/>
  <c r="U17" i="39"/>
  <c r="S14" i="35"/>
  <c r="U43" i="21"/>
  <c r="U35" i="21"/>
  <c r="AC35" i="21"/>
  <c r="U10" i="2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C40" i="11"/>
  <c r="H75" i="43"/>
  <c r="H74" i="43"/>
  <c r="H50" i="43"/>
  <c r="H49" i="43"/>
  <c r="H48" i="43"/>
  <c r="H27" i="36"/>
  <c r="U27" i="36"/>
  <c r="F27" i="36"/>
  <c r="AA27" i="36"/>
  <c r="H33" i="34"/>
  <c r="U33" i="34"/>
  <c r="F32" i="37"/>
  <c r="AA32" i="37"/>
  <c r="G96" i="37"/>
  <c r="H96" i="37"/>
  <c r="I96" i="37"/>
  <c r="J96" i="37"/>
  <c r="K96" i="37"/>
  <c r="L96" i="37"/>
  <c r="M96" i="37"/>
  <c r="F20" i="36"/>
  <c r="AA20" i="36"/>
  <c r="J33" i="34"/>
  <c r="AC33" i="34"/>
  <c r="U23" i="39"/>
  <c r="C13" i="12"/>
  <c r="H86" i="43"/>
  <c r="H82" i="43"/>
  <c r="H87" i="43"/>
  <c r="O9" i="1"/>
  <c r="P9" i="1"/>
  <c r="D93" i="9"/>
  <c r="G29" i="6"/>
  <c r="E29" i="6"/>
  <c r="AC26" i="33"/>
  <c r="W26" i="33"/>
  <c r="W27" i="34"/>
  <c r="AC27" i="34"/>
  <c r="AB34" i="36"/>
  <c r="U34" i="36"/>
  <c r="AB33" i="36"/>
  <c r="U33" i="36"/>
  <c r="W12" i="39"/>
  <c r="AC39" i="40"/>
  <c r="W39" i="40"/>
  <c r="W12" i="33"/>
  <c r="AC12" i="33"/>
  <c r="AA32" i="36"/>
  <c r="S32" i="36"/>
  <c r="AA39" i="34"/>
  <c r="U30" i="33"/>
  <c r="AC13" i="34"/>
  <c r="AA47" i="34"/>
  <c r="W28" i="37"/>
  <c r="S19" i="39"/>
  <c r="F12" i="33"/>
  <c r="F39" i="40"/>
  <c r="S12" i="1"/>
  <c r="AQ12" i="1" s="1"/>
  <c r="R12" i="1"/>
  <c r="B12" i="1"/>
  <c r="E12" i="1"/>
  <c r="S10" i="1"/>
  <c r="AQ10" i="1" s="1"/>
  <c r="B10" i="1"/>
  <c r="E10" i="1"/>
  <c r="D1" i="66"/>
  <c r="E10" i="66"/>
  <c r="M12" i="1"/>
  <c r="O12" i="1" s="1"/>
  <c r="P12" i="1" s="1"/>
  <c r="S13" i="1"/>
  <c r="AR13" i="1" s="1"/>
  <c r="R13" i="1"/>
  <c r="S11" i="1"/>
  <c r="R11"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U31" i="39"/>
  <c r="S25"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62" i="15"/>
  <c r="E10" i="6"/>
  <c r="J56" i="9"/>
  <c r="J57" i="9"/>
  <c r="A24" i="51"/>
  <c r="B18" i="72"/>
  <c r="U29" i="34"/>
  <c r="E5" i="6"/>
  <c r="E32" i="6"/>
  <c r="G1" i="68"/>
  <c r="K1" i="12"/>
  <c r="F30" i="6"/>
  <c r="F31" i="6" s="1"/>
  <c r="AR12" i="1"/>
  <c r="T12" i="1"/>
  <c r="T10" i="1"/>
  <c r="E19" i="69"/>
  <c r="E19" i="68"/>
  <c r="E19" i="11"/>
  <c r="G41" i="69"/>
  <c r="G22" i="69"/>
  <c r="G41" i="68"/>
  <c r="G22" i="68"/>
  <c r="G27" i="12"/>
  <c r="G26" i="12"/>
  <c r="G41" i="11"/>
  <c r="G22" i="11"/>
  <c r="G25" i="12"/>
  <c r="C100" i="43"/>
  <c r="E11" i="43"/>
  <c r="E10" i="43"/>
  <c r="E9" i="43"/>
  <c r="E8" i="43"/>
  <c r="C7" i="43"/>
  <c r="E81" i="43"/>
  <c r="B79" i="43"/>
  <c r="E48" i="43"/>
  <c r="B46" i="43"/>
  <c r="E70" i="43"/>
  <c r="B68" i="43"/>
  <c r="F100" i="43"/>
  <c r="D9" i="53"/>
  <c r="B25" i="72"/>
  <c r="B24" i="72"/>
  <c r="H85" i="43"/>
  <c r="H81" i="43"/>
  <c r="H84" i="43"/>
  <c r="H88" i="43"/>
  <c r="H53" i="43"/>
  <c r="H54" i="43"/>
  <c r="H78" i="43"/>
  <c r="H70" i="43"/>
  <c r="H71" i="43"/>
  <c r="M7" i="43"/>
  <c r="N6" i="43"/>
  <c r="M2" i="43"/>
  <c r="M10" i="43"/>
  <c r="N3" i="43"/>
  <c r="N11" i="43"/>
  <c r="M9" i="43"/>
  <c r="N12" i="43"/>
  <c r="N5" i="43"/>
  <c r="M5" i="43"/>
  <c r="M12" i="43"/>
  <c r="M4" i="43"/>
  <c r="B19" i="53"/>
  <c r="B37" i="72"/>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51" i="40"/>
  <c r="B6" i="1"/>
  <c r="E6" i="1"/>
  <c r="M11" i="1"/>
  <c r="O11" i="1" s="1"/>
  <c r="P11" i="1" s="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S13" i="39"/>
  <c r="S14" i="39"/>
  <c r="U43" i="39"/>
  <c r="S27" i="39"/>
  <c r="W17" i="39"/>
  <c r="W31" i="39"/>
  <c r="S23"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C4" i="4" s="1"/>
  <c r="B16" i="49"/>
  <c r="B14" i="49"/>
  <c r="E7" i="49"/>
  <c r="E22" i="49"/>
  <c r="D23" i="15"/>
  <c r="D22" i="15"/>
  <c r="E6" i="49"/>
  <c r="B5" i="49"/>
  <c r="B13" i="49"/>
  <c r="E4" i="4" s="1"/>
  <c r="B5" i="62" s="1"/>
  <c r="B73" i="72" s="1"/>
  <c r="B9" i="49"/>
  <c r="E16" i="49"/>
  <c r="B11" i="49"/>
  <c r="E8" i="49"/>
  <c r="E21" i="49"/>
  <c r="E10" i="49"/>
  <c r="E9" i="49"/>
  <c r="E5" i="49"/>
  <c r="B6" i="49"/>
  <c r="B4" i="49"/>
  <c r="B8" i="49"/>
  <c r="E4" i="49"/>
  <c r="E11" i="49"/>
  <c r="J53" i="67"/>
  <c r="AQ13" i="1"/>
  <c r="O6" i="1"/>
  <c r="P6" i="1"/>
  <c r="F30" i="68"/>
  <c r="C30" i="68"/>
  <c r="F30" i="11"/>
  <c r="C48" i="11"/>
  <c r="F28" i="67"/>
  <c r="C28" i="67"/>
  <c r="F31" i="12"/>
  <c r="F52" i="9"/>
  <c r="C31" i="12"/>
  <c r="M18" i="67"/>
  <c r="F32" i="67"/>
  <c r="F60" i="67"/>
  <c r="F30" i="69"/>
  <c r="C48" i="69"/>
  <c r="F60" i="15"/>
  <c r="M18" i="15"/>
  <c r="D9" i="69"/>
  <c r="C9" i="69" s="1"/>
  <c r="K15"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C30" i="69"/>
  <c r="C24" i="12"/>
  <c r="AA39" i="40"/>
  <c r="S39" i="40"/>
  <c r="S12" i="33"/>
  <c r="AA12" i="3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L27" i="6"/>
  <c r="AP7" i="1"/>
  <c r="O7" i="1"/>
  <c r="P7" i="1" s="1"/>
  <c r="Q16" i="1"/>
  <c r="F27" i="69" s="1"/>
  <c r="C47" i="69" s="1"/>
  <c r="D45" i="69" s="1"/>
  <c r="H16" i="1"/>
  <c r="AB45" i="21"/>
  <c r="AC33" i="21"/>
  <c r="W33" i="21"/>
  <c r="S33" i="21"/>
  <c r="AA33" i="21"/>
  <c r="W32" i="21"/>
  <c r="AC32" i="21"/>
  <c r="AB9" i="21"/>
  <c r="U9" i="21"/>
  <c r="AA32" i="21"/>
  <c r="S32" i="21"/>
  <c r="W9" i="21"/>
  <c r="AC9" i="21"/>
  <c r="AB32" i="21"/>
  <c r="U32" i="21"/>
  <c r="AA10" i="21"/>
  <c r="S10" i="21"/>
  <c r="F31" i="15"/>
  <c r="M17" i="15"/>
  <c r="F59" i="67"/>
  <c r="F59" i="15"/>
  <c r="F31" i="67"/>
  <c r="M17" i="67"/>
  <c r="C30" i="11"/>
  <c r="A18" i="62"/>
  <c r="B64" i="72"/>
  <c r="E36" i="4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G38" i="43"/>
  <c r="I38" i="43"/>
  <c r="T11" i="43"/>
  <c r="V11" i="43"/>
  <c r="T16" i="43"/>
  <c r="V16" i="43"/>
  <c r="T14" i="43"/>
  <c r="V14" i="43"/>
  <c r="T12" i="43"/>
  <c r="V12" i="43"/>
  <c r="T9" i="43"/>
  <c r="V9" i="43"/>
  <c r="T8" i="43"/>
  <c r="V8" i="43"/>
  <c r="T15" i="43"/>
  <c r="V15" i="43"/>
  <c r="T13" i="43"/>
  <c r="V13" i="43"/>
  <c r="T10" i="43"/>
  <c r="V10" i="43"/>
  <c r="E39" i="43"/>
  <c r="G37"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F27" i="11"/>
  <c r="F1" i="67"/>
  <c r="Q52" i="67"/>
  <c r="E37" i="43"/>
  <c r="AA7" i="36"/>
  <c r="R36" i="36"/>
  <c r="E36" i="36"/>
  <c r="E40" i="36"/>
  <c r="F40" i="36"/>
  <c r="AC11" i="37"/>
  <c r="W11" i="37"/>
  <c r="AB7" i="37"/>
  <c r="T42" i="37"/>
  <c r="G42" i="37"/>
  <c r="G46" i="37"/>
  <c r="H46" i="37"/>
  <c r="W11" i="34"/>
  <c r="AC11" i="34"/>
  <c r="AB7" i="36"/>
  <c r="T36" i="36"/>
  <c r="E38" i="43"/>
  <c r="G35" i="43"/>
  <c r="I35" i="43"/>
  <c r="E35"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F50" i="11"/>
  <c r="F50" i="69"/>
  <c r="F50" i="68"/>
  <c r="C47" i="11"/>
  <c r="D45" i="11" s="1"/>
  <c r="C29" i="11"/>
  <c r="D27" i="11" s="1"/>
  <c r="G36" i="36"/>
  <c r="R37" i="36"/>
  <c r="AB7" i="34"/>
  <c r="T49" i="34"/>
  <c r="G49" i="34"/>
  <c r="G53" i="34"/>
  <c r="H53" i="34"/>
  <c r="W7" i="21"/>
  <c r="AA7" i="21"/>
  <c r="R48" i="21"/>
  <c r="E48" i="21"/>
  <c r="E52" i="21"/>
  <c r="F52" i="21"/>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R49" i="21"/>
  <c r="C48" i="21"/>
  <c r="G54" i="34"/>
  <c r="H54" i="34"/>
  <c r="I53" i="21"/>
  <c r="J53" i="21"/>
  <c r="C37" i="36"/>
  <c r="C36" i="36"/>
  <c r="G40" i="36"/>
  <c r="H40" i="36"/>
  <c r="E41" i="36"/>
  <c r="F41" i="36"/>
  <c r="G41" i="36"/>
  <c r="H41" i="36"/>
  <c r="C19"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C49" i="21"/>
  <c r="I63" i="40"/>
  <c r="H65" i="40"/>
  <c r="J63" i="40"/>
  <c r="I65" i="40"/>
  <c r="K63" i="40"/>
  <c r="J65" i="40"/>
  <c r="L63" i="40"/>
  <c r="K65" i="40"/>
  <c r="M63" i="40"/>
  <c r="L65" i="40"/>
  <c r="N63" i="40"/>
  <c r="M65" i="40"/>
  <c r="O63" i="40"/>
  <c r="O65" i="40"/>
  <c r="N65" i="40"/>
  <c r="F7" i="40"/>
  <c r="H7" i="40"/>
  <c r="J7" i="40"/>
  <c r="W7" i="40"/>
  <c r="AC7" i="40"/>
  <c r="V42" i="40"/>
  <c r="I42" i="40" s="1"/>
  <c r="I46" i="40" s="1"/>
  <c r="J46" i="40" s="1"/>
  <c r="AB7" i="40"/>
  <c r="T42" i="40"/>
  <c r="G42" i="40" s="1"/>
  <c r="U7" i="40"/>
  <c r="AA7" i="40"/>
  <c r="R42" i="40"/>
  <c r="R43" i="40" s="1"/>
  <c r="S7" i="40"/>
  <c r="AG6" i="1"/>
  <c r="H109" i="9"/>
  <c r="H110" i="9"/>
  <c r="D18" i="53" s="1"/>
  <c r="B35" i="72" s="1"/>
  <c r="D124" i="9"/>
  <c r="D16" i="53"/>
  <c r="B34" i="72"/>
  <c r="D10" i="52"/>
  <c r="H14" i="74"/>
  <c r="D17" i="53"/>
  <c r="B36" i="72"/>
  <c r="D125" i="9"/>
  <c r="D11" i="52"/>
  <c r="B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S7" i="39"/>
  <c r="W7" i="39"/>
  <c r="U7" i="39"/>
  <c r="H112" i="9"/>
  <c r="D21" i="53"/>
  <c r="B39" i="72"/>
  <c r="H111" i="9"/>
  <c r="D126" i="9"/>
  <c r="D19" i="53"/>
  <c r="D59" i="9"/>
  <c r="M55" i="9"/>
  <c r="B38" i="72"/>
  <c r="D20" i="53"/>
  <c r="B40" i="72"/>
  <c r="I14" i="74"/>
  <c r="B8" i="74"/>
  <c r="D127" i="9"/>
  <c r="D13" i="52"/>
  <c r="D12" i="52"/>
  <c r="P21" i="43"/>
  <c r="P22" i="43"/>
  <c r="P24" i="43"/>
  <c r="B66" i="40"/>
  <c r="P25" i="43"/>
  <c r="E11" i="6"/>
  <c r="E61" i="39"/>
  <c r="E12" i="6"/>
  <c r="E62" i="39"/>
  <c r="E13" i="6"/>
  <c r="E63" i="39"/>
  <c r="E14" i="6"/>
  <c r="E64" i="39"/>
  <c r="E15" i="6"/>
  <c r="E65" i="39"/>
  <c r="E56" i="40"/>
  <c r="E59" i="40"/>
  <c r="E58" i="40"/>
  <c r="E57" i="40"/>
  <c r="E60" i="40"/>
  <c r="E66" i="39"/>
  <c r="E16" i="6"/>
  <c r="AC6" i="3" l="1"/>
  <c r="E6" i="3" s="1"/>
  <c r="D9" i="68"/>
  <c r="C9" i="68" s="1"/>
  <c r="D9" i="11"/>
  <c r="C9" i="11" s="1"/>
  <c r="AQ11" i="1"/>
  <c r="T11" i="1"/>
  <c r="AR11" i="1"/>
  <c r="C36" i="69"/>
  <c r="T13" i="1"/>
  <c r="AR10" i="1"/>
  <c r="G3" i="43"/>
  <c r="G16" i="1"/>
  <c r="C42" i="40"/>
  <c r="C43" i="40"/>
  <c r="G47" i="40"/>
  <c r="H47" i="40" s="1"/>
  <c r="G46" i="40"/>
  <c r="H46" i="40" s="1"/>
  <c r="E42" i="40"/>
  <c r="I47" i="40" s="1"/>
  <c r="J47" i="40" s="1"/>
  <c r="F27" i="68"/>
  <c r="C47" i="68" s="1"/>
  <c r="D45" i="68" s="1"/>
  <c r="F28" i="12"/>
  <c r="C29" i="12" s="1"/>
  <c r="D28" i="12" s="1"/>
  <c r="F11" i="39"/>
  <c r="H11" i="39"/>
  <c r="J11" i="39"/>
  <c r="O13" i="1"/>
  <c r="P13" i="1" s="1"/>
  <c r="H10" i="39"/>
  <c r="F10" i="39"/>
  <c r="AY6" i="3"/>
  <c r="E3" i="6"/>
  <c r="E28" i="6"/>
  <c r="G30" i="6"/>
  <c r="G31" i="6" s="1"/>
  <c r="D19" i="12"/>
  <c r="C19" i="12" s="1"/>
  <c r="C29" i="69"/>
  <c r="D27" i="69" s="1"/>
  <c r="B4" i="62"/>
  <c r="B71" i="72" s="1"/>
  <c r="K4" i="4"/>
  <c r="B46" i="48" s="1"/>
  <c r="B4" i="72" s="1"/>
  <c r="F8" i="79"/>
  <c r="F16" i="79"/>
  <c r="F26" i="79"/>
  <c r="F13" i="79"/>
  <c r="F38" i="79"/>
  <c r="L48" i="79"/>
  <c r="M9" i="79"/>
  <c r="L47" i="79"/>
  <c r="F7" i="80"/>
  <c r="F40" i="80"/>
  <c r="M6" i="80"/>
  <c r="F9" i="78"/>
  <c r="F43" i="78"/>
  <c r="F13" i="78"/>
  <c r="F38" i="78"/>
  <c r="F6" i="79"/>
  <c r="F4" i="73"/>
  <c r="M6" i="79"/>
  <c r="F13" i="80"/>
  <c r="F42" i="80"/>
  <c r="C76" i="80"/>
  <c r="F7" i="78"/>
  <c r="F40" i="78"/>
  <c r="M8" i="78"/>
  <c r="F6" i="80"/>
  <c r="F16" i="80"/>
  <c r="F37" i="80"/>
  <c r="L47" i="80"/>
  <c r="F6" i="15"/>
  <c r="F16" i="15"/>
  <c r="F36" i="15"/>
  <c r="F37" i="15"/>
  <c r="F42" i="15"/>
  <c r="M6" i="15"/>
  <c r="F8" i="15"/>
  <c r="F26" i="15"/>
  <c r="M8" i="15"/>
  <c r="M29" i="80"/>
  <c r="M22" i="80"/>
  <c r="M23" i="80"/>
  <c r="M28" i="79"/>
  <c r="M29" i="78"/>
  <c r="M22" i="78"/>
  <c r="M23" i="78"/>
  <c r="E7" i="76"/>
  <c r="E11" i="76"/>
  <c r="B12" i="76"/>
  <c r="B9" i="76"/>
  <c r="D6" i="73"/>
  <c r="AO13" i="1"/>
  <c r="L47" i="78"/>
  <c r="C76" i="15"/>
  <c r="M27" i="80"/>
  <c r="M26" i="79"/>
  <c r="J15" i="79"/>
  <c r="M24" i="79"/>
  <c r="M27" i="78"/>
  <c r="E10" i="76"/>
  <c r="B8" i="76"/>
  <c r="B13" i="76"/>
  <c r="F7" i="73"/>
  <c r="F6" i="73"/>
  <c r="D4" i="73"/>
  <c r="AO10" i="1"/>
  <c r="M24" i="67"/>
  <c r="F8" i="67"/>
  <c r="M28" i="15"/>
  <c r="M9" i="67"/>
  <c r="F16" i="67"/>
  <c r="F37" i="67"/>
  <c r="M26" i="15"/>
  <c r="M29" i="15"/>
  <c r="F35" i="67"/>
  <c r="M27" i="15"/>
  <c r="D2" i="36"/>
  <c r="D2" i="33"/>
  <c r="D2" i="21"/>
  <c r="C76" i="67"/>
  <c r="M22" i="15"/>
  <c r="F13" i="67"/>
  <c r="L48" i="67"/>
  <c r="J15" i="67"/>
  <c r="F38" i="67"/>
  <c r="M28" i="67"/>
  <c r="M8" i="67"/>
  <c r="M21" i="67"/>
  <c r="D2" i="37"/>
  <c r="F7" i="79"/>
  <c r="F36" i="79"/>
  <c r="F37" i="79"/>
  <c r="F42" i="79"/>
  <c r="M8" i="79"/>
  <c r="C76" i="79"/>
  <c r="F26" i="80"/>
  <c r="L48" i="80"/>
  <c r="F6" i="78"/>
  <c r="F36" i="78"/>
  <c r="F37" i="78"/>
  <c r="F9" i="79"/>
  <c r="D5" i="73"/>
  <c r="G1" i="73" s="1"/>
  <c r="F43" i="80"/>
  <c r="M9" i="80"/>
  <c r="F26" i="78"/>
  <c r="M9" i="78"/>
  <c r="F9" i="80"/>
  <c r="M8" i="80"/>
  <c r="F9" i="15"/>
  <c r="F13" i="15"/>
  <c r="L48" i="15"/>
  <c r="F7" i="15"/>
  <c r="L47" i="15"/>
  <c r="M26" i="80"/>
  <c r="M24" i="80"/>
  <c r="M26" i="78"/>
  <c r="M24" i="78"/>
  <c r="E13" i="76"/>
  <c r="B10" i="76"/>
  <c r="D3" i="73"/>
  <c r="AO12" i="1"/>
  <c r="M28" i="80"/>
  <c r="M22" i="79"/>
  <c r="M28" i="78"/>
  <c r="E12" i="76"/>
  <c r="B7" i="76"/>
  <c r="F3" i="73"/>
  <c r="M24" i="15"/>
  <c r="F43" i="79"/>
  <c r="F8" i="80"/>
  <c r="F16" i="78"/>
  <c r="F42" i="78"/>
  <c r="F40" i="79"/>
  <c r="F38" i="80"/>
  <c r="F8" i="78"/>
  <c r="L48" i="78"/>
  <c r="F36" i="80"/>
  <c r="M6" i="78"/>
  <c r="F43" i="15"/>
  <c r="F38" i="15"/>
  <c r="C76" i="78"/>
  <c r="F40" i="15"/>
  <c r="J15" i="80"/>
  <c r="M27" i="79"/>
  <c r="J15" i="78"/>
  <c r="E9" i="76"/>
  <c r="D7" i="73"/>
  <c r="M9" i="15"/>
  <c r="M29" i="79"/>
  <c r="M23" i="79"/>
  <c r="E8" i="76"/>
  <c r="B11" i="76"/>
  <c r="F5" i="73"/>
  <c r="AO11" i="1"/>
  <c r="M23" i="15"/>
  <c r="J15" i="15"/>
  <c r="F26" i="67"/>
  <c r="M22" i="67"/>
  <c r="F9" i="67"/>
  <c r="M27" i="67"/>
  <c r="F20" i="31"/>
  <c r="D2" i="34"/>
  <c r="M26" i="67"/>
  <c r="F43" i="67"/>
  <c r="F40" i="67"/>
  <c r="F42" i="67"/>
  <c r="E2" i="68"/>
  <c r="F7" i="67"/>
  <c r="L47" i="67"/>
  <c r="F41" i="67"/>
  <c r="M6" i="67"/>
  <c r="F36" i="67"/>
  <c r="M23" i="67"/>
  <c r="E2" i="69"/>
  <c r="D2" i="35"/>
  <c r="F6" i="67"/>
  <c r="M29" i="67"/>
  <c r="C6" i="67" l="1"/>
  <c r="B2" i="35"/>
  <c r="B3" i="35" s="1"/>
  <c r="F64" i="67"/>
  <c r="F69" i="67"/>
  <c r="N59" i="67"/>
  <c r="L59" i="67"/>
  <c r="L58" i="67"/>
  <c r="M59" i="67"/>
  <c r="F50" i="67"/>
  <c r="M7" i="67"/>
  <c r="J6" i="67" s="1"/>
  <c r="F70" i="67"/>
  <c r="F68" i="67"/>
  <c r="F71" i="67"/>
  <c r="B20" i="31"/>
  <c r="C27" i="67"/>
  <c r="B11" i="70"/>
  <c r="F68" i="15"/>
  <c r="Q71" i="78"/>
  <c r="F66" i="15"/>
  <c r="F71" i="15"/>
  <c r="F64" i="80"/>
  <c r="J53" i="78"/>
  <c r="I54" i="78"/>
  <c r="L60" i="78"/>
  <c r="J57" i="78"/>
  <c r="J55" i="78" s="1"/>
  <c r="J58" i="78" s="1"/>
  <c r="Q50" i="78" s="1"/>
  <c r="L57" i="78"/>
  <c r="L56" i="78"/>
  <c r="F51" i="78"/>
  <c r="F66" i="80"/>
  <c r="F68" i="79"/>
  <c r="F51" i="80"/>
  <c r="F71" i="79"/>
  <c r="B12" i="70"/>
  <c r="M59" i="15"/>
  <c r="L59" i="15" s="1"/>
  <c r="L58" i="15"/>
  <c r="N59" i="15"/>
  <c r="M7" i="15"/>
  <c r="F50" i="15"/>
  <c r="L57" i="15"/>
  <c r="J53" i="15"/>
  <c r="L56" i="15"/>
  <c r="J57" i="15"/>
  <c r="J55" i="15" s="1"/>
  <c r="J58" i="15" s="1"/>
  <c r="Q50" i="15" s="1"/>
  <c r="L60" i="15"/>
  <c r="I54" i="15"/>
  <c r="C27" i="78"/>
  <c r="F71" i="80"/>
  <c r="B40" i="1"/>
  <c r="F65" i="78"/>
  <c r="F64" i="78"/>
  <c r="C6" i="78"/>
  <c r="J53" i="80"/>
  <c r="L60" i="80"/>
  <c r="L56" i="80"/>
  <c r="J57" i="80"/>
  <c r="J55" i="80" s="1"/>
  <c r="J58" i="80" s="1"/>
  <c r="Q50" i="80" s="1"/>
  <c r="L57" i="80"/>
  <c r="I54" i="80"/>
  <c r="C27" i="80"/>
  <c r="Q71" i="79"/>
  <c r="F65" i="79"/>
  <c r="F64" i="79"/>
  <c r="F50" i="79"/>
  <c r="M7" i="79"/>
  <c r="J6" i="79" s="1"/>
  <c r="J20" i="67"/>
  <c r="F66" i="67"/>
  <c r="I54" i="67"/>
  <c r="L56" i="67"/>
  <c r="J57" i="67"/>
  <c r="J55" i="67" s="1"/>
  <c r="J58" i="67" s="1"/>
  <c r="Q50" i="67" s="1"/>
  <c r="Q71" i="67"/>
  <c r="B2" i="36"/>
  <c r="B3" i="36" s="1"/>
  <c r="F63" i="67"/>
  <c r="C62" i="67" s="1"/>
  <c r="C34" i="67"/>
  <c r="F65" i="67"/>
  <c r="F51" i="67"/>
  <c r="B10" i="70"/>
  <c r="E20" i="43"/>
  <c r="Q71" i="15"/>
  <c r="L58" i="78"/>
  <c r="N59" i="78"/>
  <c r="M59" i="78"/>
  <c r="L59" i="78" s="1"/>
  <c r="B13" i="70"/>
  <c r="C27" i="15"/>
  <c r="F51" i="15"/>
  <c r="J6" i="15"/>
  <c r="F65" i="15"/>
  <c r="F64" i="15"/>
  <c r="C6" i="15"/>
  <c r="L58" i="80"/>
  <c r="N59" i="80"/>
  <c r="M59" i="80"/>
  <c r="L59" i="80" s="1"/>
  <c r="F65" i="80"/>
  <c r="C6" i="80"/>
  <c r="F68" i="78"/>
  <c r="M7" i="78"/>
  <c r="J6" i="78" s="1"/>
  <c r="F50" i="78"/>
  <c r="Q71" i="80"/>
  <c r="I1" i="73"/>
  <c r="B39" i="1" s="1"/>
  <c r="C6" i="79"/>
  <c r="F66" i="78"/>
  <c r="F71" i="78"/>
  <c r="F68" i="80"/>
  <c r="F50" i="80"/>
  <c r="M7" i="80"/>
  <c r="J6" i="80" s="1"/>
  <c r="M59" i="79"/>
  <c r="L59" i="79" s="1"/>
  <c r="N59" i="79"/>
  <c r="L58" i="79"/>
  <c r="J53" i="79"/>
  <c r="L60" i="79"/>
  <c r="L56" i="79"/>
  <c r="L57" i="79"/>
  <c r="J57" i="79"/>
  <c r="J55" i="79" s="1"/>
  <c r="J58" i="79" s="1"/>
  <c r="Q50" i="79" s="1"/>
  <c r="I54" i="79"/>
  <c r="F66" i="79"/>
  <c r="C27" i="79"/>
  <c r="F51" i="79"/>
  <c r="F10" i="40"/>
  <c r="H10" i="40"/>
  <c r="J10" i="40"/>
  <c r="C29" i="68"/>
  <c r="D27" i="68" s="1"/>
  <c r="J10" i="39"/>
  <c r="B113" i="43"/>
  <c r="G101" i="43"/>
  <c r="J101" i="43"/>
  <c r="F22" i="43"/>
  <c r="K101" i="43"/>
  <c r="F101" i="43"/>
  <c r="N101" i="43"/>
  <c r="E22" i="43"/>
  <c r="C101" i="43"/>
  <c r="N104" i="46"/>
  <c r="L101" i="43"/>
  <c r="H101" i="43"/>
  <c r="M101" i="43"/>
  <c r="E101" i="43"/>
  <c r="S2" i="43"/>
  <c r="T2" i="43" s="1"/>
  <c r="V2" i="43" s="1"/>
  <c r="AJ11" i="43"/>
  <c r="AJ13" i="43" s="1"/>
  <c r="AF11" i="43"/>
  <c r="AF13" i="43" s="1"/>
  <c r="AB11" i="43"/>
  <c r="AB13" i="43" s="1"/>
  <c r="Z7" i="43"/>
  <c r="AI11" i="43"/>
  <c r="AI13" i="43" s="1"/>
  <c r="AE11" i="43"/>
  <c r="AE13" i="43" s="1"/>
  <c r="AA11" i="43"/>
  <c r="AA13" i="43" s="1"/>
  <c r="S6" i="43"/>
  <c r="T6" i="43" s="1"/>
  <c r="V6" i="43" s="1"/>
  <c r="S3" i="43"/>
  <c r="T3" i="43" s="1"/>
  <c r="V3" i="43" s="1"/>
  <c r="J22" i="43"/>
  <c r="H22" i="43"/>
  <c r="D101" i="43"/>
  <c r="G22" i="43"/>
  <c r="AD11" i="43"/>
  <c r="AD13" i="43" s="1"/>
  <c r="S5" i="43"/>
  <c r="T5" i="43" s="1"/>
  <c r="V5" i="43" s="1"/>
  <c r="AC11" i="43"/>
  <c r="AC13" i="43" s="1"/>
  <c r="S4" i="43"/>
  <c r="T4" i="43" s="1"/>
  <c r="V4" i="43" s="1"/>
  <c r="C23" i="43"/>
  <c r="C21" i="43" s="1"/>
  <c r="I101" i="43"/>
  <c r="AH11" i="43"/>
  <c r="AH13" i="43" s="1"/>
  <c r="Z11" i="43"/>
  <c r="Z13" i="43" s="1"/>
  <c r="AG11" i="43"/>
  <c r="AG13" i="43" s="1"/>
  <c r="Y11" i="43"/>
  <c r="Y13" i="43" s="1"/>
  <c r="S7" i="43"/>
  <c r="T7" i="43" s="1"/>
  <c r="V7" i="43" s="1"/>
  <c r="C49" i="67"/>
  <c r="M18" i="9"/>
  <c r="B118" i="9" s="1"/>
  <c r="B14" i="74" s="1"/>
  <c r="B1" i="74" s="1"/>
  <c r="D14" i="12"/>
  <c r="D3" i="34"/>
  <c r="B2" i="34" s="1"/>
  <c r="B3" i="34" s="1"/>
  <c r="D3" i="33"/>
  <c r="B2" i="33" s="1"/>
  <c r="B3" i="33" s="1"/>
  <c r="E6" i="6"/>
  <c r="C17" i="4"/>
  <c r="B4" i="52" s="1"/>
  <c r="B43" i="72" s="1"/>
  <c r="L18" i="9"/>
  <c r="D3" i="21"/>
  <c r="B2" i="21" s="1"/>
  <c r="B3" i="21" s="1"/>
  <c r="D19" i="11"/>
  <c r="C19" i="11" s="1"/>
  <c r="D3" i="37"/>
  <c r="B2" i="37" s="1"/>
  <c r="B3" i="37" s="1"/>
  <c r="D37" i="11"/>
  <c r="AA10" i="39"/>
  <c r="S10" i="39"/>
  <c r="AB10" i="39"/>
  <c r="U10" i="39"/>
  <c r="AB11" i="39"/>
  <c r="U11" i="39"/>
  <c r="E47" i="40"/>
  <c r="F47" i="40" s="1"/>
  <c r="E46" i="40"/>
  <c r="F46" i="40" s="1"/>
  <c r="K22" i="6"/>
  <c r="K21" i="6"/>
  <c r="K20" i="6"/>
  <c r="K19" i="6"/>
  <c r="K26" i="6"/>
  <c r="M26" i="6" s="1"/>
  <c r="I26" i="6" s="1"/>
  <c r="S26" i="6" s="1"/>
  <c r="K25" i="6"/>
  <c r="M25" i="6" s="1"/>
  <c r="I25" i="6" s="1"/>
  <c r="S25" i="6" s="1"/>
  <c r="K23" i="6"/>
  <c r="M23" i="6" s="1"/>
  <c r="I23" i="6" s="1"/>
  <c r="S23" i="6" s="1"/>
  <c r="E30" i="6"/>
  <c r="E31" i="6" s="1"/>
  <c r="K24" i="6"/>
  <c r="M24" i="6" s="1"/>
  <c r="I24" i="6" s="1"/>
  <c r="S24" i="6" s="1"/>
  <c r="K14" i="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9" i="3"/>
  <c r="AY104" i="3"/>
  <c r="AY73" i="3"/>
  <c r="AY41" i="3"/>
  <c r="AY56" i="3"/>
  <c r="AY24" i="3"/>
  <c r="AY202" i="3"/>
  <c r="AY197" i="3"/>
  <c r="AY166" i="3"/>
  <c r="AY177" i="3"/>
  <c r="AY145" i="3"/>
  <c r="AY114" i="3"/>
  <c r="AY295" i="3"/>
  <c r="AY290" i="3"/>
  <c r="AY259" i="3"/>
  <c r="AY274" i="3"/>
  <c r="AY242" i="3"/>
  <c r="AY210" i="3"/>
  <c r="AY388" i="3"/>
  <c r="AY377" i="3"/>
  <c r="AY353" i="3"/>
  <c r="AY349"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00" i="3"/>
  <c r="AY413" i="3"/>
  <c r="AY521" i="3"/>
  <c r="AY15" i="3"/>
  <c r="AY566" i="3"/>
  <c r="AY583" i="3"/>
  <c r="BT6" i="3"/>
  <c r="AY567"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16" i="3"/>
  <c r="AY429" i="3"/>
  <c r="AY550" i="3"/>
  <c r="BD6" i="3"/>
  <c r="BC6" i="3"/>
  <c r="AY511" i="3"/>
  <c r="AY504" i="3"/>
  <c r="AY586" i="3"/>
  <c r="AY498" i="3"/>
  <c r="AC10" i="39"/>
  <c r="W10" i="39"/>
  <c r="AC11" i="39"/>
  <c r="W11" i="39"/>
  <c r="AA11" i="39"/>
  <c r="S11" i="39"/>
  <c r="B53" i="40"/>
  <c r="F53" i="40" s="1"/>
  <c r="B57" i="40"/>
  <c r="F57" i="40" s="1"/>
  <c r="B58" i="40"/>
  <c r="F58" i="40" s="1"/>
  <c r="B52" i="40"/>
  <c r="F52" i="40" s="1"/>
  <c r="B56" i="40"/>
  <c r="F56" i="40" s="1"/>
  <c r="B55" i="40"/>
  <c r="F55" i="40" s="1"/>
  <c r="B60" i="40"/>
  <c r="F60" i="40" s="1"/>
  <c r="B59" i="40"/>
  <c r="F59" i="40" s="1"/>
  <c r="B51" i="40"/>
  <c r="F51" i="40" s="1"/>
  <c r="B54" i="40"/>
  <c r="F54" i="40" s="1"/>
  <c r="C49" i="78"/>
  <c r="C49" i="79"/>
  <c r="C49" i="80"/>
  <c r="Q57" i="80"/>
  <c r="Q66" i="80"/>
  <c r="F1" i="79"/>
  <c r="Q52" i="79"/>
  <c r="Q74" i="79"/>
  <c r="Q61" i="79"/>
  <c r="F1" i="80"/>
  <c r="Q52" i="80"/>
  <c r="F11" i="79"/>
  <c r="C53" i="79" s="1"/>
  <c r="C48" i="79" s="1"/>
  <c r="M11" i="79"/>
  <c r="J10" i="79" s="1"/>
  <c r="J5" i="79" s="1"/>
  <c r="F11" i="78"/>
  <c r="F11" i="80"/>
  <c r="M11" i="78"/>
  <c r="J10" i="78" s="1"/>
  <c r="J5" i="78" s="1"/>
  <c r="M11" i="80"/>
  <c r="J10" i="80" s="1"/>
  <c r="J5" i="80" s="1"/>
  <c r="F11" i="15"/>
  <c r="C53" i="15" s="1"/>
  <c r="M11" i="15"/>
  <c r="M11" i="67"/>
  <c r="J10" i="67" s="1"/>
  <c r="J5" i="67" s="1"/>
  <c r="F11" i="67"/>
  <c r="F24" i="78"/>
  <c r="C24" i="78" s="1"/>
  <c r="F24" i="79"/>
  <c r="C24" i="79" s="1"/>
  <c r="F24" i="80"/>
  <c r="C24" i="80" s="1"/>
  <c r="F24" i="15"/>
  <c r="C24" i="15" s="1"/>
  <c r="F22" i="68"/>
  <c r="F25" i="12"/>
  <c r="C26" i="12" s="1"/>
  <c r="D25" i="12" s="1"/>
  <c r="F22" i="69"/>
  <c r="F22" i="11"/>
  <c r="F24" i="67"/>
  <c r="C24" i="67" s="1"/>
  <c r="Q57" i="78"/>
  <c r="Q66" i="78"/>
  <c r="F1" i="78"/>
  <c r="Q52" i="78"/>
  <c r="Q74" i="80"/>
  <c r="Q61" i="80"/>
  <c r="F1" i="15"/>
  <c r="Q52" i="15"/>
  <c r="J10" i="15"/>
  <c r="J5" i="15" s="1"/>
  <c r="C49" i="15"/>
  <c r="C48" i="15" s="1"/>
  <c r="Q73" i="15"/>
  <c r="Q60" i="15"/>
  <c r="Q61" i="78"/>
  <c r="Q74" i="78"/>
  <c r="O17" i="43"/>
  <c r="M17" i="43"/>
  <c r="P17" i="43"/>
  <c r="N17" i="43"/>
  <c r="Q74" i="67"/>
  <c r="Q61" i="67"/>
  <c r="Q66" i="79"/>
  <c r="Q57" i="79"/>
  <c r="Q73" i="79"/>
  <c r="Q60" i="79"/>
  <c r="Q73" i="80"/>
  <c r="Q60" i="80"/>
  <c r="Q66" i="15"/>
  <c r="Q57" i="15"/>
  <c r="Q74" i="15"/>
  <c r="Q61" i="15"/>
  <c r="Q73" i="78"/>
  <c r="Q60" i="78"/>
  <c r="Q60" i="67"/>
  <c r="Q73" i="67"/>
  <c r="C17" i="67"/>
  <c r="C14" i="67"/>
  <c r="AE6" i="1"/>
  <c r="C16" i="67"/>
  <c r="C16" i="78"/>
  <c r="C16" i="15"/>
  <c r="C16" i="80"/>
  <c r="C16" i="79"/>
  <c r="AE9" i="1"/>
  <c r="AE7" i="1"/>
  <c r="AE8" i="1"/>
  <c r="C18" i="67" l="1"/>
  <c r="C15" i="67"/>
  <c r="I109" i="43"/>
  <c r="I107" i="43"/>
  <c r="I102" i="43"/>
  <c r="I106" i="43"/>
  <c r="I103" i="43"/>
  <c r="I105" i="43"/>
  <c r="I104" i="43"/>
  <c r="C29" i="43"/>
  <c r="D109" i="43"/>
  <c r="D106" i="43"/>
  <c r="D104" i="43"/>
  <c r="D105" i="43"/>
  <c r="D102" i="43"/>
  <c r="D107" i="43"/>
  <c r="D103" i="43"/>
  <c r="M109" i="43"/>
  <c r="M103" i="43"/>
  <c r="M107" i="43"/>
  <c r="M102" i="43"/>
  <c r="M105" i="43"/>
  <c r="M104" i="43"/>
  <c r="M106" i="43"/>
  <c r="L102" i="43"/>
  <c r="L104" i="43"/>
  <c r="L105" i="43"/>
  <c r="L106" i="43"/>
  <c r="L103" i="43"/>
  <c r="L109" i="43"/>
  <c r="L107" i="43"/>
  <c r="C104" i="43"/>
  <c r="C106" i="43"/>
  <c r="C107" i="43"/>
  <c r="C103" i="43"/>
  <c r="C102" i="43"/>
  <c r="C109" i="43"/>
  <c r="C105" i="43"/>
  <c r="N102" i="43"/>
  <c r="N105" i="43"/>
  <c r="N104" i="43"/>
  <c r="N106" i="43"/>
  <c r="N107" i="43"/>
  <c r="N109" i="43"/>
  <c r="N103" i="43"/>
  <c r="K103" i="43"/>
  <c r="K102" i="43"/>
  <c r="K106" i="43"/>
  <c r="K104" i="43"/>
  <c r="K109" i="43"/>
  <c r="K107" i="43"/>
  <c r="K105" i="43"/>
  <c r="J104" i="43"/>
  <c r="J107" i="43"/>
  <c r="J102" i="43"/>
  <c r="J105" i="43"/>
  <c r="J106" i="43"/>
  <c r="J109" i="43"/>
  <c r="J103" i="43"/>
  <c r="B115" i="43"/>
  <c r="D117" i="43"/>
  <c r="E117" i="43" s="1"/>
  <c r="F117" i="43" s="1"/>
  <c r="G117" i="43" s="1"/>
  <c r="H117" i="43" s="1"/>
  <c r="I115" i="43"/>
  <c r="J115" i="43" s="1"/>
  <c r="K115" i="43" s="1"/>
  <c r="L115" i="43" s="1"/>
  <c r="M115"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I118" i="43"/>
  <c r="J118" i="43" s="1"/>
  <c r="K118" i="43" s="1"/>
  <c r="L118" i="43" s="1"/>
  <c r="M118" i="43" s="1"/>
  <c r="D116" i="43"/>
  <c r="E116" i="43" s="1"/>
  <c r="F116" i="43" s="1"/>
  <c r="G116" i="43" s="1"/>
  <c r="H116" i="43" s="1"/>
  <c r="U10" i="40"/>
  <c r="AB10" i="40"/>
  <c r="D22" i="43"/>
  <c r="E103" i="43"/>
  <c r="E104" i="43"/>
  <c r="E107" i="43"/>
  <c r="E109" i="43"/>
  <c r="E102" i="43"/>
  <c r="E105" i="43"/>
  <c r="E106" i="43"/>
  <c r="H102" i="43"/>
  <c r="H103" i="43"/>
  <c r="H106" i="43"/>
  <c r="H104" i="43"/>
  <c r="H107" i="43"/>
  <c r="H105" i="43"/>
  <c r="H109" i="43"/>
  <c r="F104" i="43"/>
  <c r="F102" i="43"/>
  <c r="F105" i="43"/>
  <c r="F107" i="43"/>
  <c r="F109" i="43"/>
  <c r="F106" i="43"/>
  <c r="F103" i="43"/>
  <c r="G105" i="43"/>
  <c r="G102" i="43"/>
  <c r="G107" i="43"/>
  <c r="G104" i="43"/>
  <c r="G109" i="43"/>
  <c r="G106" i="43"/>
  <c r="G103" i="43"/>
  <c r="W10" i="40"/>
  <c r="AC10" i="40"/>
  <c r="AA10" i="40"/>
  <c r="S10" i="40"/>
  <c r="C38" i="39"/>
  <c r="D22" i="6"/>
  <c r="D21" i="6"/>
  <c r="D20" i="6"/>
  <c r="D19" i="6"/>
  <c r="M19" i="9"/>
  <c r="C118" i="9" s="1"/>
  <c r="C14" i="74" s="1"/>
  <c r="B2" i="74" s="1"/>
  <c r="D26" i="6"/>
  <c r="D8" i="6"/>
  <c r="D24" i="6"/>
  <c r="D6" i="6"/>
  <c r="D10" i="6"/>
  <c r="E61" i="40"/>
  <c r="F61" i="40" s="1"/>
  <c r="B2" i="40" s="1"/>
  <c r="B3" i="40" s="1"/>
  <c r="H26" i="6"/>
  <c r="D11" i="6"/>
  <c r="D15" i="6"/>
  <c r="D25" i="6"/>
  <c r="R25" i="6" s="1"/>
  <c r="C18" i="4"/>
  <c r="D23" i="6"/>
  <c r="D5" i="6"/>
  <c r="D9" i="6"/>
  <c r="L19" i="9"/>
  <c r="D29" i="6"/>
  <c r="H25" i="6"/>
  <c r="H23" i="6"/>
  <c r="H24" i="6"/>
  <c r="D12" i="6"/>
  <c r="D14" i="6"/>
  <c r="D28" i="6"/>
  <c r="D30" i="6" s="1"/>
  <c r="D13" i="6"/>
  <c r="S7" i="1"/>
  <c r="M20" i="6"/>
  <c r="I20" i="6" s="1"/>
  <c r="S20" i="6" s="1"/>
  <c r="M22" i="6"/>
  <c r="I22" i="6" s="1"/>
  <c r="S22" i="6" s="1"/>
  <c r="S9" i="1"/>
  <c r="C20" i="11"/>
  <c r="C28" i="11" s="1"/>
  <c r="C27" i="11" s="1"/>
  <c r="D10" i="68"/>
  <c r="D20" i="12"/>
  <c r="C20" i="12" s="1"/>
  <c r="C18" i="12" s="1"/>
  <c r="D10" i="69"/>
  <c r="D10" i="11"/>
  <c r="C10" i="11" s="1"/>
  <c r="C7" i="74"/>
  <c r="C8" i="74"/>
  <c r="M14" i="1"/>
  <c r="K16" i="1"/>
  <c r="C34" i="69"/>
  <c r="S6" i="1"/>
  <c r="M19" i="6"/>
  <c r="K27" i="6"/>
  <c r="S8" i="1"/>
  <c r="M21" i="6"/>
  <c r="I21" i="6" s="1"/>
  <c r="S21" i="6" s="1"/>
  <c r="D17" i="12"/>
  <c r="C17" i="12" s="1"/>
  <c r="C10" i="79"/>
  <c r="C5" i="79" s="1"/>
  <c r="C32" i="79" s="1"/>
  <c r="C10" i="15"/>
  <c r="C5" i="15" s="1"/>
  <c r="C38" i="15" s="1"/>
  <c r="C19" i="67"/>
  <c r="C20" i="67" s="1"/>
  <c r="J26" i="15"/>
  <c r="J24" i="15"/>
  <c r="J18" i="15"/>
  <c r="J26" i="80"/>
  <c r="J18" i="80"/>
  <c r="J24" i="80"/>
  <c r="J26" i="79"/>
  <c r="J24" i="79"/>
  <c r="J18" i="79"/>
  <c r="J26" i="78"/>
  <c r="J18" i="78"/>
  <c r="J24" i="78"/>
  <c r="J24" i="67"/>
  <c r="J18" i="67"/>
  <c r="J26" i="67"/>
  <c r="J29" i="67" s="1"/>
  <c r="C60" i="79"/>
  <c r="C66" i="79"/>
  <c r="C26" i="69"/>
  <c r="D22" i="69" s="1"/>
  <c r="C44" i="69"/>
  <c r="D41" i="69" s="1"/>
  <c r="C24" i="68"/>
  <c r="C26" i="68"/>
  <c r="D22" i="68" s="1"/>
  <c r="C44" i="68"/>
  <c r="D41" i="68" s="1"/>
  <c r="C10" i="78"/>
  <c r="C5" i="78" s="1"/>
  <c r="C53" i="78"/>
  <c r="C48" i="78" s="1"/>
  <c r="C60" i="15"/>
  <c r="C66" i="15"/>
  <c r="C26" i="11"/>
  <c r="D22" i="11" s="1"/>
  <c r="C24" i="11"/>
  <c r="C25" i="11"/>
  <c r="C44" i="11"/>
  <c r="D41" i="11" s="1"/>
  <c r="C23" i="11"/>
  <c r="C10" i="67"/>
  <c r="C5" i="67" s="1"/>
  <c r="C53" i="67"/>
  <c r="C48" i="67" s="1"/>
  <c r="C10" i="80"/>
  <c r="C5" i="80" s="1"/>
  <c r="C53" i="80"/>
  <c r="C48" i="80" s="1"/>
  <c r="F41" i="80"/>
  <c r="F41" i="79"/>
  <c r="C17" i="78"/>
  <c r="F41" i="78"/>
  <c r="F41" i="15"/>
  <c r="C17" i="79"/>
  <c r="C17" i="80"/>
  <c r="C17" i="15"/>
  <c r="C38" i="79" l="1"/>
  <c r="F69" i="15"/>
  <c r="F69" i="78"/>
  <c r="F69" i="79"/>
  <c r="F69" i="80"/>
  <c r="J29" i="78"/>
  <c r="J29" i="79"/>
  <c r="J29" i="15"/>
  <c r="J29" i="80"/>
  <c r="C22" i="11"/>
  <c r="C115" i="43"/>
  <c r="D113" i="43"/>
  <c r="C30" i="43"/>
  <c r="E30" i="43" s="1"/>
  <c r="C27" i="43" s="1"/>
  <c r="E29" i="43"/>
  <c r="C26" i="43" s="1"/>
  <c r="T6" i="1"/>
  <c r="AQ6" i="1"/>
  <c r="AR6" i="1"/>
  <c r="E6" i="70"/>
  <c r="S16" i="1"/>
  <c r="T8" i="1"/>
  <c r="E8" i="70"/>
  <c r="AR8" i="1"/>
  <c r="AQ8" i="1"/>
  <c r="I19" i="6"/>
  <c r="M27" i="6"/>
  <c r="T7" i="1"/>
  <c r="E7" i="70"/>
  <c r="AQ7" i="1"/>
  <c r="AR7" i="1"/>
  <c r="A7" i="51"/>
  <c r="B7" i="72" s="1"/>
  <c r="C4" i="52"/>
  <c r="B45" i="72" s="1"/>
  <c r="A10" i="51"/>
  <c r="B9" i="72" s="1"/>
  <c r="R24" i="6"/>
  <c r="R26" i="6"/>
  <c r="H20" i="6"/>
  <c r="R20" i="6" s="1"/>
  <c r="R7" i="1" s="1"/>
  <c r="H21" i="6"/>
  <c r="H22" i="6"/>
  <c r="R22" i="6" s="1"/>
  <c r="R9" i="1" s="1"/>
  <c r="F38" i="39"/>
  <c r="H38" i="39"/>
  <c r="J38" i="39"/>
  <c r="C38" i="69"/>
  <c r="C35" i="69"/>
  <c r="O14" i="1"/>
  <c r="O16" i="1" s="1"/>
  <c r="M16" i="1"/>
  <c r="T16" i="1"/>
  <c r="D19" i="69"/>
  <c r="C10" i="69"/>
  <c r="C8" i="69" s="1"/>
  <c r="C5" i="69" s="1"/>
  <c r="D19" i="68"/>
  <c r="D37" i="68" s="1"/>
  <c r="C10" i="68"/>
  <c r="T9" i="1"/>
  <c r="E9" i="70"/>
  <c r="AR9" i="1"/>
  <c r="AQ9" i="1"/>
  <c r="R23" i="6"/>
  <c r="D16" i="6"/>
  <c r="D7" i="74"/>
  <c r="D8" i="74"/>
  <c r="D27" i="6"/>
  <c r="D31" i="6" s="1"/>
  <c r="R21" i="6"/>
  <c r="R8" i="1" s="1"/>
  <c r="C32" i="15"/>
  <c r="C23" i="67"/>
  <c r="C60" i="80"/>
  <c r="C66" i="80"/>
  <c r="C60" i="67"/>
  <c r="C66" i="67"/>
  <c r="C26" i="67"/>
  <c r="C38" i="80"/>
  <c r="C32" i="80"/>
  <c r="C38" i="67"/>
  <c r="C32" i="67"/>
  <c r="C31" i="11"/>
  <c r="C32" i="78"/>
  <c r="C38" i="78"/>
  <c r="C60" i="78"/>
  <c r="C66" i="78"/>
  <c r="E6" i="76"/>
  <c r="C14" i="80"/>
  <c r="C14" i="79"/>
  <c r="F35" i="80"/>
  <c r="F35" i="79"/>
  <c r="F35" i="78"/>
  <c r="C14" i="15"/>
  <c r="C14" i="78"/>
  <c r="M21" i="79"/>
  <c r="M21" i="78"/>
  <c r="M21" i="80"/>
  <c r="E2" i="76" l="1"/>
  <c r="B2" i="43"/>
  <c r="C34" i="78"/>
  <c r="F63" i="78"/>
  <c r="C62" i="78" s="1"/>
  <c r="J20" i="78"/>
  <c r="F63" i="79"/>
  <c r="C62" i="79" s="1"/>
  <c r="C34" i="79"/>
  <c r="J20" i="79"/>
  <c r="C34" i="80"/>
  <c r="F63" i="80"/>
  <c r="C62" i="80" s="1"/>
  <c r="J20" i="80"/>
  <c r="C15" i="79"/>
  <c r="C18" i="79"/>
  <c r="C19" i="79" s="1"/>
  <c r="C15" i="78"/>
  <c r="C18" i="78"/>
  <c r="C19" i="78" s="1"/>
  <c r="C18" i="80"/>
  <c r="C15" i="80"/>
  <c r="C15" i="15"/>
  <c r="C18" i="15"/>
  <c r="I6" i="6"/>
  <c r="I5" i="6"/>
  <c r="C23" i="69"/>
  <c r="D37" i="69"/>
  <c r="C37" i="69" s="1"/>
  <c r="C33" i="69" s="1"/>
  <c r="C19" i="69"/>
  <c r="N16" i="1"/>
  <c r="L16" i="1"/>
  <c r="P14" i="1"/>
  <c r="P16" i="1" s="1"/>
  <c r="C11" i="12" s="1"/>
  <c r="AC38" i="39"/>
  <c r="V47" i="39" s="1"/>
  <c r="I47" i="39" s="1"/>
  <c r="W38" i="39"/>
  <c r="AA38" i="39"/>
  <c r="R47" i="39" s="1"/>
  <c r="S38" i="39"/>
  <c r="I27" i="6"/>
  <c r="S19" i="6"/>
  <c r="S27" i="6" s="1"/>
  <c r="H19" i="6"/>
  <c r="E2" i="70"/>
  <c r="AB38" i="39"/>
  <c r="T47" i="39" s="1"/>
  <c r="G47" i="39" s="1"/>
  <c r="U38" i="39"/>
  <c r="C29" i="67"/>
  <c r="J19" i="67" s="1"/>
  <c r="J17" i="67" s="1"/>
  <c r="B6" i="76"/>
  <c r="C19" i="15" l="1"/>
  <c r="C20" i="15" s="1"/>
  <c r="C26" i="15" s="1"/>
  <c r="B2" i="76"/>
  <c r="B3" i="76" s="1"/>
  <c r="C19" i="80"/>
  <c r="B3" i="43"/>
  <c r="C39" i="69"/>
  <c r="C43" i="69" s="1"/>
  <c r="C42" i="69"/>
  <c r="C20" i="79"/>
  <c r="C23" i="79" s="1"/>
  <c r="H27" i="6"/>
  <c r="R19" i="6"/>
  <c r="G51" i="39"/>
  <c r="H51" i="39" s="1"/>
  <c r="G52" i="39"/>
  <c r="H52" i="39" s="1"/>
  <c r="C12" i="12"/>
  <c r="C15" i="12"/>
  <c r="F34" i="68"/>
  <c r="F11" i="12"/>
  <c r="F34" i="11"/>
  <c r="R48" i="39"/>
  <c r="E47" i="39"/>
  <c r="I51" i="39"/>
  <c r="J51" i="39" s="1"/>
  <c r="I52" i="39"/>
  <c r="J52" i="39" s="1"/>
  <c r="C20" i="69"/>
  <c r="C25" i="69" s="1"/>
  <c r="C24" i="69"/>
  <c r="C28" i="69"/>
  <c r="C27" i="69" s="1"/>
  <c r="C20" i="78"/>
  <c r="C26" i="78" s="1"/>
  <c r="C57" i="67"/>
  <c r="C61" i="67" s="1"/>
  <c r="C59" i="67" s="1"/>
  <c r="C13" i="67"/>
  <c r="C37" i="67" s="1"/>
  <c r="J14" i="67"/>
  <c r="J22" i="67" s="1"/>
  <c r="C36" i="67"/>
  <c r="J59" i="67"/>
  <c r="J60" i="67" s="1"/>
  <c r="Q48" i="67" s="1"/>
  <c r="Q49" i="67"/>
  <c r="C33" i="67"/>
  <c r="C31" i="67" s="1"/>
  <c r="C23" i="15" l="1"/>
  <c r="C29" i="15" s="1"/>
  <c r="C13" i="15" s="1"/>
  <c r="C20" i="80"/>
  <c r="C23" i="80" s="1"/>
  <c r="C41" i="69"/>
  <c r="C64" i="67"/>
  <c r="C23" i="78"/>
  <c r="C29" i="78" s="1"/>
  <c r="C36" i="78" s="1"/>
  <c r="C26" i="79"/>
  <c r="C29" i="79" s="1"/>
  <c r="C36" i="79" s="1"/>
  <c r="C46" i="69"/>
  <c r="C45" i="69" s="1"/>
  <c r="C49" i="69" s="1"/>
  <c r="C51" i="69" s="1"/>
  <c r="Q70" i="67"/>
  <c r="C22" i="69"/>
  <c r="C31" i="69" s="1"/>
  <c r="C34" i="68"/>
  <c r="C36" i="68"/>
  <c r="C37" i="68"/>
  <c r="R6" i="1"/>
  <c r="R27" i="6"/>
  <c r="C33" i="79"/>
  <c r="C31" i="79" s="1"/>
  <c r="Q49" i="79"/>
  <c r="C13" i="79"/>
  <c r="J14" i="79"/>
  <c r="C33" i="78"/>
  <c r="C31" i="78" s="1"/>
  <c r="C48" i="39"/>
  <c r="C47" i="39"/>
  <c r="C34" i="11"/>
  <c r="C36" i="11"/>
  <c r="C37" i="11"/>
  <c r="C56" i="67"/>
  <c r="C65" i="67" s="1"/>
  <c r="J13" i="67"/>
  <c r="J23" i="67" s="1"/>
  <c r="E52" i="39"/>
  <c r="F52" i="39" s="1"/>
  <c r="E51" i="39"/>
  <c r="F51" i="39" s="1"/>
  <c r="C23" i="12"/>
  <c r="C14" i="12"/>
  <c r="C16" i="12" s="1"/>
  <c r="C21" i="12" s="1"/>
  <c r="C30" i="67"/>
  <c r="C39" i="67" s="1"/>
  <c r="Q69" i="67" s="1"/>
  <c r="Q68" i="67" s="1"/>
  <c r="C75" i="67"/>
  <c r="L46" i="67"/>
  <c r="J16" i="67"/>
  <c r="J25" i="67" s="1"/>
  <c r="C58" i="67"/>
  <c r="C67" i="67" s="1"/>
  <c r="C68" i="67" s="1"/>
  <c r="C71" i="67" s="1"/>
  <c r="F35" i="15"/>
  <c r="M21" i="15"/>
  <c r="L51" i="67"/>
  <c r="J59" i="15" l="1"/>
  <c r="J60" i="15" s="1"/>
  <c r="J59" i="78"/>
  <c r="J60" i="78" s="1"/>
  <c r="L46" i="78" s="1"/>
  <c r="C36" i="15"/>
  <c r="C13" i="78"/>
  <c r="Q70" i="78" s="1"/>
  <c r="J14" i="78"/>
  <c r="J14" i="15"/>
  <c r="J13" i="15" s="1"/>
  <c r="J23" i="15" s="1"/>
  <c r="C57" i="15"/>
  <c r="Q49" i="78"/>
  <c r="C57" i="78"/>
  <c r="C64" i="78" s="1"/>
  <c r="J19" i="78"/>
  <c r="J17" i="78" s="1"/>
  <c r="J19" i="15"/>
  <c r="Q49" i="15"/>
  <c r="C33" i="15"/>
  <c r="C26" i="80"/>
  <c r="C29" i="80" s="1"/>
  <c r="C40" i="67"/>
  <c r="C45" i="67" s="1"/>
  <c r="C46" i="67" s="1"/>
  <c r="C80" i="67"/>
  <c r="C79" i="67" s="1"/>
  <c r="J59" i="79"/>
  <c r="J60" i="79" s="1"/>
  <c r="L46" i="79" s="1"/>
  <c r="C57" i="79"/>
  <c r="C61" i="79" s="1"/>
  <c r="C59" i="79" s="1"/>
  <c r="J19" i="79"/>
  <c r="J17" i="79" s="1"/>
  <c r="C52" i="69"/>
  <c r="B2" i="69" s="1"/>
  <c r="B3" i="69" s="1"/>
  <c r="F63" i="15"/>
  <c r="C62" i="15" s="1"/>
  <c r="C34" i="15"/>
  <c r="J20" i="15"/>
  <c r="C22" i="12"/>
  <c r="C30" i="12" s="1"/>
  <c r="C28" i="12" s="1"/>
  <c r="C61" i="78"/>
  <c r="C59" i="78" s="1"/>
  <c r="J22" i="79"/>
  <c r="J13" i="79"/>
  <c r="J23" i="79" s="1"/>
  <c r="C37" i="79"/>
  <c r="C30" i="79" s="1"/>
  <c r="C39" i="79" s="1"/>
  <c r="Q70" i="79"/>
  <c r="C75" i="79"/>
  <c r="C80" i="79" s="1"/>
  <c r="C79" i="79" s="1"/>
  <c r="C56" i="79"/>
  <c r="C65" i="79" s="1"/>
  <c r="R16" i="1"/>
  <c r="Q48" i="15"/>
  <c r="L46" i="15"/>
  <c r="J22" i="15"/>
  <c r="C61" i="15"/>
  <c r="C59" i="15" s="1"/>
  <c r="C64" i="15"/>
  <c r="C35" i="11"/>
  <c r="C33" i="11" s="1"/>
  <c r="C38" i="11"/>
  <c r="B56" i="39"/>
  <c r="F56" i="39" s="1"/>
  <c r="B58" i="39"/>
  <c r="F58" i="39" s="1"/>
  <c r="B60" i="39"/>
  <c r="F60" i="39" s="1"/>
  <c r="B57" i="39"/>
  <c r="F57" i="39" s="1"/>
  <c r="B59" i="39"/>
  <c r="F59" i="39" s="1"/>
  <c r="B61" i="39"/>
  <c r="F61" i="39" s="1"/>
  <c r="B62" i="39"/>
  <c r="F62" i="39" s="1"/>
  <c r="B63" i="39"/>
  <c r="F63" i="39" s="1"/>
  <c r="B64" i="39"/>
  <c r="F64" i="39" s="1"/>
  <c r="B65" i="39"/>
  <c r="F65" i="39" s="1"/>
  <c r="C56" i="78"/>
  <c r="C65" i="78" s="1"/>
  <c r="Q48" i="78"/>
  <c r="J13" i="78"/>
  <c r="J23" i="78" s="1"/>
  <c r="J22" i="78"/>
  <c r="Q48" i="79"/>
  <c r="C35" i="68"/>
  <c r="C38" i="68"/>
  <c r="J17" i="15"/>
  <c r="C37" i="15"/>
  <c r="C75" i="15"/>
  <c r="C56" i="15"/>
  <c r="C65" i="15" s="1"/>
  <c r="Q70" i="15"/>
  <c r="Q67" i="67"/>
  <c r="L57" i="67"/>
  <c r="L60" i="67" s="1"/>
  <c r="Q65" i="67"/>
  <c r="Q56" i="67"/>
  <c r="Q47" i="67"/>
  <c r="Q53" i="67" s="1"/>
  <c r="D2" i="67"/>
  <c r="C43" i="67"/>
  <c r="C83" i="67"/>
  <c r="C82" i="67" s="1"/>
  <c r="L51" i="79"/>
  <c r="C31" i="15" l="1"/>
  <c r="C30" i="15" s="1"/>
  <c r="C39" i="15" s="1"/>
  <c r="C80" i="15" s="1"/>
  <c r="C79" i="15" s="1"/>
  <c r="C75" i="78"/>
  <c r="C37" i="78"/>
  <c r="C30" i="78" s="1"/>
  <c r="C39" i="78" s="1"/>
  <c r="C80" i="78" s="1"/>
  <c r="C79" i="78" s="1"/>
  <c r="C64" i="79"/>
  <c r="J14" i="80"/>
  <c r="C36" i="80"/>
  <c r="C13" i="80"/>
  <c r="C33" i="80"/>
  <c r="C31" i="80" s="1"/>
  <c r="C57" i="80"/>
  <c r="J59" i="80"/>
  <c r="J60" i="80" s="1"/>
  <c r="Q49" i="80"/>
  <c r="J19" i="80"/>
  <c r="J17" i="80" s="1"/>
  <c r="C33" i="68"/>
  <c r="C39" i="68" s="1"/>
  <c r="C27" i="12"/>
  <c r="C25" i="12" s="1"/>
  <c r="C32" i="12" s="1"/>
  <c r="B2" i="12" s="1"/>
  <c r="C57" i="69"/>
  <c r="C56" i="69" s="1"/>
  <c r="C58" i="79"/>
  <c r="C67" i="79" s="1"/>
  <c r="C68" i="79" s="1"/>
  <c r="C71" i="79" s="1"/>
  <c r="J16" i="78"/>
  <c r="J25" i="78" s="1"/>
  <c r="C58" i="15"/>
  <c r="C67" i="15" s="1"/>
  <c r="C68" i="15" s="1"/>
  <c r="C71" i="15" s="1"/>
  <c r="Q67" i="79"/>
  <c r="C39" i="11"/>
  <c r="C43" i="11" s="1"/>
  <c r="C46" i="11"/>
  <c r="C45" i="11" s="1"/>
  <c r="C42" i="11"/>
  <c r="C41" i="11" s="1"/>
  <c r="J16" i="15"/>
  <c r="J25" i="15" s="1"/>
  <c r="Q69" i="78"/>
  <c r="Q68" i="78" s="1"/>
  <c r="F66" i="39"/>
  <c r="Q69" i="79"/>
  <c r="Q68" i="79" s="1"/>
  <c r="C40" i="79"/>
  <c r="J16" i="79"/>
  <c r="J25" i="79" s="1"/>
  <c r="C58" i="78"/>
  <c r="C67" i="78" s="1"/>
  <c r="C68" i="78" s="1"/>
  <c r="B3" i="12"/>
  <c r="B3" i="67"/>
  <c r="B2" i="67"/>
  <c r="Q57" i="67"/>
  <c r="Q66" i="67"/>
  <c r="Q75" i="67" s="1"/>
  <c r="Q62" i="67"/>
  <c r="L51" i="78"/>
  <c r="D20" i="9"/>
  <c r="D19" i="9"/>
  <c r="C40" i="78" l="1"/>
  <c r="C46" i="78" s="1"/>
  <c r="Q67" i="78"/>
  <c r="C42" i="68"/>
  <c r="Q48" i="80"/>
  <c r="L46" i="80"/>
  <c r="C61" i="80"/>
  <c r="C59" i="80" s="1"/>
  <c r="C64" i="80"/>
  <c r="C56" i="80"/>
  <c r="C65" i="80" s="1"/>
  <c r="Q70" i="80"/>
  <c r="C75" i="80"/>
  <c r="C37" i="80"/>
  <c r="C30" i="80" s="1"/>
  <c r="C39" i="80" s="1"/>
  <c r="J22" i="80"/>
  <c r="J13" i="80"/>
  <c r="J23" i="80" s="1"/>
  <c r="D21" i="9"/>
  <c r="D102" i="9"/>
  <c r="D103" i="9"/>
  <c r="Q65" i="79"/>
  <c r="Q75" i="79" s="1"/>
  <c r="B2" i="79"/>
  <c r="Q47" i="79"/>
  <c r="Q53" i="79" s="1"/>
  <c r="C43" i="79"/>
  <c r="Q56" i="79"/>
  <c r="Q62" i="79" s="1"/>
  <c r="C83" i="79"/>
  <c r="C82" i="79" s="1"/>
  <c r="B2" i="39"/>
  <c r="B3" i="39" s="1"/>
  <c r="C6" i="68"/>
  <c r="C46" i="79"/>
  <c r="C46" i="68"/>
  <c r="C45" i="68" s="1"/>
  <c r="C43" i="68"/>
  <c r="C41" i="68" s="1"/>
  <c r="C49" i="11"/>
  <c r="C51" i="11" s="1"/>
  <c r="C71" i="78"/>
  <c r="Q65" i="78"/>
  <c r="Q75" i="78" s="1"/>
  <c r="C83" i="78"/>
  <c r="C82" i="78" s="1"/>
  <c r="C43" i="78"/>
  <c r="Q69" i="15"/>
  <c r="Q68" i="15" s="1"/>
  <c r="C40" i="15"/>
  <c r="L51" i="15"/>
  <c r="AO9" i="1"/>
  <c r="Q47" i="78" l="1"/>
  <c r="Q53" i="78" s="1"/>
  <c r="B2" i="78"/>
  <c r="Q56" i="78"/>
  <c r="Q62" i="78" s="1"/>
  <c r="J16" i="80"/>
  <c r="J25" i="80" s="1"/>
  <c r="C80" i="80"/>
  <c r="C79" i="80" s="1"/>
  <c r="C58" i="80"/>
  <c r="C67" i="80" s="1"/>
  <c r="C68" i="80" s="1"/>
  <c r="C71" i="80" s="1"/>
  <c r="Q67" i="15"/>
  <c r="Q69" i="80"/>
  <c r="Q68" i="80" s="1"/>
  <c r="C40" i="80"/>
  <c r="B9" i="70"/>
  <c r="B2" i="15"/>
  <c r="Q56" i="15"/>
  <c r="Q62" i="15" s="1"/>
  <c r="C43" i="15"/>
  <c r="Q47" i="15"/>
  <c r="Q53" i="15" s="1"/>
  <c r="C83" i="15"/>
  <c r="C82" i="15" s="1"/>
  <c r="C46" i="15"/>
  <c r="Q65" i="15"/>
  <c r="Q75" i="15" s="1"/>
  <c r="B3" i="78"/>
  <c r="C49" i="68"/>
  <c r="C51" i="68" s="1"/>
  <c r="C7" i="68"/>
  <c r="C5" i="68" s="1"/>
  <c r="B3" i="79"/>
  <c r="C52" i="11"/>
  <c r="B2" i="11" s="1"/>
  <c r="B3" i="11" s="1"/>
  <c r="AO7" i="1"/>
  <c r="AO6" i="1"/>
  <c r="L51" i="80"/>
  <c r="B7" i="70" l="1"/>
  <c r="Q67" i="80"/>
  <c r="C43" i="80"/>
  <c r="Q65" i="80"/>
  <c r="Q75" i="80" s="1"/>
  <c r="C83" i="80"/>
  <c r="C82" i="80" s="1"/>
  <c r="B2" i="80"/>
  <c r="Q47" i="80"/>
  <c r="Q53" i="80" s="1"/>
  <c r="Q56" i="80"/>
  <c r="Q62" i="80" s="1"/>
  <c r="C46" i="80"/>
  <c r="C56" i="11"/>
  <c r="C57" i="11" s="1"/>
  <c r="B6" i="70"/>
  <c r="C20" i="68"/>
  <c r="C25" i="68" s="1"/>
  <c r="C23" i="68"/>
  <c r="B3" i="15"/>
  <c r="AO8" i="1"/>
  <c r="B8" i="70" l="1"/>
  <c r="B3" i="80"/>
  <c r="B2" i="70"/>
  <c r="B3" i="70" s="1"/>
  <c r="C22" i="68"/>
  <c r="C28" i="68"/>
  <c r="C27" i="68" s="1"/>
  <c r="C31" i="68" l="1"/>
  <c r="C52" i="68" s="1"/>
  <c r="B2" i="68" s="1"/>
  <c r="C19" i="9"/>
  <c r="C57" i="68" l="1"/>
  <c r="C56" i="68" s="1"/>
  <c r="C21" i="9"/>
  <c r="C102" i="9"/>
  <c r="G19" i="9"/>
  <c r="D22" i="9"/>
  <c r="B3" i="68"/>
  <c r="D35" i="9"/>
  <c r="D34" i="9"/>
  <c r="C20" i="9"/>
  <c r="G20" i="9" l="1"/>
  <c r="C103" i="9"/>
  <c r="G21" i="9"/>
  <c r="C32" i="9"/>
  <c r="H118" i="9" l="1"/>
  <c r="C35" i="9"/>
  <c r="F118" i="9" s="1"/>
  <c r="C34" i="9"/>
  <c r="D118" i="9" s="1"/>
  <c r="D4" i="52" l="1"/>
  <c r="B47" i="72" s="1"/>
  <c r="D119" i="9"/>
  <c r="D5" i="52" s="1"/>
  <c r="B49" i="72" s="1"/>
  <c r="H101" i="9"/>
  <c r="I118" i="9"/>
  <c r="H4" i="52"/>
  <c r="C104" i="9"/>
  <c r="D14" i="74"/>
  <c r="H119" i="9"/>
  <c r="H5" i="52" s="1"/>
  <c r="F119" i="9"/>
  <c r="F5" i="52" s="1"/>
  <c r="B53" i="72" s="1"/>
  <c r="G118" i="9"/>
  <c r="G4" i="52" s="1"/>
  <c r="B52" i="72" s="1"/>
  <c r="F4" i="52"/>
  <c r="B51" i="72" s="1"/>
  <c r="I4" i="52" l="1"/>
  <c r="H102" i="9"/>
  <c r="D7" i="53" s="1"/>
  <c r="B21" i="72" s="1"/>
  <c r="E118" i="9"/>
  <c r="E4" i="52" s="1"/>
  <c r="B48" i="72" s="1"/>
  <c r="C105" i="9"/>
  <c r="B5" i="74"/>
  <c r="F14" i="74"/>
  <c r="E14" i="74"/>
  <c r="M48" i="9"/>
  <c r="H107" i="9"/>
  <c r="D45" i="9"/>
  <c r="D5" i="53"/>
  <c r="B20" i="72" l="1"/>
  <c r="D6" i="53"/>
  <c r="B22" i="72" s="1"/>
  <c r="D122" i="9"/>
  <c r="D13" i="53"/>
  <c r="M49" i="9"/>
  <c r="H108" i="9"/>
  <c r="D15" i="53" s="1"/>
  <c r="B31" i="72" s="1"/>
  <c r="C5" i="74"/>
  <c r="D5" i="74"/>
  <c r="C64" i="9"/>
  <c r="C63" i="9" s="1"/>
  <c r="C67" i="9" s="1"/>
  <c r="C68" i="9" s="1"/>
  <c r="D54" i="9" s="1"/>
  <c r="C93" i="9"/>
  <c r="C86" i="9" s="1"/>
  <c r="D52" i="9"/>
  <c r="C85" i="9"/>
  <c r="C78" i="9"/>
  <c r="C73" i="9" s="1"/>
  <c r="D53" i="9"/>
  <c r="D48" i="9" s="1"/>
  <c r="M52" i="9" s="1"/>
  <c r="C72" i="9"/>
  <c r="D55" i="9"/>
  <c r="M53" i="9" s="1"/>
  <c r="C79" i="9" l="1"/>
  <c r="C95" i="9"/>
  <c r="C96" i="9" s="1"/>
  <c r="E96" i="9" s="1"/>
  <c r="E97" i="9" s="1"/>
  <c r="D14" i="53"/>
  <c r="B32" i="72" s="1"/>
  <c r="B30" i="72"/>
  <c r="C80" i="9"/>
  <c r="E80" i="9" s="1"/>
  <c r="E81" i="9" s="1"/>
  <c r="L64" i="9"/>
  <c r="M64" i="9" s="1"/>
  <c r="L68" i="9"/>
  <c r="M68" i="9" s="1"/>
  <c r="L65" i="9"/>
  <c r="M65" i="9" s="1"/>
  <c r="L66" i="9"/>
  <c r="M66" i="9" s="1"/>
  <c r="L63" i="9"/>
  <c r="M63" i="9" s="1"/>
  <c r="L67" i="9"/>
  <c r="M67" i="9" s="1"/>
  <c r="D8" i="52"/>
  <c r="G14" i="74"/>
  <c r="B6" i="74" s="1"/>
  <c r="D123" i="9"/>
  <c r="D9" i="52" s="1"/>
  <c r="M69" i="9" l="1"/>
  <c r="N69" i="9" s="1"/>
  <c r="D6" i="74"/>
  <c r="C6" i="74"/>
  <c r="C81" i="9"/>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<sst xmlns="http://schemas.openxmlformats.org/spreadsheetml/2006/main" count="8852" uniqueCount="3229">
  <si>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</si>
  <si>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</si>
  <si>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</si>
  <si>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</si>
  <si>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</si>
  <si>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</si>
  <si>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</si>
  <si>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</si>
  <si>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</si>
  <si>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</si>
  <si>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</si>
  <si>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</si>
  <si>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</si>
  <si>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</si>
  <si>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</si>
  <si>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</si>
  <si>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</si>
  <si>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</si>
  <si>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</si>
  <si>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</si>
  <si>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</si>
  <si>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</si>
  <si>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</si>
  <si>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</si>
  <si>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</si>
  <si>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</si>
  <si>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</si>
  <si>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</si>
  <si>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</si>
  <si>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</si>
  <si>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</si>
  <si>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</si>
  <si>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</si>
  <si>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</si>
  <si>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</si>
  <si>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</si>
  <si>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</si>
  <si>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</si>
  <si>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</si>
  <si>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</si>
  <si>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</si>
  <si>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</si>
  <si>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</si>
  <si>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</si>
  <si>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</si>
  <si>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</si>
  <si>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</si>
  <si>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</si>
  <si>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</si>
  <si>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</si>
  <si>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</si>
  <si>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</si>
  <si>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</si>
  <si>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</si>
  <si>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</si>
  <si>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</si>
  <si>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</si>
  <si>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</si>
  <si>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</si>
  <si>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</si>
  <si>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</si>
  <si>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</si>
  <si>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</si>
  <si>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</si>
  <si>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</si>
  <si>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</si>
  <si>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</si>
  <si>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</si>
  <si>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</si>
  <si>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</si>
  <si>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</si>
  <si>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</si>
  <si>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</si>
  <si>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</si>
  <si>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</si>
  <si>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</si>
  <si>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</si>
  <si>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</si>
  <si>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</si>
  <si>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</si>
  <si>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</si>
  <si>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</si>
  <si>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</si>
  <si>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</si>
  <si>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</si>
  <si>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</si>
  <si>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</si>
  <si>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</si>
  <si>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</si>
  <si>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</si>
  <si>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</si>
  <si>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</si>
  <si>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</si>
  <si>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</si>
  <si>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</si>
  <si>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</si>
  <si>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</si>
  <si>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</si>
  <si>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</si>
  <si>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</si>
  <si>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</si>
  <si>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</si>
  <si>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</si>
  <si>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</si>
  <si>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</si>
  <si>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</si>
  <si>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</si>
  <si>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</si>
  <si>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</si>
  <si>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</si>
  <si>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</si>
  <si>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</si>
  <si>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</si>
  <si>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</si>
  <si>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</si>
  <si>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</si>
  <si>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</si>
  <si>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</si>
  <si>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</si>
  <si>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</si>
  <si>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</si>
  <si>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</si>
  <si>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</si>
  <si>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</si>
  <si>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</si>
  <si>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</si>
  <si>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</si>
  <si>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</si>
  <si>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</si>
  <si>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</si>
  <si>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</si>
  <si>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</si>
  <si>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</si>
  <si>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</si>
  <si>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</si>
  <si>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</si>
  <si>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</si>
  <si>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</si>
  <si>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</si>
  <si>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</si>
  <si>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</si>
  <si>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</si>
  <si>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</si>
  <si>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</si>
  <si>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</si>
  <si>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</si>
  <si>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</si>
  <si>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</si>
  <si>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</si>
  <si>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</si>
  <si>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</si>
  <si>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</si>
  <si>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</si>
  <si>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</si>
  <si>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</si>
  <si>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</si>
  <si>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</si>
  <si>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</si>
  <si>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</si>
  <si>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</si>
  <si>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</si>
  <si>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</si>
  <si>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</si>
  <si>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</si>
  <si>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</si>
  <si>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</si>
  <si>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</si>
  <si>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</si>
  <si>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</si>
  <si>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</si>
  <si>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</si>
  <si>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</si>
  <si>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</si>
  <si>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</si>
  <si>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</si>
  <si>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</si>
  <si>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</si>
  <si>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</si>
  <si>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</si>
  <si>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</si>
  <si>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</si>
  <si>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</si>
  <si>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</si>
  <si>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</si>
  <si>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</si>
  <si>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</si>
  <si>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</si>
  <si>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</si>
  <si>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</si>
  <si>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</si>
  <si>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</si>
  <si>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</si>
  <si>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</si>
  <si>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</si>
  <si>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</si>
  <si>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</si>
  <si>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</si>
  <si>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</si>
  <si>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</si>
  <si>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</si>
  <si>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</si>
  <si>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</si>
  <si>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</si>
  <si>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</si>
  <si>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</si>
  <si>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</si>
  <si>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</si>
  <si>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</si>
  <si>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</si>
  <si>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</si>
  <si>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</si>
  <si>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</si>
  <si>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</si>
  <si>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</si>
  <si>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</si>
  <si>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</si>
  <si>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</si>
  <si>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</si>
  <si>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</si>
  <si>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</si>
  <si>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</si>
  <si>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</si>
  <si>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</si>
  <si>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</si>
  <si>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</si>
  <si>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</si>
  <si>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</si>
  <si>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</si>
  <si>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</si>
  <si>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</si>
  <si>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</si>
  <si>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</si>
  <si>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</si>
  <si>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</si>
  <si>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</si>
  <si>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</si>
  <si>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</si>
  <si>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</si>
  <si>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</si>
  <si>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</si>
  <si>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</si>
  <si>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</si>
  <si>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</si>
  <si>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</si>
  <si>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</si>
  <si>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</si>
  <si>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</si>
  <si>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</si>
  <si>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</si>
  <si>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</si>
  <si>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</si>
  <si>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</si>
  <si>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</si>
  <si>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</si>
  <si>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</si>
  <si>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</si>
  <si>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</si>
  <si>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</si>
  <si>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</si>
  <si>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</si>
  <si>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</si>
  <si>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</si>
  <si>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</si>
  <si>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</si>
  <si>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</si>
  <si>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</si>
  <si>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</si>
  <si>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</si>
  <si>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</si>
  <si>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</si>
  <si>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</si>
  <si>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</si>
  <si>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</si>
  <si>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</si>
  <si>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</si>
  <si>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</si>
  <si>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</si>
  <si>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</si>
  <si>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</si>
  <si>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</si>
  <si>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</si>
  <si>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</si>
  <si>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</si>
  <si>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</si>
  <si>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</si>
  <si>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</si>
  <si>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</si>
  <si>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</si>
  <si>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</si>
  <si>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</si>
  <si>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</si>
  <si>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</si>
  <si>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</si>
  <si>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</si>
  <si>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</si>
  <si>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</si>
  <si>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</si>
  <si>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</si>
  <si>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</si>
  <si>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</si>
  <si>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</si>
  <si>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</si>
  <si>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</si>
  <si>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</si>
  <si>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</si>
  <si>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</si>
  <si>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</si>
  <si>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</si>
  <si>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</si>
  <si>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</si>
  <si>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</si>
  <si>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</si>
  <si>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</si>
  <si>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</si>
  <si>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</si>
  <si>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</si>
  <si>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</si>
  <si>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</si>
  <si>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</si>
  <si>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</si>
  <si>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</si>
  <si>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</si>
  <si>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</si>
  <si>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</si>
  <si>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</si>
  <si>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</si>
  <si>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</si>
  <si>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</si>
  <si>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</si>
  <si>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</si>
  <si>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</si>
  <si>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</si>
  <si>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</si>
  <si>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</si>
  <si>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</si>
  <si>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</si>
  <si>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</si>
  <si>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</si>
  <si>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</si>
  <si>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</si>
  <si>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</si>
  <si>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</si>
  <si>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</si>
  <si>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</si>
  <si>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</si>
  <si>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</si>
  <si>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</si>
  <si>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</si>
  <si>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</si>
  <si>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</si>
  <si>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</si>
  <si>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</si>
  <si>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</si>
  <si>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</si>
  <si>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</si>
  <si>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</si>
  <si>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</si>
  <si>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</si>
  <si>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</si>
  <si>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</si>
  <si>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</si>
  <si>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</si>
  <si>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</si>
  <si>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</si>
  <si>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</si>
  <si>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</si>
  <si>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</si>
  <si>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</si>
  <si>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</si>
  <si>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</si>
  <si>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</si>
  <si>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</si>
  <si>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</si>
  <si>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</si>
  <si>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</si>
  <si>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</si>
  <si>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</si>
  <si>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</si>
  <si>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</si>
  <si>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</si>
  <si>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</si>
  <si>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</si>
  <si>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</si>
  <si>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</si>
  <si>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</si>
  <si>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</si>
  <si>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</si>
  <si>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</si>
  <si>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</si>
  <si>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</si>
  <si>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</si>
  <si>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</si>
  <si>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</si>
  <si>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</si>
  <si>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</si>
  <si>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</si>
  <si>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</si>
  <si>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</si>
  <si>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</si>
  <si>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</si>
  <si>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</si>
  <si>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</si>
  <si>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</si>
  <si>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</si>
  <si>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</si>
  <si>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</si>
  <si>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</si>
  <si>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</si>
  <si>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</si>
  <si>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</si>
  <si>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</si>
  <si>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</si>
  <si>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</si>
  <si>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</si>
  <si>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</si>
  <si>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</si>
  <si>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</si>
  <si>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</si>
  <si>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</si>
  <si>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</si>
  <si>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</si>
  <si>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</si>
  <si>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</si>
  <si>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</si>
  <si>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</si>
  <si>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</si>
  <si>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</si>
  <si>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</si>
  <si>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</si>
  <si>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</si>
  <si>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</si>
  <si>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</si>
  <si>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</si>
  <si>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</si>
  <si>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</si>
  <si>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</si>
  <si>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</si>
  <si>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</si>
  <si>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</si>
  <si>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</si>
  <si>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</si>
  <si>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</si>
  <si>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</si>
  <si>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</si>
  <si>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</si>
  <si>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</si>
  <si>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</si>
  <si>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</si>
  <si>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</si>
  <si>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</si>
  <si>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</si>
  <si>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</si>
  <si>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</si>
  <si>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</si>
  <si>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</si>
  <si>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</si>
  <si>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</si>
  <si>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</si>
  <si>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</si>
  <si>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</si>
  <si>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</si>
  <si>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</si>
  <si>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</si>
  <si>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</si>
  <si>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</si>
  <si>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</si>
  <si>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</si>
  <si>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</si>
  <si>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</si>
  <si>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</si>
  <si>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</si>
  <si>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</si>
  <si>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</si>
  <si>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</si>
  <si>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</si>
  <si>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</si>
  <si>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</si>
  <si>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</si>
  <si>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</si>
  <si>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</si>
  <si>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</si>
  <si>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</si>
  <si>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</si>
  <si>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</si>
  <si>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</si>
  <si>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</si>
  <si>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</si>
  <si>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</si>
  <si>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</si>
  <si>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</si>
  <si>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</si>
  <si>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</si>
  <si>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</si>
  <si>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</si>
  <si>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</si>
  <si>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</si>
  <si>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</si>
  <si>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</si>
  <si>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</si>
  <si>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</si>
  <si>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</si>
  <si>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</si>
  <si>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</si>
  <si>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</si>
  <si>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</si>
  <si>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</si>
  <si>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</si>
  <si>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</si>
  <si>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</si>
  <si>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</si>
  <si>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</si>
  <si>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</si>
  <si>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</si>
  <si>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</si>
  <si>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</si>
  <si>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</si>
  <si>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</si>
  <si>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</si>
  <si>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</si>
  <si>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</si>
  <si>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</si>
  <si>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</si>
  <si>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</si>
  <si>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</si>
  <si>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</si>
  <si>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</si>
  <si>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</si>
  <si>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</si>
  <si>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</si>
  <si>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</si>
  <si>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</si>
  <si>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</si>
  <si>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</si>
  <si>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</si>
  <si>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</si>
  <si>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</si>
  <si>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</si>
  <si>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</si>
  <si>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</si>
  <si>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</si>
  <si>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</si>
  <si>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</si>
  <si>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</si>
  <si>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</si>
  <si>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</si>
  <si>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</si>
  <si>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</si>
  <si>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</si>
  <si>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</si>
  <si>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</si>
  <si>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</si>
  <si>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</si>
  <si>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</si>
  <si>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</si>
  <si>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</si>
  <si>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</si>
  <si>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</si>
  <si>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</si>
  <si>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</si>
  <si>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</si>
  <si>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</si>
  <si>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</si>
  <si>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</si>
  <si>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</si>
  <si>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</si>
  <si>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</si>
  <si>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</si>
  <si>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</si>
  <si>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</si>
  <si>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</si>
  <si>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</si>
  <si>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</si>
  <si>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</si>
  <si>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</si>
  <si>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</si>
  <si>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</si>
  <si>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</si>
  <si>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</si>
  <si>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</si>
  <si>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</si>
  <si>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</si>
  <si>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</si>
  <si>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</si>
  <si>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</si>
  <si>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</si>
  <si>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</si>
  <si>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</si>
  <si>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</si>
  <si>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</si>
  <si>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</si>
  <si>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</si>
  <si>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</si>
  <si>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</si>
  <si>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</si>
  <si>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</si>
  <si>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</si>
  <si>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</si>
  <si>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</si>
  <si>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</si>
  <si>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</si>
  <si>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</si>
  <si>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</si>
  <si>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</si>
  <si>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</si>
  <si>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</si>
  <si>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</si>
  <si>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</si>
  <si>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</si>
  <si>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</si>
  <si>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</si>
  <si>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</si>
  <si>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</si>
  <si>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</si>
  <si>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</si>
  <si>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</si>
  <si>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</si>
  <si>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</si>
  <si>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</si>
  <si>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</si>
  <si>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</si>
  <si>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</si>
  <si>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</si>
  <si>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</si>
  <si>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</si>
  <si>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</si>
  <si>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</si>
  <si>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</si>
  <si>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</si>
  <si>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</si>
  <si>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</si>
  <si>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</si>
  <si>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</si>
  <si>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</si>
  <si>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</si>
  <si>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</si>
  <si>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</si>
  <si>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</si>
  <si>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</si>
  <si>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</si>
  <si>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</si>
  <si>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</si>
  <si>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</si>
  <si>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</si>
  <si>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</si>
  <si>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</si>
  <si>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</si>
  <si>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</si>
  <si>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</si>
  <si>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</si>
  <si>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</si>
  <si>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</si>
  <si>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</si>
  <si>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</si>
  <si>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</si>
  <si>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</si>
  <si>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</si>
  <si>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</si>
  <si>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</si>
  <si>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</si>
  <si>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</si>
  <si>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</si>
  <si>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</si>
  <si>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</si>
  <si>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</si>
  <si>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</si>
  <si>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</si>
  <si>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</si>
  <si>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</si>
  <si>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</si>
  <si>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</si>
  <si>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</si>
  <si>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</si>
  <si>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</si>
  <si>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</si>
  <si>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</si>
  <si>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</si>
  <si>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</si>
  <si>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</si>
  <si>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</si>
  <si>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</si>
  <si>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</si>
  <si>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</si>
  <si>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</si>
  <si>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</si>
  <si>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</si>
  <si>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</si>
  <si>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</si>
  <si>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</si>
  <si>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</si>
  <si>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</si>
  <si>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</si>
  <si>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</si>
  <si>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</si>
  <si>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</si>
  <si>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</si>
  <si>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</si>
  <si>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</si>
  <si>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</si>
  <si>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</si>
  <si>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</si>
  <si>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</si>
  <si>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</si>
  <si>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</si>
  <si>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</si>
  <si>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</si>
  <si>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</si>
  <si>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</si>
  <si>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</si>
  <si>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</si>
  <si>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</si>
  <si>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</si>
  <si>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</si>
  <si>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</si>
  <si>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</si>
  <si>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</si>
  <si>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</si>
  <si>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</si>
  <si>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</si>
  <si>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</si>
  <si>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</si>
  <si>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</si>
  <si>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</si>
  <si>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</si>
  <si>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</si>
  <si>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</si>
  <si>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</si>
  <si>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</si>
  <si>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</si>
  <si>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</si>
  <si>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</si>
  <si>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</si>
  <si>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</si>
  <si>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</si>
  <si>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</si>
  <si>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</si>
  <si>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</si>
  <si>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</si>
  <si>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</si>
  <si>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</si>
  <si>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</si>
  <si>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</si>
  <si>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</si>
  <si>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</si>
  <si>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</si>
  <si>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</si>
  <si>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</si>
  <si>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</si>
  <si>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</si>
  <si>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</si>
  <si>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</si>
  <si>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</si>
  <si>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</si>
  <si>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</si>
  <si>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</si>
  <si>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</si>
  <si>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</si>
  <si>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</si>
  <si>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</si>
  <si>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</si>
  <si>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</si>
  <si>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</si>
  <si>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</si>
  <si>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</si>
  <si>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</si>
  <si>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</si>
  <si>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</si>
  <si>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</si>
  <si>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</si>
  <si>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</si>
  <si>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</si>
  <si>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</si>
  <si>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</si>
  <si>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</si>
  <si>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</si>
  <si>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</si>
  <si>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</si>
  <si>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</si>
  <si>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</si>
  <si>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</si>
  <si>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</si>
  <si>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</si>
  <si>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</si>
  <si>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</si>
  <si>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</si>
  <si>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</si>
  <si>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</si>
  <si>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</si>
  <si>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</si>
  <si>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</si>
  <si>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</si>
  <si>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</si>
  <si>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</si>
  <si>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</si>
  <si>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</si>
  <si>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</si>
  <si>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</si>
  <si>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</si>
  <si>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</si>
  <si>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</si>
  <si>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</si>
  <si>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</si>
  <si>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</si>
  <si>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</si>
  <si>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</si>
  <si>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</si>
  <si>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</si>
  <si>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</si>
  <si>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</si>
  <si>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</si>
  <si>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</si>
  <si>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</si>
  <si>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</si>
  <si>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</si>
  <si>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</si>
  <si>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</si>
  <si>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</si>
  <si>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</si>
  <si>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</si>
  <si>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</si>
  <si>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</si>
  <si>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</si>
  <si>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</si>
  <si>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</si>
  <si>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</si>
  <si>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</si>
  <si>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</si>
  <si>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</si>
  <si>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</si>
  <si>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</si>
  <si>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</si>
  <si>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</si>
  <si>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</si>
  <si>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</si>
  <si>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</si>
  <si>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</si>
  <si>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</si>
  <si>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</si>
  <si>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</si>
  <si>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</si>
  <si>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</si>
  <si>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</si>
  <si>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</si>
  <si>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</si>
  <si>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</si>
  <si>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</si>
  <si>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</si>
  <si>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</si>
  <si>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</si>
  <si>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</si>
  <si>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</si>
  <si>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</si>
  <si>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</si>
  <si>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</si>
  <si>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</si>
  <si>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</si>
  <si>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</si>
  <si>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</si>
  <si>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</si>
  <si>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</si>
  <si>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</si>
  <si>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</si>
  <si>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</si>
  <si>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</si>
  <si>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</si>
  <si>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</si>
  <si>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</si>
  <si>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</si>
  <si>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</si>
  <si>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</si>
  <si>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</si>
  <si>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</si>
  <si>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</si>
  <si>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</si>
  <si>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</si>
  <si>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</si>
  <si>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</si>
  <si>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</si>
  <si>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</si>
  <si>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</si>
  <si>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</si>
  <si>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</si>
  <si>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</si>
  <si>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</si>
  <si>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</si>
  <si>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</si>
  <si>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</si>
  <si>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</si>
  <si>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</si>
  <si>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</si>
  <si>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</si>
  <si>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</si>
  <si>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</si>
  <si>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</si>
  <si>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</si>
  <si>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</si>
  <si>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</si>
  <si>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</si>
  <si>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</si>
  <si>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</si>
  <si>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</si>
  <si>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</si>
  <si>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</si>
  <si>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</si>
  <si>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</si>
  <si>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</si>
  <si>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</si>
  <si>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</si>
  <si>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</si>
  <si>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</si>
  <si>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</si>
  <si>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</si>
  <si>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</si>
  <si>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</si>
  <si>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</si>
  <si>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</si>
  <si>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</si>
  <si>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</si>
  <si>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</si>
  <si>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</si>
  <si>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</si>
  <si>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</si>
  <si>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</si>
  <si>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</si>
  <si>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</si>
  <si>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</si>
  <si>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</si>
  <si>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</si>
  <si>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</si>
  <si>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</si>
  <si>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</si>
  <si>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</si>
  <si>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</si>
  <si>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</si>
  <si>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</si>
  <si>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</si>
  <si>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</si>
  <si>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</si>
  <si>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</si>
  <si>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</si>
  <si>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</si>
  <si>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</si>
  <si>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</si>
  <si>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</si>
  <si>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</si>
  <si>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</si>
  <si>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</si>
  <si>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</si>
  <si>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</si>
  <si>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</si>
  <si>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</si>
  <si>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</si>
  <si>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</si>
  <si>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</si>
  <si>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</si>
  <si>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</si>
  <si>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</si>
  <si>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</si>
  <si>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</si>
  <si>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</si>
  <si>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</si>
  <si>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</si>
  <si>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</si>
  <si>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</si>
  <si>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</si>
  <si>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</si>
  <si>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</si>
  <si>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</si>
  <si>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</si>
  <si>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</si>
  <si>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</si>
  <si>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</si>
  <si>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</si>
  <si>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</si>
  <si>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</si>
  <si>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</si>
  <si>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</si>
  <si>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</si>
  <si>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</si>
  <si>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</si>
  <si>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</si>
  <si>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</si>
  <si>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</si>
  <si>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</si>
  <si>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</si>
  <si>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</si>
  <si>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</si>
  <si>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</si>
  <si>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</si>
  <si>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</si>
  <si>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</si>
  <si>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</si>
  <si>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</si>
  <si>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</si>
  <si>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</si>
  <si>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</si>
  <si>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</si>
  <si>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</si>
  <si>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</si>
  <si>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</si>
  <si>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</si>
  <si>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</si>
  <si>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</si>
  <si>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</si>
  <si>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</si>
  <si>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</si>
  <si>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</si>
  <si>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</si>
  <si>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</si>
  <si>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</si>
  <si>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</si>
  <si>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</si>
  <si>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</si>
  <si>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</si>
  <si>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</si>
  <si>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</si>
  <si>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</si>
  <si>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</si>
  <si>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</si>
  <si>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</si>
  <si>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</si>
  <si>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</si>
  <si>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</si>
  <si>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</si>
  <si>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</si>
  <si>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</si>
  <si>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</si>
  <si>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</si>
  <si>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</si>
  <si>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</si>
  <si>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</si>
  <si>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</si>
  <si>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</si>
  <si>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</si>
  <si>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</si>
  <si>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</si>
  <si>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</si>
  <si>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</si>
  <si>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</si>
  <si>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</si>
  <si>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</si>
  <si>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</si>
  <si>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</si>
  <si>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</si>
  <si>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</si>
  <si>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</si>
  <si>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</si>
  <si>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</si>
  <si>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</si>
  <si>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</si>
  <si>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</si>
  <si>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</si>
  <si>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</si>
  <si>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</si>
  <si>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</si>
  <si>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</si>
  <si>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</si>
  <si>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</si>
  <si>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</si>
  <si>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</si>
  <si>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</si>
  <si>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</si>
  <si>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</si>
  <si>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</si>
  <si>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</si>
  <si>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</si>
  <si>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</si>
  <si>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</si>
  <si>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</si>
  <si>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</si>
  <si>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</si>
  <si>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</si>
  <si>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</si>
  <si>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</si>
  <si>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</si>
  <si>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</si>
  <si>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</si>
  <si>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</si>
  <si>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</si>
  <si>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</si>
  <si>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</si>
  <si>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</si>
  <si>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</si>
  <si>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</si>
  <si>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</si>
  <si>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</si>
  <si>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</si>
  <si>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</si>
  <si>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</si>
  <si>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</si>
  <si>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</si>
  <si>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</si>
  <si>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</si>
  <si>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</si>
  <si>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</si>
  <si>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</si>
  <si>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</si>
  <si>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</si>
  <si>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</si>
  <si>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</si>
  <si>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</si>
  <si>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</si>
  <si>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</si>
  <si>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</si>
  <si>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</si>
  <si>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</si>
  <si>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</si>
  <si>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</si>
  <si>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</si>
  <si>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</si>
  <si>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</si>
  <si>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</si>
  <si>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</si>
  <si>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</si>
  <si>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</si>
  <si>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</si>
  <si>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</si>
  <si>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</si>
  <si>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</si>
  <si>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</si>
  <si>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</si>
  <si>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</si>
  <si>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</si>
  <si>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</si>
  <si>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</si>
  <si>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</si>
  <si>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</si>
  <si>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</si>
  <si>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</si>
  <si>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</si>
  <si>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</si>
  <si>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</si>
  <si>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</si>
  <si>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</si>
  <si>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</si>
  <si>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</si>
  <si>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</si>
  <si>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</si>
  <si>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</si>
  <si>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</si>
  <si>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</si>
  <si>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</si>
  <si>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</si>
  <si>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</si>
  <si>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</si>
  <si>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</si>
  <si>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</si>
  <si>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</si>
  <si>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</si>
  <si>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</si>
  <si>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</si>
  <si>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</si>
  <si>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</si>
  <si>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</si>
  <si>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</si>
  <si>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</si>
  <si>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</si>
  <si>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</si>
  <si>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</si>
  <si>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</si>
  <si>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</si>
  <si>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</si>
  <si>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</si>
  <si>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</si>
  <si>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</si>
  <si>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</si>
  <si>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</si>
  <si>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</si>
  <si>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</si>
  <si>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</si>
  <si>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</si>
  <si>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</si>
  <si>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</si>
  <si>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</si>
  <si>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</si>
  <si>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</si>
  <si>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</si>
  <si>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</si>
  <si>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</si>
  <si>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</si>
  <si>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</si>
  <si>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</si>
  <si>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</si>
  <si>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</si>
  <si>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</si>
  <si>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</si>
  <si>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</si>
  <si>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</si>
  <si>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</si>
  <si>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</si>
  <si>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</si>
  <si>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</si>
  <si>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</si>
  <si>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</si>
  <si>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</si>
  <si>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</si>
  <si>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</si>
  <si>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</si>
  <si>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</si>
  <si>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</si>
  <si>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</si>
  <si>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</si>
  <si>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</si>
  <si>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</si>
  <si>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</si>
  <si>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</si>
  <si>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</si>
  <si>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</si>
  <si>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</si>
  <si>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</si>
  <si>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</si>
  <si>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</si>
  <si>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</si>
  <si>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</si>
  <si>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</si>
  <si>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</si>
  <si>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</si>
  <si>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</si>
  <si>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</si>
  <si>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</si>
  <si>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</si>
  <si>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</si>
  <si>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</si>
  <si>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</si>
  <si>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</si>
  <si>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</si>
  <si>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</si>
  <si>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</si>
  <si>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</si>
  <si>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</si>
  <si>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</si>
  <si>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</si>
  <si>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</si>
  <si>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</si>
  <si>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</si>
  <si>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</si>
  <si>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</si>
  <si>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</si>
  <si>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</si>
  <si>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</si>
  <si>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</si>
  <si>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</si>
  <si>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</si>
  <si>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</si>
  <si>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</si>
  <si>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</si>
  <si>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</si>
  <si>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</si>
  <si>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</si>
  <si>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</si>
  <si>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</si>
  <si>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</si>
  <si>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</si>
  <si>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</si>
  <si>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</si>
  <si>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</si>
  <si>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</si>
  <si>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</si>
  <si>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</si>
  <si>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</si>
  <si>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</si>
  <si>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</si>
  <si>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</si>
  <si>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</si>
  <si>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</si>
  <si>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</si>
  <si>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</si>
  <si>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</si>
  <si>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</si>
  <si>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</si>
  <si>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</si>
  <si>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</si>
  <si>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</si>
  <si>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</si>
  <si>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</si>
  <si>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</si>
  <si>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</si>
  <si>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</si>
  <si>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</si>
  <si>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</si>
  <si>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</si>
  <si>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</si>
  <si>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</si>
  <si>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</si>
  <si>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</si>
  <si>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</si>
  <si>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</si>
  <si>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</si>
  <si>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</si>
  <si>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</si>
  <si>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</si>
  <si>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</si>
  <si>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</si>
  <si>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</si>
  <si>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</si>
  <si>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</si>
  <si>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</si>
  <si>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</si>
  <si>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</si>
  <si>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</si>
  <si>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</si>
  <si>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</si>
  <si>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</si>
  <si>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</si>
  <si>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</si>
  <si>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</si>
  <si>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</si>
  <si>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</si>
  <si>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</si>
  <si>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</si>
  <si>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</si>
  <si>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</si>
  <si>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</si>
  <si>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</si>
  <si>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</si>
  <si>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</si>
  <si>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</si>
  <si>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</si>
  <si>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</si>
  <si>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</si>
  <si>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</si>
  <si>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</si>
  <si>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</si>
  <si>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</si>
  <si>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</si>
  <si>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</si>
  <si>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</si>
  <si>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</si>
  <si>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</si>
  <si>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</si>
  <si>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</si>
  <si>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</si>
  <si>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</si>
  <si>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</si>
  <si>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</si>
  <si>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</si>
  <si>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</si>
  <si>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</si>
  <si>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</si>
  <si>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</si>
  <si>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</si>
  <si>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</si>
  <si>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</si>
  <si>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</si>
  <si>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</si>
  <si>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</si>
  <si>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</si>
  <si>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</si>
  <si>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</si>
  <si>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</si>
  <si>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</si>
  <si>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</si>
  <si>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</si>
  <si>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</si>
  <si>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</si>
  <si>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</si>
  <si>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</si>
  <si>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</si>
  <si>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</si>
  <si>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</si>
  <si>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</si>
  <si>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</si>
  <si>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</si>
  <si>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</si>
  <si>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</si>
  <si>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</si>
  <si>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</si>
  <si>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</si>
  <si>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</si>
  <si>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</si>
  <si>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</si>
  <si>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</si>
  <si>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</si>
  <si>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</si>
  <si>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</si>
  <si>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</si>
  <si>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</si>
  <si>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</si>
  <si>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</si>
  <si>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</si>
  <si>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</si>
  <si>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</si>
  <si>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</si>
  <si>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</si>
  <si>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</si>
  <si>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</si>
  <si>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</si>
  <si>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</si>
  <si>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</si>
  <si>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</si>
  <si>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</si>
  <si>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</si>
  <si>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</si>
  <si>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</si>
  <si>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</si>
  <si>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</si>
  <si>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</si>
  <si>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</si>
  <si>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</si>
  <si>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</si>
  <si>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</si>
  <si>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</si>
  <si>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</si>
  <si>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</si>
  <si>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</si>
  <si>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</si>
  <si>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</si>
  <si>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</si>
  <si>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</si>
  <si>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</si>
  <si>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</si>
  <si>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</si>
  <si>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</si>
  <si>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</si>
  <si>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</si>
  <si>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</si>
  <si>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</si>
  <si>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</si>
  <si>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</si>
  <si>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</si>
  <si>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</si>
  <si>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</si>
  <si>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</si>
  <si>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</si>
  <si>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</si>
  <si>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</si>
  <si>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</si>
  <si>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</si>
  <si>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</si>
  <si>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</si>
  <si>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</si>
  <si>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</si>
  <si>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</si>
  <si>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</si>
  <si>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</si>
  <si>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</si>
  <si>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</si>
  <si>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</si>
  <si>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</si>
  <si>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</si>
  <si>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</si>
  <si>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</si>
  <si>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</si>
  <si>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</si>
  <si>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</si>
  <si>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</si>
  <si>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</si>
  <si>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</si>
  <si>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</si>
  <si>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</si>
  <si>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</si>
  <si>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</si>
  <si>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</si>
  <si>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</si>
  <si>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</si>
  <si>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</si>
  <si>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</si>
  <si>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</si>
  <si>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</si>
  <si>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</si>
  <si>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</si>
  <si>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</si>
  <si>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</si>
  <si>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</si>
  <si>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</si>
  <si>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</si>
  <si>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</si>
  <si>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</si>
  <si>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</si>
  <si>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</si>
  <si>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</si>
  <si>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</si>
  <si>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</si>
  <si>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</si>
  <si>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</si>
  <si>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</si>
  <si>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</si>
  <si>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</si>
  <si>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</si>
  <si>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</si>
  <si>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</si>
  <si>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</si>
  <si>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</si>
  <si>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</si>
  <si>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</si>
  <si>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</si>
  <si>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</si>
  <si>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</si>
  <si>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</si>
  <si>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</si>
  <si>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</si>
  <si>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</si>
  <si>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</si>
  <si>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</si>
  <si>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</si>
  <si>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</si>
  <si>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</si>
  <si>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</si>
  <si>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</si>
  <si>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</si>
  <si>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</si>
  <si>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</si>
  <si>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</si>
  <si>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</si>
  <si>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</si>
  <si>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</si>
  <si>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</si>
  <si>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</si>
  <si>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</si>
  <si>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</si>
  <si>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</si>
  <si>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</si>
  <si>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</si>
  <si>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</si>
  <si>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</si>
  <si>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</si>
  <si>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</si>
  <si>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</si>
  <si>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</si>
  <si>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</si>
  <si>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</si>
  <si>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</si>
  <si>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</si>
  <si>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</si>
  <si>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</si>
  <si>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</si>
  <si>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</si>
  <si>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</si>
  <si>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</si>
  <si>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</si>
  <si>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</si>
  <si>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</si>
  <si>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</si>
  <si>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</si>
  <si>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</si>
  <si>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</si>
  <si>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</si>
  <si>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</si>
  <si>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</si>
  <si>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</si>
  <si>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</si>
  <si>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</si>
  <si>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</si>
  <si>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</si>
  <si>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</si>
  <si>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</si>
  <si>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</si>
  <si>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</si>
  <si>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</si>
  <si>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</si>
  <si>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</si>
  <si>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</si>
  <si>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</si>
  <si>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</si>
  <si>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</si>
  <si>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</si>
  <si>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</si>
  <si>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</si>
  <si>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</si>
  <si>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</si>
  <si>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</si>
  <si>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</si>
  <si>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</si>
  <si>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</si>
  <si>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</si>
  <si>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</si>
  <si>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</si>
  <si>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</si>
  <si>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</si>
  <si>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</si>
  <si>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</si>
  <si>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</si>
  <si>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</si>
  <si>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</si>
  <si>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</si>
  <si>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</si>
  <si>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</si>
  <si>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</si>
  <si>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</si>
  <si>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</si>
  <si>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</si>
  <si>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</si>
  <si>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</si>
  <si>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</si>
  <si>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</si>
  <si>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</si>
  <si>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</si>
  <si>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</si>
  <si>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</si>
  <si>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</si>
  <si>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</si>
  <si>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</si>
  <si>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</si>
  <si>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</si>
  <si>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</si>
  <si>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</si>
  <si>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</si>
  <si>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</si>
  <si>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</si>
  <si>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</si>
  <si>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</si>
  <si>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</si>
  <si>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</si>
  <si>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</si>
  <si>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</si>
  <si>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</si>
  <si>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</si>
  <si>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</si>
  <si>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</si>
  <si>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</si>
  <si>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</si>
  <si>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</si>
  <si>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</si>
  <si>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</si>
  <si>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</si>
  <si>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</si>
  <si>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</si>
  <si>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</si>
  <si>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</si>
  <si>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</si>
  <si>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</si>
  <si>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</si>
  <si>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</si>
  <si>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</si>
  <si>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</si>
  <si>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</si>
  <si>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</si>
  <si>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</si>
  <si>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</si>
  <si>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</si>
  <si>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</si>
  <si>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</si>
  <si>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</si>
  <si>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</si>
  <si>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</si>
  <si>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</si>
  <si>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</si>
  <si>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</si>
  <si>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</si>
  <si>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</si>
  <si>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</si>
  <si>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</si>
  <si>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</si>
  <si>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</si>
  <si>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</si>
  <si>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</si>
  <si>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</si>
  <si>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</si>
  <si>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</si>
  <si>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</si>
  <si>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</si>
  <si>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</si>
  <si>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</si>
  <si>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</si>
  <si>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</si>
  <si>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</si>
  <si>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</si>
  <si>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</si>
  <si>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</si>
  <si>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</si>
  <si>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</si>
  <si>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</si>
  <si>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</si>
  <si>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</si>
  <si>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</si>
  <si>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</si>
  <si>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</si>
  <si>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</si>
  <si>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</si>
  <si>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</si>
  <si>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</si>
  <si>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</si>
  <si>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</si>
  <si>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</si>
  <si>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</si>
  <si>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</si>
  <si>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</si>
  <si>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</si>
  <si>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</si>
  <si>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</si>
  <si>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</si>
  <si>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</si>
  <si>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</si>
  <si>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</si>
  <si>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</si>
  <si>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</si>
  <si>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</si>
  <si>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</si>
  <si>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</si>
  <si>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</si>
  <si>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</si>
  <si>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</si>
  <si>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</si>
  <si>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</si>
  <si>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</si>
  <si>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</si>
  <si>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</si>
  <si>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</si>
  <si>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</si>
  <si>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</si>
  <si>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</si>
  <si>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</si>
  <si>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</si>
  <si>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</si>
  <si>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</si>
  <si>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</si>
  <si>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</si>
  <si>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</si>
  <si>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</si>
  <si>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</si>
  <si>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</si>
  <si>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</si>
  <si>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</si>
  <si>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</si>
  <si>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</si>
  <si>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</si>
  <si>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</si>
  <si>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</si>
  <si>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</si>
  <si>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</si>
  <si>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</si>
  <si>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</si>
  <si>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</si>
  <si>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</si>
  <si>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</si>
  <si>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</si>
  <si>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</si>
  <si>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</si>
  <si>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</si>
  <si>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</si>
  <si>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</si>
  <si>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</si>
  <si>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</si>
  <si>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</si>
  <si>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</si>
  <si>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</si>
  <si>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</si>
  <si>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</si>
  <si>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</si>
  <si>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</si>
  <si>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</si>
  <si>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</si>
  <si>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</si>
  <si>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</si>
  <si>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</si>
  <si>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</si>
  <si>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</si>
  <si>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</si>
  <si>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</si>
  <si>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</si>
  <si>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</si>
  <si>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</si>
  <si>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</si>
  <si>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</si>
  <si>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</si>
  <si>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</si>
  <si>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</si>
  <si>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</si>
  <si>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</si>
  <si>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</si>
  <si>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</si>
  <si>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</si>
  <si>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</si>
  <si>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</si>
  <si>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</si>
  <si>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</si>
  <si>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</si>
  <si>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</si>
  <si>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</si>
  <si>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</si>
  <si>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</si>
  <si>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</si>
  <si>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</si>
  <si>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</si>
  <si>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</si>
  <si>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</si>
  <si>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</si>
  <si>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</si>
  <si>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</si>
  <si>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</si>
  <si>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</si>
  <si>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</si>
  <si>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</si>
  <si>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</si>
  <si>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</si>
  <si>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</si>
  <si>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</si>
  <si>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</si>
  <si>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</si>
  <si>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</si>
  <si>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</si>
  <si>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</si>
  <si>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</si>
  <si>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</si>
  <si>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</si>
  <si>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</si>
  <si>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</si>
  <si>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</si>
  <si>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</si>
  <si>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</si>
  <si>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</si>
  <si>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</si>
  <si>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</si>
  <si>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</si>
  <si>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</si>
  <si>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</si>
  <si>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</si>
  <si>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</si>
  <si>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</si>
  <si>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</si>
  <si>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</si>
  <si>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</si>
  <si>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</si>
  <si>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</si>
  <si>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</si>
  <si>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</si>
  <si>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</si>
  <si>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</si>
  <si>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</si>
  <si>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</si>
  <si>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</si>
  <si>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</si>
  <si>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</si>
  <si>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</si>
  <si>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</si>
  <si>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</si>
  <si>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</si>
  <si>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</si>
  <si>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</si>
  <si>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</si>
  <si>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</si>
  <si>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</si>
  <si>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</si>
  <si>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</si>
  <si>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</si>
  <si>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</si>
  <si>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</si>
  <si>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</si>
  <si>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</si>
  <si>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</si>
  <si>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</si>
  <si>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</si>
  <si>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</si>
  <si>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</si>
  <si>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</si>
  <si>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</si>
  <si>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</si>
  <si>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</si>
  <si>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</si>
  <si>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</si>
  <si>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</si>
  <si>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</si>
  <si>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</si>
  <si>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</si>
  <si>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</si>
  <si>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</si>
  <si>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</si>
  <si>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</si>
  <si>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</si>
  <si>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</si>
  <si>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</si>
  <si>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</si>
  <si>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</si>
  <si>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</si>
  <si>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</si>
  <si>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</si>
  <si>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</si>
  <si>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</si>
  <si>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</si>
  <si>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</si>
  <si>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</si>
  <si>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</si>
  <si>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</si>
  <si>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</si>
  <si>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</si>
  <si>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</si>
  <si>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</si>
  <si>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</si>
  <si>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</si>
  <si>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</si>
  <si>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</si>
  <si>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</si>
  <si>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</si>
  <si>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</si>
  <si>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</si>
  <si>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</si>
  <si>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</si>
  <si>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</si>
  <si>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</si>
  <si>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</si>
  <si>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</si>
  <si>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</si>
  <si>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</si>
  <si>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</si>
  <si>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</si>
  <si>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</si>
  <si>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</si>
  <si>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</si>
  <si>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</si>
  <si>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</si>
  <si>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</si>
  <si>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</si>
  <si>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</si>
  <si>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</si>
  <si>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</si>
  <si>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</si>
  <si>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</si>
  <si>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</si>
  <si>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</si>
  <si>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</si>
  <si>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</si>
  <si>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</si>
  <si>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</si>
  <si>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</si>
  <si>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</si>
  <si>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</si>
  <si>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</si>
  <si>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</si>
  <si>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</si>
  <si>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</si>
  <si>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</si>
  <si>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</si>
  <si>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</si>
  <si>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</si>
  <si>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</si>
  <si>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</si>
  <si>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</si>
  <si>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</si>
  <si>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</si>
  <si>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</si>
  <si>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</si>
  <si>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</si>
  <si>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</si>
  <si>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</si>
  <si>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</si>
  <si>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</si>
  <si>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</si>
  <si>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</si>
  <si>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</si>
  <si>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</si>
  <si>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</si>
  <si>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</si>
  <si>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</si>
  <si>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</si>
  <si>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</si>
  <si>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</si>
  <si>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</si>
  <si>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</si>
  <si>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</si>
  <si>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</si>
  <si>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</si>
  <si>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</si>
  <si>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</si>
  <si>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</si>
  <si>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</si>
  <si>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</si>
  <si>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</si>
  <si>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</si>
  <si>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</si>
  <si>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</si>
  <si>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</si>
  <si>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</si>
  <si>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</si>
  <si>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</si>
  <si>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</si>
  <si>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</si>
  <si>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</si>
  <si>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</si>
  <si>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</si>
  <si>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</si>
  <si>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</si>
  <si>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</si>
  <si>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</si>
  <si>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</si>
  <si>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</si>
  <si>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</si>
  <si>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</si>
  <si>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</si>
  <si>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</si>
  <si>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</si>
  <si>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</si>
  <si>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</si>
  <si>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</si>
  <si>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</si>
  <si>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</si>
  <si>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</si>
  <si>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</si>
  <si>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</si>
  <si>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</si>
  <si>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</si>
  <si>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</si>
  <si>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</si>
  <si>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</si>
  <si>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</si>
  <si>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</si>
  <si>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</si>
  <si>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</si>
  <si>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</si>
  <si>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</si>
  <si>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</si>
  <si>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</si>
  <si>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</si>
  <si>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</si>
  <si>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</si>
  <si>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</si>
  <si>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</si>
  <si>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</si>
  <si>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</si>
  <si>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</si>
  <si>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</si>
  <si>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</si>
  <si>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</si>
  <si>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</si>
  <si>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</si>
  <si>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</si>
  <si>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</si>
  <si>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</si>
  <si>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</si>
  <si>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</si>
  <si>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</si>
  <si>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</si>
  <si>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</si>
  <si>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</si>
  <si>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</si>
  <si>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</si>
  <si>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</si>
  <si>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</si>
  <si>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</si>
  <si>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</si>
  <si>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</si>
  <si>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</si>
  <si>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</si>
  <si>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</si>
  <si>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</si>
  <si>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</si>
  <si>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</si>
  <si>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</si>
  <si>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</si>
  <si>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</si>
  <si>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</si>
  <si>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</si>
  <si>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</si>
  <si>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</si>
  <si>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</si>
  <si>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</si>
  <si>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</si>
  <si>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</si>
  <si>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</si>
  <si>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</si>
  <si>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</si>
  <si>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</si>
  <si>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</si>
  <si>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</si>
  <si>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</si>
  <si>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</si>
  <si>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</si>
  <si>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</si>
  <si>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</si>
  <si>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</si>
  <si>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</si>
  <si>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</si>
  <si>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</si>
  <si>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</si>
  <si>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</si>
  <si>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</si>
  <si>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</si>
  <si>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</si>
  <si>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</si>
  <si>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</si>
  <si>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</si>
  <si>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</si>
  <si>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</si>
  <si>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</si>
  <si>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</si>
  <si>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</si>
  <si>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</si>
  <si>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</si>
  <si>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</si>
  <si>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</si>
  <si>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</si>
  <si>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</si>
  <si>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</si>
  <si>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</si>
  <si>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</si>
  <si>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</si>
  <si>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</si>
  <si>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</si>
  <si>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</si>
  <si>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</si>
  <si>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</si>
  <si>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</si>
  <si>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</si>
  <si>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</si>
  <si>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</si>
  <si>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</si>
  <si>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</si>
  <si>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</si>
  <si>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</si>
  <si>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</si>
  <si>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</si>
  <si>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</si>
  <si>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</si>
  <si>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</si>
  <si>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</si>
  <si>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</si>
  <si>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</si>
  <si>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</si>
  <si>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</si>
  <si>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</si>
  <si>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</si>
  <si>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</si>
  <si>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</si>
  <si>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</si>
  <si>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</si>
  <si>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</si>
  <si>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</si>
  <si>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</si>
  <si>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</si>
  <si>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</si>
  <si>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</si>
  <si>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</si>
  <si>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</si>
  <si>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</si>
  <si>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</si>
  <si>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</si>
  <si>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</si>
  <si>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</si>
  <si>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</si>
  <si>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</si>
  <si>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</si>
  <si>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</si>
  <si>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</si>
  <si>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</si>
  <si>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</si>
  <si>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</si>
  <si>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</si>
  <si>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</si>
  <si>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</si>
  <si>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</si>
  <si>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</si>
  <si>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</si>
  <si>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</si>
  <si>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</si>
  <si>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</si>
  <si>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</si>
  <si>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</si>
  <si>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</si>
  <si>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</si>
  <si>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</si>
  <si>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</si>
  <si>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</si>
  <si>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</si>
  <si>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</si>
  <si>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</si>
  <si>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</si>
  <si>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</si>
  <si>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</si>
  <si>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</si>
  <si>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</si>
  <si>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</si>
  <si>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</si>
  <si>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</si>
  <si>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</si>
  <si>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</si>
  <si>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</si>
  <si>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</si>
  <si>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</si>
  <si>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</si>
  <si>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</si>
  <si>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</si>
  <si>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</si>
  <si>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</si>
  <si>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</si>
  <si>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</si>
  <si>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</si>
  <si>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</si>
  <si>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</si>
  <si>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</si>
  <si>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</si>
  <si>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</si>
  <si>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</si>
  <si>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</si>
  <si>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</si>
  <si>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</si>
  <si>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</si>
  <si>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</si>
  <si>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</si>
  <si>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</si>
  <si>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</si>
  <si>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</si>
  <si>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</si>
  <si>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</si>
  <si>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</si>
  <si>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</si>
  <si>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</si>
  <si>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</si>
  <si>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</si>
  <si>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</si>
  <si>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</si>
  <si>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</si>
  <si>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</si>
  <si>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</si>
  <si>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</si>
  <si>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</si>
  <si>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</si>
  <si>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</si>
  <si>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</si>
  <si>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</si>
  <si>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</si>
  <si>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</si>
  <si>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</si>
  <si>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</si>
  <si>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</si>
  <si>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</si>
  <si>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</si>
  <si>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</si>
  <si>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</si>
  <si>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</si>
  <si>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</si>
  <si>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</si>
  <si>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</si>
  <si>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</si>
  <si>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</si>
  <si>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</si>
  <si>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</si>
  <si>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</si>
  <si>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</si>
  <si>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</si>
  <si>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</si>
  <si>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</si>
  <si>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</si>
  <si>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</si>
  <si>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</si>
  <si>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</si>
  <si>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</si>
  <si>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</si>
  <si>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</si>
  <si>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</si>
  <si>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</si>
  <si>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</si>
  <si>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</si>
  <si>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</si>
  <si>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</si>
  <si>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</si>
  <si>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</si>
  <si>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</si>
  <si>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</si>
  <si>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</si>
  <si>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</si>
  <si>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</si>
  <si>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</si>
  <si>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</si>
  <si>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</si>
  <si>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</si>
  <si>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</si>
  <si>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</si>
  <si>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</si>
  <si>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</si>
  <si>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</si>
  <si>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</si>
  <si>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</si>
  <si>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</si>
  <si>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</si>
  <si>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</si>
  <si>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</si>
  <si>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</si>
  <si>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</si>
  <si>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</si>
  <si>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</si>
  <si>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</si>
  <si>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</si>
  <si>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</si>
  <si>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</si>
  <si>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</si>
  <si>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</si>
  <si>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</si>
  <si>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</si>
  <si>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</si>
  <si>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</si>
  <si>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</si>
  <si>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</si>
  <si>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</si>
  <si>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</si>
  <si>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</si>
  <si>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</si>
  <si>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</si>
  <si>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</si>
  <si>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</si>
  <si>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</si>
  <si>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</si>
  <si>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</si>
  <si>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</si>
  <si>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</si>
  <si>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</si>
  <si>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</si>
  <si>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</si>
  <si>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</si>
  <si>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</si>
  <si>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</si>
  <si>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</si>
  <si>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</si>
  <si>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</si>
  <si>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</si>
  <si>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</si>
  <si>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</si>
  <si>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</si>
  <si>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</si>
  <si>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</si>
  <si>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</si>
  <si>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</si>
  <si>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</si>
  <si>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</si>
  <si>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</si>
  <si>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</si>
  <si>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</si>
  <si>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</si>
  <si>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</si>
  <si>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</si>
  <si>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</si>
  <si>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</si>
  <si>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</si>
  <si>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</si>
  <si>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</si>
  <si>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</si>
  <si>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</si>
  <si>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</si>
  <si>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</si>
  <si>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</si>
  <si>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</si>
  <si>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</si>
  <si>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</si>
  <si>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</si>
  <si>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</si>
  <si>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</si>
  <si>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</si>
  <si>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</si>
  <si>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</si>
  <si>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</si>
  <si>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</si>
  <si>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</si>
  <si>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</si>
  <si>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</si>
  <si>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</si>
  <si>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</si>
  <si>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</si>
  <si>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</si>
  <si>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</si>
  <si>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</si>
  <si>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</si>
  <si>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</si>
  <si>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</si>
  <si>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</si>
  <si>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</si>
  <si>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</si>
  <si>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</si>
  <si>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</si>
  <si>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</si>
  <si>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</si>
  <si>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</si>
  <si>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</si>
  <si>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</si>
  <si>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</si>
  <si>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</si>
  <si>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</si>
  <si>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</si>
  <si>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</si>
  <si>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</si>
  <si>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</si>
  <si>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</si>
  <si>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</si>
  <si>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</si>
  <si>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</si>
  <si>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</si>
  <si>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</si>
  <si>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</si>
  <si>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</si>
  <si>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</si>
  <si>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</si>
  <si>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</si>
  <si>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</si>
  <si>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</si>
  <si>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</si>
  <si>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</si>
  <si>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</si>
  <si>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</si>
  <si>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</si>
  <si>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</si>
  <si>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</si>
  <si>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</si>
  <si>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</si>
  <si>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</si>
  <si>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</si>
  <si>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</si>
  <si>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</si>
  <si>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</si>
  <si>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</si>
  <si>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</si>
  <si>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</si>
  <si>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</si>
  <si>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</si>
  <si>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</si>
  <si>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</si>
  <si>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</si>
  <si>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</si>
  <si>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</si>
  <si>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</si>
  <si>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</si>
  <si>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</si>
  <si>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</si>
  <si>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</si>
  <si>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</si>
  <si>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</si>
  <si>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</si>
  <si>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</si>
  <si>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</si>
  <si>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</si>
  <si>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</si>
  <si>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</si>
  <si>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</si>
  <si>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</si>
  <si>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</si>
  <si>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</si>
  <si>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</si>
  <si>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</si>
  <si>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</si>
  <si>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</si>
  <si>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</si>
  <si>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</si>
  <si>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</si>
  <si>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</si>
  <si>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</si>
  <si>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</si>
  <si>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</si>
  <si>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</si>
  <si>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</si>
  <si>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</si>
  <si>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</si>
  <si>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</si>
  <si>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</si>
  <si>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</si>
  <si>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</si>
  <si>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</si>
  <si>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</si>
  <si>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</si>
  <si>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</si>
  <si>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</si>
  <si>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</si>
  <si>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</si>
  <si>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</si>
  <si>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</si>
  <si>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</si>
  <si>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</si>
  <si>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</si>
  <si>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</si>
  <si>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</si>
  <si>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</si>
  <si>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</si>
  <si>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</si>
  <si>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</si>
  <si>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</si>
  <si>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</si>
  <si>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</si>
  <si>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</si>
  <si>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</si>
  <si>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</si>
  <si>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</si>
  <si>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</si>
  <si>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</si>
  <si>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</si>
  <si>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</si>
  <si>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</si>
  <si>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</si>
  <si>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</si>
  <si>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</si>
  <si>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</si>
  <si>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</si>
  <si>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</si>
  <si>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</si>
  <si>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</si>
  <si>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</si>
  <si>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</si>
  <si>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</si>
  <si>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</si>
  <si>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</si>
  <si>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</si>
  <si>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</si>
  <si>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</si>
  <si>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</si>
  <si>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</si>
  <si>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</si>
  <si>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</si>
  <si>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</si>
  <si>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</si>
  <si>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</si>
  <si>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</si>
  <si>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</si>
  <si>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</si>
  <si>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</si>
  <si>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</si>
  <si>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</si>
  <si>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</si>
  <si>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</si>
  <si>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</si>
  <si>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</si>
  <si>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</si>
  <si>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</si>
  <si>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</si>
  <si>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</si>
  <si>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</si>
  <si>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</si>
  <si>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</si>
  <si>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</si>
  <si>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</si>
  <si>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</si>
  <si>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</si>
  <si>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</si>
  <si>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</si>
  <si>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</si>
  <si>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</si>
  <si>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</si>
  <si>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</si>
  <si>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</si>
  <si>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</si>
  <si>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</si>
  <si>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</si>
  <si>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</si>
  <si>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</si>
  <si>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</si>
  <si>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</si>
  <si>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</si>
  <si>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</si>
  <si>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</si>
  <si>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</si>
  <si>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</si>
  <si>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</si>
  <si>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</si>
  <si>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</si>
  <si>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</si>
  <si>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</si>
  <si>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</si>
  <si>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</si>
  <si>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</si>
  <si>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</si>
  <si>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</si>
  <si>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</si>
  <si>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</si>
  <si>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</si>
  <si>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</si>
  <si>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</si>
  <si>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</si>
  <si>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</si>
  <si>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</si>
  <si>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</si>
  <si>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</si>
  <si>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</si>
  <si>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</si>
  <si>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</si>
  <si>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</si>
  <si>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</si>
  <si>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</si>
  <si>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</si>
  <si>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</si>
  <si>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</si>
  <si>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</si>
  <si>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</si>
  <si>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</si>
  <si>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</si>
  <si>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</si>
  <si>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</si>
  <si>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</si>
  <si>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</si>
  <si>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</si>
  <si>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</si>
  <si>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</si>
  <si>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</si>
  <si>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</si>
  <si>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</si>
  <si>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</si>
  <si>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</si>
  <si>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</si>
  <si>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</si>
  <si>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</si>
  <si>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</si>
  <si>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</si>
  <si>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</si>
  <si>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</si>
  <si>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</si>
  <si>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</si>
  <si>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</si>
  <si>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</si>
  <si>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</si>
  <si>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</si>
  <si>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</si>
  <si>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</si>
  <si>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</si>
  <si>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</si>
  <si>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</si>
  <si>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</si>
  <si>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</si>
  <si>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</si>
  <si>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</si>
  <si>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</si>
  <si>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</si>
  <si>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</si>
  <si>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</si>
  <si>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</si>
  <si>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</si>
  <si>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</si>
  <si>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</si>
  <si>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</si>
  <si>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</si>
  <si>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</si>
  <si>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</si>
  <si>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</si>
  <si>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</si>
  <si>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</si>
  <si>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</si>
  <si>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</si>
  <si>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</si>
  <si>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</si>
  <si>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</si>
  <si>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</si>
  <si>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</si>
  <si>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</si>
  <si>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</si>
  <si>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</si>
  <si>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</si>
  <si>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</si>
  <si>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</si>
  <si>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</si>
  <si>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</si>
  <si>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</si>
  <si>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</si>
  <si>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</si>
  <si>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</si>
  <si>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</si>
  <si>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</si>
  <si>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</si>
  <si>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</si>
  <si>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</si>
  <si>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</si>
  <si>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</si>
  <si>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</si>
  <si>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</si>
  <si>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</si>
  <si>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</si>
  <si>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</si>
  <si>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</si>
  <si>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</si>
  <si>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</si>
  <si>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</si>
  <si>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</si>
  <si>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</si>
  <si>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</si>
  <si>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</si>
  <si>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</si>
  <si>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</si>
  <si>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</si>
  <si>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</si>
  <si>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</si>
  <si>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</si>
  <si>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</si>
  <si>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</si>
  <si>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</si>
  <si>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</si>
  <si>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</si>
  <si>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</si>
  <si>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</si>
  <si>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</si>
  <si>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</si>
  <si>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</si>
  <si>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</si>
  <si>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</si>
  <si>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</si>
  <si>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</si>
  <si>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</si>
  <si>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</si>
  <si>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</si>
  <si>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</si>
  <si>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</si>
  <si>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</si>
  <si>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</si>
  <si>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</si>
  <si>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</si>
  <si>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</si>
  <si>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</si>
  <si>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</si>
  <si>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</si>
  <si>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</si>
  <si>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</si>
  <si>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</si>
  <si>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</si>
  <si>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</si>
  <si>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</si>
  <si>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</si>
  <si>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</si>
  <si>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</si>
  <si>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</si>
  <si>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</si>
  <si>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</si>
  <si>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</si>
  <si>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</si>
  <si>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</si>
  <si>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</si>
  <si>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</si>
  <si>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</si>
  <si>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</si>
  <si>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</si>
  <si>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</si>
  <si>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</si>
  <si>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</si>
  <si>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</si>
  <si>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</si>
  <si>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</si>
  <si>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</si>
  <si>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</si>
  <si>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</si>
  <si>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</si>
  <si>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</si>
  <si>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</si>
  <si>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</si>
  <si>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</si>
  <si>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</si>
  <si>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</si>
  <si>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</si>
  <si>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</si>
  <si>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</si>
  <si>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</si>
  <si>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</si>
  <si>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</si>
  <si>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</si>
  <si>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</si>
  <si>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</si>
  <si>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</si>
  <si>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</si>
  <si>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</si>
  <si>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</si>
  <si>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</si>
  <si>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</si>
  <si>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</si>
  <si>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</si>
  <si>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</si>
  <si>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</si>
  <si>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</si>
  <si>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</si>
  <si>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</si>
  <si>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</si>
  <si>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</si>
  <si>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</si>
  <si>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</si>
  <si>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</si>
  <si>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</si>
  <si>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</si>
  <si>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</si>
  <si>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</si>
  <si>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</si>
  <si>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</si>
  <si>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</si>
  <si>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</si>
  <si>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</si>
  <si>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</si>
  <si>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</si>
  <si>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</si>
  <si>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</si>
  <si>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</si>
  <si>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</si>
  <si>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</si>
  <si>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</si>
  <si>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</si>
  <si>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</si>
  <si>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</si>
  <si>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</si>
  <si>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</si>
  <si>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</si>
  <si>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</si>
  <si>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</si>
  <si>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</si>
  <si>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</si>
  <si>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</si>
  <si>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</si>
  <si>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</si>
  <si>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</si>
  <si>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</si>
  <si>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</si>
  <si>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</si>
  <si>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</si>
  <si>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</si>
  <si>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</si>
  <si>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</si>
  <si>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</si>
  <si>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</si>
  <si>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</si>
  <si>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</si>
  <si>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</si>
  <si>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</si>
  <si>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</si>
  <si>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</si>
  <si>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</si>
  <si>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</si>
  <si>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</si>
  <si>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</si>
  <si>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</si>
  <si>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</si>
  <si>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</si>
  <si>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</si>
  <si>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</si>
  <si>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</si>
  <si>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</si>
  <si>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</si>
  <si>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</si>
  <si>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</si>
  <si>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</si>
  <si>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</si>
  <si>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</si>
  <si>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</si>
  <si>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</si>
  <si>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</si>
  <si>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</si>
  <si>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</si>
  <si>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</si>
  <si>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</si>
  <si>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</si>
  <si>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</si>
  <si>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</si>
  <si>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</si>
  <si>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</si>
  <si>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</si>
  <si>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</si>
  <si>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</si>
  <si>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</si>
  <si>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</si>
  <si>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</si>
  <si>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</si>
  <si>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</si>
  <si>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</si>
  <si>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</si>
  <si>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</si>
  <si>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</si>
  <si>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</si>
  <si>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</si>
  <si>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</si>
  <si>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</si>
  <si>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</si>
  <si>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</si>
  <si>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</si>
  <si>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</si>
  <si>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</si>
  <si>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</si>
  <si>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</si>
  <si>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</si>
  <si>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</si>
  <si>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</si>
  <si>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</si>
  <si>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</si>
  <si>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</si>
  <si>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</si>
  <si>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</si>
  <si>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</si>
  <si>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</si>
  <si>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</si>
  <si>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</si>
  <si>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</si>
  <si>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</si>
  <si>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</si>
  <si>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</si>
  <si>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</si>
  <si>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</si>
  <si>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</si>
  <si>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</si>
  <si>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</si>
  <si>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</si>
  <si>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</si>
  <si>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</si>
  <si>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</si>
  <si>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</si>
  <si>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</si>
  <si>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</si>
  <si>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</si>
  <si>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</si>
  <si>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</si>
  <si>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</si>
  <si>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</si>
  <si>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</si>
  <si>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</si>
  <si>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</si>
  <si>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</si>
  <si>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</si>
  <si>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</si>
  <si>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</si>
  <si>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</si>
  <si>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</si>
  <si>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</si>
  <si>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</si>
  <si>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</si>
  <si>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</si>
  <si>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</si>
  <si>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</si>
  <si>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</si>
  <si>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</si>
  <si>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</si>
  <si>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</si>
  <si>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</si>
  <si>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</si>
  <si>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</si>
  <si>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</si>
  <si>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</si>
  <si>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</si>
  <si>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</si>
  <si>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</si>
  <si>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</si>
  <si>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</si>
  <si>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</si>
  <si>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</si>
  <si>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</si>
  <si>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</si>
  <si>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</si>
  <si>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</si>
  <si>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</si>
  <si>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</si>
  <si>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</si>
  <si>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</si>
  <si>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</si>
  <si>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</si>
  <si>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</si>
  <si>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</si>
  <si>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</si>
  <si>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</si>
  <si>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</si>
  <si>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</si>
  <si>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</si>
  <si>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</si>
  <si>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</si>
  <si>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</si>
  <si>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</si>
  <si>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</si>
  <si>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</si>
  <si>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</si>
  <si>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</si>
  <si>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</si>
  <si>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</si>
  <si>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</si>
  <si>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</si>
  <si>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</si>
  <si>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</si>
  <si>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</si>
  <si>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</si>
  <si>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</si>
  <si>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</si>
  <si>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</si>
  <si>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</si>
  <si>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</si>
  <si>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</si>
  <si>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</si>
  <si>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</si>
  <si>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</si>
  <si>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</si>
  <si>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</si>
  <si>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</si>
  <si>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</si>
  <si>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</si>
  <si>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</si>
  <si>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</si>
  <si>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</si>
  <si>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</si>
  <si>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</si>
  <si>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</si>
  <si>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</si>
  <si>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</si>
  <si>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</si>
  <si>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</si>
  <si>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</si>
  <si>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</si>
  <si>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</si>
  <si>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</si>
  <si>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</si>
  <si>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</si>
  <si>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</si>
  <si>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</si>
  <si>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</si>
  <si>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</si>
  <si>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</si>
  <si>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</si>
  <si>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</si>
  <si>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</si>
  <si>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</si>
  <si>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</si>
  <si>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</si>
  <si>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</si>
  <si>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</si>
  <si>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</si>
  <si>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</si>
  <si>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</si>
  <si>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</si>
  <si>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</si>
  <si>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</si>
  <si>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</si>
  <si>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</si>
  <si>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</si>
  <si>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</si>
  <si>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</si>
  <si>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</si>
  <si>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</si>
  <si>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</si>
  <si>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</si>
  <si>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</si>
  <si>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</si>
  <si>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</si>
  <si>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</si>
  <si>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</si>
  <si>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</si>
  <si>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</si>
  <si>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</si>
  <si>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</si>
  <si>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</si>
  <si>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</si>
  <si>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</si>
  <si>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</si>
  <si>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</si>
  <si>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</si>
  <si>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</si>
  <si>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</si>
  <si>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</si>
  <si>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</si>
  <si>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</si>
  <si>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</si>
  <si>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</si>
  <si>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</si>
  <si>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</si>
  <si>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</si>
  <si>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</si>
  <si>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</si>
  <si>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</si>
  <si>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</si>
  <si>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</si>
  <si>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</si>
  <si>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</si>
  <si>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王鹏</t>
  </si>
  <si>
    <t>郑燚</t>
  </si>
  <si>
    <t>中信信托有限责任公司</t>
    <phoneticPr fontId="6" type="noConversion"/>
  </si>
  <si>
    <t>遵义市新区建投集团有限公司</t>
    <phoneticPr fontId="6" type="noConversion"/>
  </si>
  <si>
    <t>抵押</t>
  </si>
  <si>
    <t>房地产抵押价值</t>
  </si>
  <si>
    <t>其他：</t>
  </si>
  <si>
    <t>贵州省</t>
    <phoneticPr fontId="6" type="noConversion"/>
  </si>
  <si>
    <t>遵义市新蒲新区府前路</t>
    <phoneticPr fontId="6" type="noConversion"/>
  </si>
  <si>
    <t>遵义市新区建投集团有限公司</t>
    <phoneticPr fontId="6" type="noConversion"/>
  </si>
  <si>
    <t>企业</t>
  </si>
  <si>
    <t>出让</t>
  </si>
  <si>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</si>
  <si>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黔（</t>
    </r>
    <r>
      <rPr>
        <sz val="12"/>
        <color theme="9" tint="-0.249977111117893"/>
        <rFont val="Arial"/>
        <family val="2"/>
      </rPr>
      <t>2017</t>
    </r>
    <r>
      <rPr>
        <sz val="12"/>
        <color theme="9" tint="-0.249977111117893"/>
        <rFont val="宋体"/>
        <family val="3"/>
        <charset val="134"/>
      </rPr>
      <t>）遵义市不动产权第</t>
    </r>
    <r>
      <rPr>
        <sz val="12"/>
        <color theme="9" tint="-0.249977111117893"/>
        <rFont val="Arial"/>
        <family val="2"/>
      </rPr>
      <t>0014085</t>
    </r>
    <r>
      <rPr>
        <sz val="12"/>
        <color theme="9" tint="-0.249977111117893"/>
        <rFont val="宋体"/>
        <family val="3"/>
        <charset val="134"/>
      </rPr>
      <t>号</t>
    </r>
    <r>
      <rPr>
        <sz val="12"/>
        <color theme="9" tint="-0.249977111117893"/>
        <rFont val="Arial"/>
        <family val="2"/>
      </rPr>
      <t>]</t>
    </r>
    <phoneticPr fontId="6" type="noConversion"/>
  </si>
  <si>
    <t>否</t>
  </si>
  <si>
    <t>2017-XP-57</t>
    <phoneticPr fontId="3" type="noConversion"/>
  </si>
  <si>
    <r>
      <rPr>
        <sz val="11"/>
        <color indexed="8"/>
        <rFont val="宋体"/>
        <family val="3"/>
        <charset val="134"/>
      </rPr>
      <t>商业</t>
    </r>
    <r>
      <rPr>
        <sz val="11"/>
        <color indexed="8"/>
        <rFont val="Arial"/>
        <family val="2"/>
      </rPr>
      <t>40</t>
    </r>
    <r>
      <rPr>
        <sz val="11"/>
        <color indexed="8"/>
        <rFont val="宋体"/>
        <family val="3"/>
        <charset val="134"/>
      </rPr>
      <t>年</t>
    </r>
    <phoneticPr fontId="31" type="noConversion"/>
  </si>
  <si>
    <t>正常</t>
  </si>
  <si>
    <t>商业</t>
    <phoneticPr fontId="31" type="noConversion"/>
  </si>
  <si>
    <t>主干道</t>
  </si>
  <si>
    <t>主干道</t>
    <phoneticPr fontId="31" type="noConversion"/>
  </si>
  <si>
    <t>较规则</t>
  </si>
  <si>
    <t>五通</t>
  </si>
  <si>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</si>
  <si>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</si>
  <si>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</si>
  <si>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</si>
  <si>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</si>
  <si>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</si>
  <si>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</si>
  <si>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</si>
  <si>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</si>
  <si>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</si>
  <si>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</si>
  <si>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</si>
  <si>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t>
    <phoneticPr fontId="3" type="noConversion"/>
  </si>
  <si>
    <t>六通</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</si>
  <si>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</si>
  <si>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</si>
  <si>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</si>
  <si>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</si>
  <si>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</si>
  <si>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r>
      <rPr>
        <sz val="11"/>
        <color indexed="8"/>
        <rFont val="宋体"/>
        <family val="3"/>
        <charset val="134"/>
      </rPr>
      <t>商业</t>
    </r>
    <r>
      <rPr>
        <sz val="11"/>
        <color indexed="8"/>
        <rFont val="Arial"/>
        <family val="2"/>
      </rPr>
      <t>40</t>
    </r>
    <r>
      <rPr>
        <sz val="11"/>
        <color indexed="8"/>
        <rFont val="宋体"/>
        <family val="3"/>
        <charset val="134"/>
      </rPr>
      <t>年</t>
    </r>
    <phoneticPr fontId="31" type="noConversion"/>
  </si>
  <si>
    <t>较好</t>
  </si>
  <si>
    <t>单面临街</t>
  </si>
  <si>
    <t>比例较适宜</t>
  </si>
  <si>
    <t>五通一平</t>
  </si>
  <si>
    <r>
      <rPr>
        <sz val="12"/>
        <color theme="9" tint="-0.249977111117893"/>
        <rFont val="宋体"/>
        <family val="3"/>
        <charset val="134"/>
      </rPr>
      <t>商业</t>
    </r>
    <r>
      <rPr>
        <sz val="12"/>
        <color theme="9" tint="-0.249977111117893"/>
        <rFont val="Arial"/>
        <family val="2"/>
      </rPr>
      <t>38.99</t>
    </r>
    <r>
      <rPr>
        <sz val="12"/>
        <color theme="9" tint="-0.249977111117893"/>
        <rFont val="宋体"/>
        <family val="3"/>
        <charset val="134"/>
      </rPr>
      <t>年</t>
    </r>
    <phoneticPr fontId="6" type="noConversion"/>
  </si>
  <si>
    <r>
      <rPr>
        <sz val="11"/>
        <color indexed="8"/>
        <rFont val="宋体"/>
        <family val="3"/>
        <charset val="134"/>
      </rPr>
      <t>商业</t>
    </r>
    <r>
      <rPr>
        <sz val="11"/>
        <color indexed="8"/>
        <rFont val="Arial"/>
        <family val="2"/>
      </rPr>
      <t>38.99</t>
    </r>
    <r>
      <rPr>
        <sz val="11"/>
        <color indexed="8"/>
        <rFont val="宋体"/>
        <family val="3"/>
        <charset val="134"/>
      </rPr>
      <t>年</t>
    </r>
    <phoneticPr fontId="31" type="noConversion"/>
  </si>
  <si>
    <t xml:space="preserve"> 2017-XP-97</t>
    <phoneticPr fontId="3" type="noConversion"/>
  </si>
  <si>
    <t>2017-XP-47</t>
    <phoneticPr fontId="3" type="noConversion"/>
  </si>
  <si>
    <t>贵阳监测指标情况一览表</t>
  </si>
  <si>
    <t>时间</t>
  </si>
  <si>
    <t>水平值</t>
  </si>
  <si>
    <t>环比增长率</t>
  </si>
  <si>
    <t>指数</t>
  </si>
  <si>
    <t>请录依据文件名称：http://www.gzegn.gov.cn/lawguide/52000020180104110404027028.jspx</t>
    <phoneticPr fontId="3" type="noConversion"/>
  </si>
  <si>
    <r>
      <t>1</t>
    </r>
    <r>
      <rPr>
        <sz val="10"/>
        <color indexed="8"/>
        <rFont val="宋体"/>
        <family val="3"/>
        <charset val="134"/>
      </rPr>
      <t>号楼</t>
    </r>
    <phoneticPr fontId="3" type="noConversion"/>
  </si>
  <si>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</si>
  <si>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</si>
  <si>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t>地下</t>
  </si>
  <si>
    <t>地下</t>
    <phoneticPr fontId="3" type="noConversion"/>
  </si>
  <si>
    <t>地下餐厅</t>
  </si>
  <si>
    <t>地下办公</t>
  </si>
  <si>
    <t>是</t>
  </si>
  <si>
    <t>地上</t>
  </si>
  <si>
    <t>办公楼</t>
  </si>
  <si>
    <t>车库</t>
  </si>
  <si>
    <t>食堂</t>
  </si>
  <si>
    <t>地上办公</t>
  </si>
  <si>
    <t>地上办公</t>
    <phoneticPr fontId="7" type="noConversion"/>
  </si>
  <si>
    <t>地下车库</t>
    <phoneticPr fontId="7" type="noConversion"/>
  </si>
  <si>
    <t>地下餐厅</t>
    <phoneticPr fontId="7" type="noConversion"/>
  </si>
  <si>
    <r>
      <rPr>
        <sz val="11"/>
        <color indexed="8"/>
        <rFont val="宋体"/>
        <family val="3"/>
        <charset val="134"/>
      </rPr>
      <t>地下办公</t>
    </r>
    <r>
      <rPr>
        <sz val="11"/>
        <color indexed="8"/>
        <rFont val="Arial"/>
        <family val="2"/>
      </rPr>
      <t xml:space="preserve"> </t>
    </r>
    <phoneticPr fontId="7" type="noConversion"/>
  </si>
  <si>
    <t>地上办公</t>
    <phoneticPr fontId="16" type="noConversion"/>
  </si>
  <si>
    <t>地下办公</t>
    <phoneticPr fontId="16" type="noConversion"/>
  </si>
  <si>
    <t>地下餐厅</t>
    <phoneticPr fontId="16" type="noConversion"/>
  </si>
  <si>
    <t>地下车库</t>
    <phoneticPr fontId="16" type="noConversion"/>
  </si>
  <si>
    <t xml:space="preserve">地下办公 </t>
  </si>
  <si>
    <t>在建（套用方法）</t>
  </si>
  <si>
    <t>押一</t>
  </si>
  <si>
    <t>钢混</t>
  </si>
  <si>
    <t>非生产用房</t>
  </si>
  <si>
    <t>成本法</t>
  </si>
  <si>
    <t>假设开发法</t>
  </si>
  <si>
    <t>项目全部</t>
  </si>
  <si>
    <t>http://kaili.leju.com/news/2014-02-27/10222625905.shtml</t>
    <phoneticPr fontId="3" type="noConversion"/>
  </si>
  <si>
    <t>其他省市请录依据文件名称：http://kaili.leju.com/news/2014-02-27/10222625905.shtml</t>
    <phoneticPr fontId="3" type="noConversion"/>
  </si>
  <si>
    <t>http://www.zunyi.gov.cn/zysdsj/xxgk_3527/zpfl_3529/fgwj_3534/bmwj_3538/201612/t20161209_449497.html</t>
    <phoneticPr fontId="3" type="noConversion"/>
  </si>
  <si>
    <t>http://www.zysgtzyj.gov.cn/E_ReadNews.asp?NewsId=2442</t>
    <phoneticPr fontId="3" type="noConversion"/>
  </si>
  <si>
    <t>http://www.chinabaike.com/law/df/gzhou/1411815.html</t>
  </si>
  <si>
    <t>成本比率</t>
  </si>
  <si>
    <t>土地面积</t>
  </si>
  <si>
    <t>遵义市新蒲新区建设项目（一期）清单</t>
  </si>
  <si>
    <t>序号</t>
  </si>
  <si>
    <t>项目名称</t>
  </si>
  <si>
    <t>建设规模</t>
  </si>
  <si>
    <t>总投资（万元）</t>
  </si>
  <si>
    <t>建设单位管理费（万元）</t>
  </si>
  <si>
    <t>业主单位</t>
  </si>
  <si>
    <t>备注</t>
  </si>
  <si>
    <t>一、新蒲新城（共36个）</t>
  </si>
  <si>
    <t>遵义市广电新闻中心建设项目</t>
  </si>
  <si>
    <t>总建筑面积45000平方米</t>
  </si>
  <si>
    <t>遵义市广播电视台</t>
  </si>
  <si>
    <t>遵义医学院附属医院新蒲分院建设项目一期工程</t>
  </si>
  <si>
    <t>总建筑面积113000平方米</t>
  </si>
  <si>
    <t>遵义医学院附属医院</t>
  </si>
  <si>
    <t>新蒲镇大山地质灾害搬迁工程（二期）项目</t>
  </si>
  <si>
    <t>总建筑面积80000平方米</t>
  </si>
  <si>
    <t>新蒲镇人民政府</t>
  </si>
  <si>
    <t>遵义四中公租房建设项目</t>
  </si>
  <si>
    <t>总建筑面积12000平方米</t>
  </si>
  <si>
    <t>遵义四中</t>
  </si>
  <si>
    <t>遵义医药高等专科学校新蒲校区一期工程</t>
  </si>
  <si>
    <t>总建筑面积370000平方米</t>
  </si>
  <si>
    <t>遵义医药高等专科学校</t>
  </si>
  <si>
    <t>遵义师范学院（遵义大学）新蒲校区一期工程</t>
  </si>
  <si>
    <t>总建筑面积50000平方米</t>
  </si>
  <si>
    <t>遵义师范学院</t>
  </si>
  <si>
    <t>遵义市新区建投集团有限公司大厦建设项目</t>
  </si>
  <si>
    <t>总建筑面积182700平方米</t>
  </si>
  <si>
    <t>遵义市新区建投集团有限公司</t>
  </si>
  <si>
    <t>遵义市东部新区新蒲湿地公园建设项目</t>
  </si>
  <si>
    <t>总占地面积2500亩</t>
  </si>
  <si>
    <t>遵义市新区开发投资有限责任公司</t>
  </si>
  <si>
    <t>遵义市东部新区中桥高新技术产业孵化园区道路工程</t>
  </si>
  <si>
    <t>全长？？米，宽？？米</t>
  </si>
  <si>
    <t>帮政府修建</t>
  </si>
  <si>
    <t>遵义市新区开发投资有限责任公司综合楼建设项目</t>
  </si>
  <si>
    <t>总建筑面积54500平方米</t>
  </si>
  <si>
    <t>遵义市新蒲新区1号路道路工程</t>
  </si>
  <si>
    <t>遵义市新蒲新区2号路道路工程</t>
  </si>
  <si>
    <t>遵义市新蒲新区3号路道路工程</t>
  </si>
  <si>
    <t>遵义市新蒲新区4号路道路工程</t>
  </si>
  <si>
    <t>遵义市新蒲新区5号路道路工程</t>
  </si>
  <si>
    <t>遵义市新蒲新区6号路道路工程</t>
  </si>
  <si>
    <t>遵义市新蒲新区7号路道路工程</t>
  </si>
  <si>
    <t>遵义市新蒲新区新蒲组团校园1号路工程</t>
  </si>
  <si>
    <t>遵义市新蒲新区新蒲组团校园2号路工程</t>
  </si>
  <si>
    <t>遵义市高新快线道路工程（新蒲段）</t>
  </si>
  <si>
    <t>遵义市新蒲新区新龙路道路工程</t>
  </si>
  <si>
    <t>遵义市新蒲城市组团马家河路工程</t>
  </si>
  <si>
    <t>遵义市新蒲新区新蒲新城奥体路工程</t>
  </si>
  <si>
    <t>遵义市新蒲新区新蒲新城府前路工程</t>
  </si>
  <si>
    <t>遵义市新蒲新区排水（雨水）一期工程</t>
  </si>
  <si>
    <t>全长？？米</t>
  </si>
  <si>
    <t>遵义市新蒲新区新蒲组团棚户区改造工程一号还房建设项目</t>
  </si>
  <si>
    <t>总建筑面积450000平方米</t>
  </si>
  <si>
    <t>遵义市新蒲新区新蒲组团棚户区改造工程二号还房建设项目</t>
  </si>
  <si>
    <t>总建筑面积350000平方米</t>
  </si>
  <si>
    <t>遵义市新蒲新区新蒲组团棚户区改造工程三号还房建设项目</t>
  </si>
  <si>
    <t>总建筑面积120000平方米</t>
  </si>
  <si>
    <t>遵义市新蒲新区新蒲组团棚户区改造工程四号还房建设项目</t>
  </si>
  <si>
    <t>总建筑面积160000平方米</t>
  </si>
  <si>
    <t>遵义市新蒲新区棚户区改造五号还房小区项目</t>
  </si>
  <si>
    <t>遵义市新蒲新区新蒲组团棚户区改造工程六号还房建设项目</t>
  </si>
  <si>
    <t>总建筑面积143000平方米</t>
  </si>
  <si>
    <t>贵州省蚕业（辣椒）研究所还房工程</t>
  </si>
  <si>
    <t>贵州省蚕业（辣椒）研究所新蒲新区试验基地建设项目</t>
  </si>
  <si>
    <t>总建筑面积？？平方米</t>
  </si>
  <si>
    <t>红花岗区惠民小区新蒲廉租房建设项目</t>
  </si>
  <si>
    <t>遵义市新蒲新区污水处理工程中桥污水处理厂工程</t>
  </si>
  <si>
    <t>日处理污水？？吨</t>
  </si>
  <si>
    <t>遵义市新蒲新区污水处理工程湘江污水处理厂工程</t>
  </si>
  <si>
    <t>二、空港新城（共4个）</t>
  </si>
  <si>
    <t>遵义机场高速公路工程</t>
  </si>
  <si>
    <t>遵义市机场大道建设项目</t>
  </si>
  <si>
    <t>新舟空港城市组团棚户区改造一号还房小区程一期工程</t>
  </si>
  <si>
    <t>遵义市新蒲高级中学（新舟中学）改扩建工程</t>
  </si>
  <si>
    <t>新舟中学</t>
  </si>
  <si>
    <t>三、礼仪新城（共17个）</t>
  </si>
  <si>
    <t>遵义市新火车站片区棚户区改造工程一号还房建设项目</t>
  </si>
  <si>
    <t>遵义市新火车站片区棚户区改造工程一号还房（三期）建设项目</t>
  </si>
  <si>
    <t>遵义市新火车站片区棚户区改造工程三号还房建设项目</t>
  </si>
  <si>
    <t>遵义市新火车站片区犀牛湾棚户区及旧住宅区综合整治项目</t>
  </si>
  <si>
    <t>遵义市新火车站片区周边基础设施土石方平场一期工程</t>
  </si>
  <si>
    <t>遵义市新蒲新区东联2号路（东城大道至礼仪坝段）工程</t>
  </si>
  <si>
    <t>遵义市新蒲新区东联2号路（东城大道至山王殿）工程</t>
  </si>
  <si>
    <t>遵义市新蒲新区东联2号路（迎宾大道西段）工程</t>
  </si>
  <si>
    <t>遵义市新蒲新区东联2号路（迎宾大道西段）拉槽土石方平场工程</t>
  </si>
  <si>
    <t>遵义市新蒲新区东联2号路（迎宾大道川黔铁路至站前广场段）工程</t>
  </si>
  <si>
    <t>遵义市新蒲新区东联2号路绿化工程</t>
  </si>
  <si>
    <t>新蒲新区东联2号路与3号路连接段道路工程</t>
  </si>
  <si>
    <t>遵义市新火车站城市组团湘江大道跨湘江河大桥工程</t>
  </si>
  <si>
    <t>新火车站城市组团礼仪片区道路网络工程</t>
  </si>
  <si>
    <t>新火车站片区新南大道附属工程（洪水台土石方平场工程）</t>
  </si>
  <si>
    <t>遵义市新火车站城市组团新南大道跨湘江河大桥工程</t>
  </si>
  <si>
    <t>遵义市新火车站片区新南大道工程</t>
  </si>
  <si>
    <t>已包含在土地取得成本中</t>
  </si>
  <si>
    <t>情况3</t>
  </si>
  <si>
    <t>新蒲新区兴遵大道与播州大道交叉口西南侧</t>
    <phoneticPr fontId="3" type="noConversion"/>
  </si>
  <si>
    <t>新蒲新区长征大道西侧</t>
    <phoneticPr fontId="3" type="noConversion"/>
  </si>
  <si>
    <t>新蒲新区高新快线与府前路交叉口西南侧</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</si>
</sst>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quot;￥&quot;#,##0.00_);[Red]\(&quot;￥&quot;#,##0.00\)"/>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
      <sz val="11"/>
      <name val="仿宋_GB2312"/>
      <family val="3"/>
      <charset val="134"/>
    </font>
    <font>
      <sz val="9"/>
      <color rgb="FF78B43C"/>
      <name val="微软雅黑"/>
      <family val="2"/>
      <charset val="134"/>
    </font>
    <font>
      <sz val="11"/>
      <color rgb="FF313131"/>
      <name val="微软雅黑"/>
      <family val="2"/>
      <charset val="134"/>
    </font>
    <font>
      <b/>
      <sz val="18"/>
      <name val="宋体"/>
      <family val="3"/>
      <charset val="134"/>
    </font>
    <font>
      <sz val="12"/>
      <name val="仿宋_GB2312"/>
      <family val="3"/>
      <charset val="134"/>
    </font>
    <font>
      <sz val="12"/>
      <color indexed="8"/>
      <name val="仿宋_GB2312"/>
      <family val="3"/>
      <charset val="134"/>
    </font>
    <font>
      <sz val="8"/>
      <name val="宋体"/>
      <family val="3"/>
      <charset val="134"/>
    </font>
    <font>
      <b/>
      <sz val="14"/>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37" fillId="0" borderId="0">
      <alignment vertical="center"/>
    </xf>
  </cellStyleXfs>
  <cellXfs count="334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256" fillId="0" borderId="0" xfId="0" applyFont="1" applyAlignment="1">
      <alignment horizontal="center" vertical="center" wrapText="1"/>
    </xf>
    <xf numFmtId="0" fontId="257" fillId="17" borderId="156" xfId="0" applyFont="1" applyFill="1" applyBorder="1" applyAlignment="1">
      <alignment horizontal="center"/>
    </xf>
    <xf numFmtId="0" fontId="257" fillId="17" borderId="157" xfId="0" applyFont="1" applyFill="1" applyBorder="1" applyAlignment="1">
      <alignment horizontal="center"/>
    </xf>
    <xf numFmtId="0" fontId="183" fillId="0" borderId="0" xfId="0" applyFont="1" applyAlignment="1">
      <alignment horizontal="left" vertical="center" wrapText="1"/>
    </xf>
    <xf numFmtId="0" fontId="183" fillId="0" borderId="158" xfId="0" applyFont="1" applyBorder="1" applyAlignment="1">
      <alignment horizontal="right" vertical="center" wrapText="1"/>
    </xf>
    <xf numFmtId="0" fontId="183" fillId="18" borderId="0" xfId="0" applyFont="1" applyFill="1" applyAlignment="1">
      <alignment horizontal="left" vertical="center" wrapText="1"/>
    </xf>
    <xf numFmtId="0" fontId="183" fillId="18" borderId="158" xfId="0" applyFont="1" applyFill="1" applyBorder="1" applyAlignment="1">
      <alignment horizontal="right" vertical="center" wrapText="1"/>
    </xf>
    <xf numFmtId="0" fontId="183" fillId="19" borderId="0" xfId="0" applyFont="1" applyFill="1" applyAlignment="1">
      <alignment horizontal="left" vertical="center" wrapText="1"/>
    </xf>
    <xf numFmtId="0" fontId="183" fillId="19" borderId="158" xfId="0" applyFont="1" applyFill="1" applyBorder="1" applyAlignment="1">
      <alignment horizontal="right" vertical="center" wrapText="1"/>
    </xf>
    <xf numFmtId="0" fontId="122" fillId="6" borderId="0" xfId="0" applyFont="1" applyFill="1" applyAlignment="1" applyProtection="1">
      <alignment horizontal="left" vertical="center"/>
      <protection locked="0"/>
    </xf>
    <xf numFmtId="0" fontId="80" fillId="0" borderId="1" xfId="0" applyFont="1" applyBorder="1" applyAlignment="1" applyProtection="1">
      <alignment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43" fillId="6" borderId="0" xfId="0" applyFont="1" applyFill="1" applyAlignment="1" applyProtection="1">
      <alignment vertical="center"/>
      <protection locked="0"/>
    </xf>
    <xf numFmtId="0" fontId="56" fillId="5" borderId="49" xfId="1" applyNumberFormat="1" applyFont="1" applyFill="1" applyBorder="1" applyAlignment="1" applyProtection="1">
      <alignment horizontal="center" vertical="center"/>
      <protection locked="0"/>
    </xf>
    <xf numFmtId="0" fontId="99" fillId="0" borderId="0" xfId="0" applyFont="1">
      <alignment vertical="center"/>
    </xf>
    <xf numFmtId="0" fontId="37" fillId="0" borderId="0" xfId="13">
      <alignment vertical="center"/>
    </xf>
    <xf numFmtId="0" fontId="37" fillId="0" borderId="0" xfId="13" applyBorder="1">
      <alignment vertical="center"/>
    </xf>
    <xf numFmtId="0" fontId="163" fillId="0" borderId="1" xfId="13" applyFont="1" applyBorder="1" applyAlignment="1">
      <alignment horizontal="center" vertical="center"/>
    </xf>
    <xf numFmtId="0" fontId="163" fillId="0" borderId="1" xfId="13" applyFont="1" applyFill="1" applyBorder="1" applyAlignment="1">
      <alignment horizontal="center" vertical="center"/>
    </xf>
    <xf numFmtId="0" fontId="163" fillId="0" borderId="1" xfId="13" applyFont="1" applyFill="1" applyBorder="1" applyAlignment="1">
      <alignment horizontal="center" vertical="center" wrapText="1"/>
    </xf>
    <xf numFmtId="0" fontId="163" fillId="0" borderId="5" xfId="13" applyFont="1" applyFill="1" applyBorder="1" applyAlignment="1">
      <alignment horizontal="center" vertical="center"/>
    </xf>
    <xf numFmtId="0" fontId="37" fillId="0" borderId="1" xfId="13" applyBorder="1">
      <alignment vertical="center"/>
    </xf>
    <xf numFmtId="0" fontId="67" fillId="0" borderId="1" xfId="13" applyFont="1" applyBorder="1" applyAlignment="1">
      <alignment horizontal="center" vertical="center"/>
    </xf>
    <xf numFmtId="0" fontId="259" fillId="0" borderId="1" xfId="13" applyFont="1" applyBorder="1" applyAlignment="1">
      <alignment horizontal="center" vertical="center"/>
    </xf>
    <xf numFmtId="0" fontId="259" fillId="0" borderId="1" xfId="13" applyFont="1" applyBorder="1" applyAlignment="1">
      <alignment horizontal="center" vertical="center" wrapText="1"/>
    </xf>
    <xf numFmtId="197" fontId="259" fillId="0" borderId="1" xfId="13" applyNumberFormat="1" applyFont="1" applyFill="1" applyBorder="1" applyAlignment="1">
      <alignment horizontal="center" vertical="center"/>
    </xf>
    <xf numFmtId="197" fontId="259" fillId="0" borderId="1" xfId="13" applyNumberFormat="1" applyFont="1" applyBorder="1" applyAlignment="1">
      <alignment horizontal="center" vertical="center"/>
    </xf>
    <xf numFmtId="197" fontId="260" fillId="3" borderId="1" xfId="13" applyNumberFormat="1" applyFont="1" applyFill="1" applyBorder="1" applyAlignment="1">
      <alignment horizontal="center" vertical="center" wrapText="1"/>
    </xf>
    <xf numFmtId="0" fontId="37" fillId="0" borderId="5" xfId="13" applyFont="1" applyBorder="1" applyAlignment="1">
      <alignment horizontal="center" vertical="center"/>
    </xf>
    <xf numFmtId="197" fontId="37" fillId="0" borderId="0" xfId="13" applyNumberFormat="1" applyBorder="1">
      <alignment vertical="center"/>
    </xf>
    <xf numFmtId="197" fontId="260" fillId="0" borderId="1" xfId="13" applyNumberFormat="1" applyFont="1" applyBorder="1" applyAlignment="1">
      <alignment horizontal="center" vertical="center" wrapText="1"/>
    </xf>
    <xf numFmtId="0" fontId="37" fillId="0" borderId="0" xfId="13" applyFill="1" applyBorder="1">
      <alignment vertical="center"/>
    </xf>
    <xf numFmtId="8" fontId="259" fillId="0" borderId="1" xfId="13" applyNumberFormat="1" applyFont="1" applyBorder="1" applyAlignment="1">
      <alignment horizontal="center" vertical="center"/>
    </xf>
    <xf numFmtId="0" fontId="37" fillId="0" borderId="1" xfId="13" applyFont="1" applyBorder="1" applyAlignment="1">
      <alignment horizontal="center" vertical="center"/>
    </xf>
    <xf numFmtId="0" fontId="190" fillId="0" borderId="1" xfId="13" applyFont="1" applyFill="1" applyBorder="1" applyAlignment="1">
      <alignment horizontal="center" vertical="center"/>
    </xf>
    <xf numFmtId="197" fontId="190" fillId="0" borderId="1" xfId="13" applyNumberFormat="1" applyFont="1" applyBorder="1" applyAlignment="1">
      <alignment horizontal="center" vertical="center" wrapText="1"/>
    </xf>
    <xf numFmtId="0" fontId="261" fillId="0" borderId="1" xfId="13" applyFont="1" applyBorder="1" applyAlignment="1">
      <alignment horizontal="center" vertical="center" wrapText="1"/>
    </xf>
    <xf numFmtId="197" fontId="37" fillId="0" borderId="1" xfId="13" applyNumberFormat="1" applyFont="1" applyBorder="1" applyAlignment="1">
      <alignment horizontal="center" vertical="center"/>
    </xf>
    <xf numFmtId="0" fontId="37" fillId="0" borderId="1" xfId="13" applyFont="1" applyFill="1" applyBorder="1" applyAlignment="1">
      <alignment horizontal="center" vertical="center"/>
    </xf>
    <xf numFmtId="197" fontId="260" fillId="0" borderId="1" xfId="13" applyNumberFormat="1" applyFont="1" applyBorder="1" applyAlignment="1">
      <alignment horizontal="center" vertical="center"/>
    </xf>
    <xf numFmtId="0" fontId="262" fillId="0" borderId="1" xfId="13" applyFont="1" applyFill="1" applyBorder="1" applyAlignment="1">
      <alignment horizontal="center" vertical="center"/>
    </xf>
    <xf numFmtId="197" fontId="262" fillId="0" borderId="1" xfId="13" applyNumberFormat="1" applyFont="1" applyBorder="1" applyAlignment="1">
      <alignment horizontal="center" vertical="center"/>
    </xf>
    <xf numFmtId="0" fontId="37" fillId="0" borderId="1" xfId="13" applyBorder="1" applyAlignment="1">
      <alignment horizontal="center" vertical="center"/>
    </xf>
    <xf numFmtId="0" fontId="37" fillId="0" borderId="5" xfId="13" applyBorder="1">
      <alignment vertical="center"/>
    </xf>
    <xf numFmtId="0" fontId="37" fillId="0" borderId="0" xfId="13" applyAlignment="1">
      <alignment horizontal="justify" vertical="center"/>
    </xf>
    <xf numFmtId="0" fontId="37" fillId="0" borderId="0" xfId="13" applyAlignment="1">
      <alignment horizontal="center" vertical="center"/>
    </xf>
    <xf numFmtId="0" fontId="37" fillId="0" borderId="0" xfId="13" applyAlignment="1">
      <alignment vertical="center"/>
    </xf>
    <xf numFmtId="0" fontId="81" fillId="0" borderId="1" xfId="13" applyFont="1" applyBorder="1" applyAlignment="1">
      <alignment horizontal="center" vertical="center"/>
    </xf>
    <xf numFmtId="0" fontId="81" fillId="0" borderId="1" xfId="13" applyFont="1" applyBorder="1" applyAlignment="1">
      <alignment horizontal="center" vertical="center" wrapText="1"/>
    </xf>
    <xf numFmtId="197" fontId="81" fillId="0" borderId="1" xfId="13" applyNumberFormat="1" applyFont="1" applyBorder="1" applyAlignment="1">
      <alignment horizontal="center" vertical="center"/>
    </xf>
    <xf numFmtId="177" fontId="47" fillId="9" borderId="5" xfId="1" applyNumberFormat="1" applyFont="1" applyFill="1" applyBorder="1" applyAlignment="1" applyProtection="1">
      <alignment vertical="center"/>
      <protection locked="0"/>
    </xf>
    <xf numFmtId="0" fontId="47" fillId="9" borderId="23" xfId="0" applyNumberFormat="1" applyFont="1" applyFill="1" applyBorder="1" applyAlignment="1" applyProtection="1">
      <alignment horizontal="center" vertical="center" wrapText="1"/>
      <protection locked="0"/>
    </xf>
    <xf numFmtId="0" fontId="54" fillId="9" borderId="6" xfId="0" applyNumberFormat="1" applyFont="1" applyFill="1" applyBorder="1" applyAlignment="1" applyProtection="1">
      <alignment horizontal="center" vertical="center" wrapText="1"/>
      <protection locked="0"/>
    </xf>
    <xf numFmtId="49" fontId="54" fillId="9" borderId="23" xfId="0" applyNumberFormat="1" applyFont="1" applyFill="1" applyBorder="1" applyAlignment="1" applyProtection="1">
      <alignment horizontal="center" vertical="center" wrapText="1"/>
      <protection locked="0"/>
    </xf>
    <xf numFmtId="0" fontId="57" fillId="9" borderId="24" xfId="1" applyFont="1" applyFill="1" applyBorder="1" applyAlignment="1" applyProtection="1">
      <alignment horizontal="left" vertical="center"/>
      <protection locked="0"/>
    </xf>
    <xf numFmtId="0" fontId="50" fillId="9" borderId="3" xfId="0"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99" fillId="6" borderId="0"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8" fillId="0" borderId="0" xfId="13" applyFont="1" applyBorder="1" applyAlignment="1">
      <alignment horizontal="center" vertical="center"/>
    </xf>
    <xf numFmtId="0" fontId="67" fillId="0" borderId="1" xfId="13" applyFont="1" applyBorder="1" applyAlignment="1">
      <alignment horizontal="center" vertical="center"/>
    </xf>
    <xf numFmtId="197" fontId="260" fillId="0" borderId="1" xfId="13" applyNumberFormat="1" applyFont="1" applyBorder="1" applyAlignment="1">
      <alignment horizontal="center" vertical="center" wrapText="1"/>
    </xf>
    <xf numFmtId="197" fontId="259" fillId="0" borderId="1" xfId="13" applyNumberFormat="1" applyFont="1" applyBorder="1" applyAlignment="1">
      <alignment horizontal="center" vertical="center"/>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685799</xdr:colOff>
      <xdr:row>29</xdr:row>
      <xdr:rowOff>129894</xdr:rowOff>
    </xdr:to>
    <xdr:pic>
      <xdr:nvPicPr>
        <xdr:cNvPr id="2" name="图片 1">
          <a:extLst>
            <a:ext uri="{FF2B5EF4-FFF2-40B4-BE49-F238E27FC236}">
              <a16:creationId xmlns=""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0" y="0"/>
          <a:ext cx="7543799" cy="5101944"/>
        </a:xfrm>
        <a:prstGeom prst="rect">
          <a:avLst/>
        </a:prstGeom>
      </xdr:spPr>
    </xdr:pic>
    <xdr:clientData/>
  </xdr:twoCellAnchor>
  <xdr:twoCellAnchor editAs="oneCell">
    <xdr:from>
      <xdr:col>0</xdr:col>
      <xdr:colOff>0</xdr:colOff>
      <xdr:row>29</xdr:row>
      <xdr:rowOff>133351</xdr:rowOff>
    </xdr:from>
    <xdr:to>
      <xdr:col>11</xdr:col>
      <xdr:colOff>9525</xdr:colOff>
      <xdr:row>59</xdr:row>
      <xdr:rowOff>135554</xdr:rowOff>
    </xdr:to>
    <xdr:pic>
      <xdr:nvPicPr>
        <xdr:cNvPr id="4" name="图片 3">
          <a:extLst>
            <a:ext uri="{FF2B5EF4-FFF2-40B4-BE49-F238E27FC236}">
              <a16:creationId xmlns="" xmlns:a16="http://schemas.microsoft.com/office/drawing/2014/main" id="{00000000-0008-0000-2F00-000004000000}"/>
            </a:ext>
          </a:extLst>
        </xdr:cNvPr>
        <xdr:cNvPicPr>
          <a:picLocks noChangeAspect="1"/>
        </xdr:cNvPicPr>
      </xdr:nvPicPr>
      <xdr:blipFill>
        <a:blip xmlns:r="http://schemas.openxmlformats.org/officeDocument/2006/relationships" r:embed="rId2"/>
        <a:stretch>
          <a:fillRect/>
        </a:stretch>
      </xdr:blipFill>
      <xdr:spPr>
        <a:xfrm>
          <a:off x="0" y="5105401"/>
          <a:ext cx="7553325" cy="5145703"/>
        </a:xfrm>
        <a:prstGeom prst="rect">
          <a:avLst/>
        </a:prstGeom>
      </xdr:spPr>
    </xdr:pic>
    <xdr:clientData/>
  </xdr:twoCellAnchor>
  <xdr:twoCellAnchor editAs="oneCell">
    <xdr:from>
      <xdr:col>0</xdr:col>
      <xdr:colOff>1</xdr:colOff>
      <xdr:row>60</xdr:row>
      <xdr:rowOff>0</xdr:rowOff>
    </xdr:from>
    <xdr:to>
      <xdr:col>10</xdr:col>
      <xdr:colOff>657225</xdr:colOff>
      <xdr:row>89</xdr:row>
      <xdr:rowOff>147696</xdr:rowOff>
    </xdr:to>
    <xdr:pic>
      <xdr:nvPicPr>
        <xdr:cNvPr id="6" name="图片 5">
          <a:extLst>
            <a:ext uri="{FF2B5EF4-FFF2-40B4-BE49-F238E27FC236}">
              <a16:creationId xmlns="" xmlns:a16="http://schemas.microsoft.com/office/drawing/2014/main" id="{00000000-0008-0000-2F00-000006000000}"/>
            </a:ext>
          </a:extLst>
        </xdr:cNvPr>
        <xdr:cNvPicPr>
          <a:picLocks noChangeAspect="1"/>
        </xdr:cNvPicPr>
      </xdr:nvPicPr>
      <xdr:blipFill>
        <a:blip xmlns:r="http://schemas.openxmlformats.org/officeDocument/2006/relationships" r:embed="rId3"/>
        <a:stretch>
          <a:fillRect/>
        </a:stretch>
      </xdr:blipFill>
      <xdr:spPr>
        <a:xfrm>
          <a:off x="1" y="10287000"/>
          <a:ext cx="7515224" cy="5119746"/>
        </a:xfrm>
        <a:prstGeom prst="rect">
          <a:avLst/>
        </a:prstGeom>
      </xdr:spPr>
    </xdr:pic>
    <xdr:clientData/>
  </xdr:twoCellAnchor>
  <xdr:twoCellAnchor editAs="oneCell">
    <xdr:from>
      <xdr:col>0</xdr:col>
      <xdr:colOff>0</xdr:colOff>
      <xdr:row>89</xdr:row>
      <xdr:rowOff>142875</xdr:rowOff>
    </xdr:from>
    <xdr:to>
      <xdr:col>11</xdr:col>
      <xdr:colOff>9525</xdr:colOff>
      <xdr:row>119</xdr:row>
      <xdr:rowOff>150979</xdr:rowOff>
    </xdr:to>
    <xdr:pic>
      <xdr:nvPicPr>
        <xdr:cNvPr id="7" name="图片 6">
          <a:extLst>
            <a:ext uri="{FF2B5EF4-FFF2-40B4-BE49-F238E27FC236}">
              <a16:creationId xmlns="" xmlns:a16="http://schemas.microsoft.com/office/drawing/2014/main" id="{00000000-0008-0000-2F00-000007000000}"/>
            </a:ext>
          </a:extLst>
        </xdr:cNvPr>
        <xdr:cNvPicPr>
          <a:picLocks noChangeAspect="1"/>
        </xdr:cNvPicPr>
      </xdr:nvPicPr>
      <xdr:blipFill>
        <a:blip xmlns:r="http://schemas.openxmlformats.org/officeDocument/2006/relationships" r:embed="rId4"/>
        <a:stretch>
          <a:fillRect/>
        </a:stretch>
      </xdr:blipFill>
      <xdr:spPr>
        <a:xfrm>
          <a:off x="0" y="15401925"/>
          <a:ext cx="7553325" cy="5151604"/>
        </a:xfrm>
        <a:prstGeom prst="rect">
          <a:avLst/>
        </a:prstGeom>
      </xdr:spPr>
    </xdr:pic>
    <xdr:clientData/>
  </xdr:twoCellAnchor>
  <xdr:twoCellAnchor editAs="oneCell">
    <xdr:from>
      <xdr:col>11</xdr:col>
      <xdr:colOff>9525</xdr:colOff>
      <xdr:row>0</xdr:row>
      <xdr:rowOff>0</xdr:rowOff>
    </xdr:from>
    <xdr:to>
      <xdr:col>28</xdr:col>
      <xdr:colOff>541402</xdr:colOff>
      <xdr:row>39</xdr:row>
      <xdr:rowOff>122974</xdr:rowOff>
    </xdr:to>
    <xdr:pic>
      <xdr:nvPicPr>
        <xdr:cNvPr id="9" name="图片 8">
          <a:extLst>
            <a:ext uri="{FF2B5EF4-FFF2-40B4-BE49-F238E27FC236}">
              <a16:creationId xmlns="" xmlns:a16="http://schemas.microsoft.com/office/drawing/2014/main" id="{00000000-0008-0000-2F00-000009000000}"/>
            </a:ext>
          </a:extLst>
        </xdr:cNvPr>
        <xdr:cNvPicPr>
          <a:picLocks noChangeAspect="1"/>
        </xdr:cNvPicPr>
      </xdr:nvPicPr>
      <xdr:blipFill>
        <a:blip xmlns:r="http://schemas.openxmlformats.org/officeDocument/2006/relationships" r:embed="rId5"/>
        <a:stretch>
          <a:fillRect/>
        </a:stretch>
      </xdr:blipFill>
      <xdr:spPr>
        <a:xfrm>
          <a:off x="7553325" y="0"/>
          <a:ext cx="12190477" cy="68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贵州省遵义市新蒲新区府前路出让国有建设用地使用权及在建建筑物房地产抵押价值预评估</v>
      </c>
    </row>
    <row r="3" spans="1:2" s="1595" customFormat="1">
      <c r="A3" s="1593" t="s">
        <v>1221</v>
      </c>
      <c r="B3" s="1594" t="str">
        <f>'预评函-封皮'!B40</f>
        <v>中信信托有限责任公司</v>
      </c>
    </row>
    <row r="4" spans="1:2" s="1595" customFormat="1">
      <c r="A4" s="1593" t="s">
        <v>1222</v>
      </c>
      <c r="B4" s="1594" t="str">
        <f ca="1">'预评函-封皮'!B46</f>
        <v>王鹏（注册号：1120050019)、郑燚（注册号：1120070131)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受贵公司委托，我公司对贵州省遵义市新蒲新区府前路出让国有建设用地使用权及在建建筑物房地产抵押价值进行了预评估。</v>
      </c>
    </row>
    <row r="7" spans="1:2" s="1595" customFormat="1">
      <c r="A7" s="1593" t="s">
        <v>1264</v>
      </c>
      <c r="B7" s="1594" t="str">
        <f>'预评函-1'!A7</f>
        <v>估价对象为贵州省遵义市新蒲新区府前路出让国有建设用地使用权及在建建筑物房地产，为遵义市新区建投集团有限公司所有。根据《不动产权证书》[黔（2017）遵义市不动产权第0014085号]，估价对象（分摊）出让国有建设用地使用权面积为81202平方米，建筑面积为178615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贵州省遵义市新蒲新区府前路出让国有建设用地使用权及在建建筑物房地产,为遵义市新区建投集团有限公司开发建设的，该项目尚在开发建设中。根据《不动产权证书》[黔（2017）遵义市不动产权第0014085号]，估价对象（分摊）出让国有建设用地使用权面积为81202平方米，规划建筑面积为178615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遵义市新区建投集团有限公司拟使用贵州省遵义市新蒲新区府前路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2018年5月28日（评估专业人员实地查勘之日）</v>
      </c>
    </row>
    <row r="13" spans="1:2" s="1595" customFormat="1">
      <c r="A13" s="1593" t="s">
        <v>1227</v>
      </c>
      <c r="B13" s="1594" t="str">
        <f>'预评函-1'!A18</f>
        <v>本次估价的“房地产价值”是指在正常市场情况下，在价值时点2018年5月28日，估价对象规划用途为，土地取得方式为出让，出让国有建设用地使用权剩余土地使用年限为商业38.99年，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红线内场地平整条件下，剩余土地使用年限为商业38.99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本次评估采用的主估价方法为成本法和假设开发法。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132651</v>
      </c>
    </row>
    <row r="21" spans="1:2" s="1595" customFormat="1">
      <c r="A21" s="1593" t="s">
        <v>1235</v>
      </c>
      <c r="B21" s="1594">
        <f ca="1">'预评函-2'!D7</f>
        <v>7427</v>
      </c>
    </row>
    <row r="22" spans="1:2" s="1595" customFormat="1">
      <c r="A22" s="1593" t="s">
        <v>1236</v>
      </c>
      <c r="B22" s="1594" t="str">
        <f ca="1">'预评函-2'!D6</f>
        <v>壹拾叁亿贰仟陆佰伍拾壹万元整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132651</v>
      </c>
    </row>
    <row r="31" spans="1:2" s="1595" customFormat="1">
      <c r="A31" s="1593" t="s">
        <v>1274</v>
      </c>
      <c r="B31" s="1594">
        <f ca="1">'预评函-2'!D15</f>
        <v>7427</v>
      </c>
    </row>
    <row r="32" spans="1:2" s="1595" customFormat="1">
      <c r="A32" s="1593" t="s">
        <v>1241</v>
      </c>
      <c r="B32" s="1594" t="str">
        <f ca="1">'预评函-2'!D14</f>
        <v>壹拾叁亿贰仟陆佰伍拾壹万元整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贵州省遵义市新蒲新区府前路出让国有建设用地使用权及在建建筑物房地产</v>
      </c>
    </row>
    <row r="42" spans="1:2" s="1595" customFormat="1">
      <c r="A42" s="1593" t="s">
        <v>1288</v>
      </c>
      <c r="B42" s="1594" t="str">
        <f>'预评函-3'!B2</f>
        <v>建筑面积</v>
      </c>
    </row>
    <row r="43" spans="1:2" s="1595" customFormat="1">
      <c r="A43" s="1593" t="s">
        <v>1289</v>
      </c>
      <c r="B43" s="1594">
        <f>'预评函-3'!B4</f>
        <v>178615</v>
      </c>
    </row>
    <row r="44" spans="1:2" s="1595" customFormat="1">
      <c r="A44" s="1593" t="s">
        <v>1273</v>
      </c>
      <c r="B44" s="1594" t="str">
        <f>'预评函-3'!C2</f>
        <v>(分摊)土地面积</v>
      </c>
    </row>
    <row r="45" spans="1:2" s="1595" customFormat="1">
      <c r="A45" s="1593" t="s">
        <v>1245</v>
      </c>
      <c r="B45" s="1594">
        <f>'预评函-3'!C4</f>
        <v>81202</v>
      </c>
    </row>
    <row r="46" spans="1:2" s="1595" customFormat="1">
      <c r="A46" s="1593" t="s">
        <v>1271</v>
      </c>
      <c r="B46" s="1594" t="str">
        <f>'预评函-3'!D2</f>
        <v>出让国有建设用地使用权价值</v>
      </c>
    </row>
    <row r="47" spans="1:2" s="1595" customFormat="1">
      <c r="A47" s="1593" t="s">
        <v>1246</v>
      </c>
      <c r="B47" s="1594">
        <f ca="1">'预评函-3'!D4</f>
        <v>20561</v>
      </c>
    </row>
    <row r="48" spans="1:2" s="1595" customFormat="1">
      <c r="A48" s="1593" t="s">
        <v>1247</v>
      </c>
      <c r="B48" s="1594">
        <f ca="1">'预评函-3'!E4</f>
        <v>1151</v>
      </c>
    </row>
    <row r="49" spans="1:2" s="1595" customFormat="1">
      <c r="A49" s="1593" t="s">
        <v>1248</v>
      </c>
      <c r="B49" s="1594" t="str">
        <f ca="1">'预评函-3'!D5</f>
        <v>贰亿零伍佰陆拾壹万元整</v>
      </c>
    </row>
    <row r="50" spans="1:2" s="1595" customFormat="1">
      <c r="A50" s="1593" t="s">
        <v>1272</v>
      </c>
      <c r="B50" s="1594" t="str">
        <f>'预评函-3'!F2</f>
        <v>在建建筑物价值</v>
      </c>
    </row>
    <row r="51" spans="1:2" s="1595" customFormat="1">
      <c r="A51" s="1593" t="s">
        <v>1249</v>
      </c>
      <c r="B51" s="1594">
        <f ca="1">'预评函-3'!F4</f>
        <v>112090</v>
      </c>
    </row>
    <row r="52" spans="1:2" s="1595" customFormat="1">
      <c r="A52" s="1593" t="s">
        <v>1250</v>
      </c>
      <c r="B52" s="1594">
        <f ca="1">'预评函-3'!G4</f>
        <v>6276</v>
      </c>
    </row>
    <row r="53" spans="1:2" s="1595" customFormat="1">
      <c r="A53" s="1593" t="s">
        <v>1278</v>
      </c>
      <c r="B53" s="1594" t="str">
        <f ca="1">'预评函-3'!F5</f>
        <v>壹拾壹亿贰仟零玖拾万元整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王鹏</v>
      </c>
    </row>
    <row r="71" spans="1:2">
      <c r="A71" s="1593" t="s">
        <v>1261</v>
      </c>
      <c r="B71" s="1594">
        <f ca="1">'预评函-4'!B4</f>
        <v>1120050019</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0" sqref="I20"/>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6" customWidth="1"/>
    <col min="10" max="10" width="10" style="2034" customWidth="1"/>
    <col min="11" max="11" width="10" style="2157" customWidth="1"/>
    <col min="12" max="13" width="10" style="2158" customWidth="1"/>
    <col min="14" max="14" width="10" style="2034" customWidth="1"/>
    <col min="15" max="15" width="10" style="2156" customWidth="1"/>
    <col min="16" max="17" width="10" style="2034"/>
    <col min="18" max="18" width="10" style="2034" customWidth="1"/>
    <col min="19" max="16384" width="10" style="2034"/>
  </cols>
  <sheetData>
    <row r="1" spans="1:19" ht="38.25" customHeight="1" thickBot="1">
      <c r="A1" s="2027" t="s">
        <v>1776</v>
      </c>
      <c r="B1" s="3067" t="str">
        <f>IF(B10="北京市","北京市",C10)&amp;F10&amp;IF(结果表!G1="在建","出让国有建设用地使用权及在建建筑物",IF(结果表!G1="土地","出让国有建设用地使用权",))&amp;B9&amp;"预评估"</f>
        <v>贵州省遵义市新蒲新区府前路出让国有建设用地使用权及在建建筑物房地产抵押价值预评估</v>
      </c>
      <c r="C1" s="3068"/>
      <c r="D1" s="3068"/>
      <c r="E1" s="3068"/>
      <c r="F1" s="3068"/>
      <c r="G1" s="3068"/>
      <c r="H1" s="3068"/>
      <c r="I1" s="3069"/>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贵州省遵义市新蒲新区府前路出让国有建设用地使用权及在建建筑物房地产抵押价值</v>
      </c>
    </row>
    <row r="2" spans="1:19" ht="18" customHeight="1">
      <c r="A2" s="2028" t="s">
        <v>1777</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贵州省遵义市新蒲新区府前路出让国有建设用地使用权及在建建筑物房地产</v>
      </c>
    </row>
    <row r="3" spans="1:19" ht="18" customHeight="1">
      <c r="A3" s="2037" t="s">
        <v>1778</v>
      </c>
      <c r="B3" s="2038">
        <v>43248</v>
      </c>
      <c r="C3" s="2039" t="s">
        <v>1779</v>
      </c>
      <c r="D3" s="2038">
        <v>43248</v>
      </c>
      <c r="E3" s="2028"/>
      <c r="F3" s="2028"/>
      <c r="G3" s="2028"/>
      <c r="H3" s="2028"/>
      <c r="I3" s="2028"/>
      <c r="J3" s="2028"/>
      <c r="K3" s="2029"/>
      <c r="L3" s="2030"/>
      <c r="M3" s="2030"/>
      <c r="N3" s="2031"/>
      <c r="O3" s="2032"/>
      <c r="P3" s="2031"/>
      <c r="Q3" s="2031"/>
      <c r="R3" s="2031"/>
      <c r="S3" s="2033"/>
    </row>
    <row r="4" spans="1:19" ht="18" customHeight="1" thickBot="1">
      <c r="A4" s="2040" t="s">
        <v>1780</v>
      </c>
      <c r="B4" s="2041" t="s">
        <v>3035</v>
      </c>
      <c r="C4" s="1039">
        <f ca="1">SUMIF(注册房地产估价师,B4,估价师及机构信息!B3:B24)</f>
        <v>1120050019</v>
      </c>
      <c r="D4" s="2041" t="s">
        <v>3036</v>
      </c>
      <c r="E4" s="1040">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王鹏（注册号：1120050019)、郑燚（注册号：1120070131)</v>
      </c>
      <c r="L4" s="2030"/>
      <c r="M4" s="2030"/>
      <c r="N4" s="2031"/>
      <c r="O4" s="2032"/>
      <c r="P4" s="2031"/>
      <c r="Q4" s="2031"/>
      <c r="R4" s="2031"/>
      <c r="S4" s="2033"/>
    </row>
    <row r="5" spans="1:19" ht="18" customHeight="1" thickTop="1">
      <c r="A5" s="2046" t="s">
        <v>1781</v>
      </c>
      <c r="B5" s="2940" t="s">
        <v>3037</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41" t="s">
        <v>3037</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942" t="s">
        <v>3038</v>
      </c>
      <c r="C7" s="2050"/>
      <c r="D7" s="2051"/>
      <c r="E7" s="2036"/>
      <c r="F7" s="2044"/>
      <c r="G7" s="2044"/>
      <c r="H7" s="2044"/>
      <c r="I7" s="2044"/>
      <c r="J7" s="2044"/>
      <c r="K7" s="2053"/>
      <c r="L7" s="2030"/>
      <c r="M7" s="2030"/>
      <c r="N7" s="2031"/>
      <c r="O7" s="2032"/>
      <c r="P7" s="2031"/>
      <c r="Q7" s="2031"/>
      <c r="R7" s="2031"/>
    </row>
    <row r="8" spans="1:19" ht="18" customHeight="1">
      <c r="A8" s="2049" t="s">
        <v>1784</v>
      </c>
      <c r="B8" s="2054" t="s">
        <v>3039</v>
      </c>
      <c r="C8" s="2055"/>
      <c r="D8" s="3070" t="s">
        <v>1785</v>
      </c>
      <c r="E8" s="2056" t="s">
        <v>3040</v>
      </c>
      <c r="F8" s="2057"/>
      <c r="G8" s="2028"/>
      <c r="H8" s="2028"/>
      <c r="I8" s="2028"/>
      <c r="J8" s="2044"/>
      <c r="K8" s="2045"/>
      <c r="L8" s="2030"/>
      <c r="M8" s="2030"/>
      <c r="N8" s="2031"/>
      <c r="O8" s="2032"/>
      <c r="P8" s="2031"/>
      <c r="Q8" s="2031"/>
      <c r="R8" s="2031"/>
    </row>
    <row r="9" spans="1:19" ht="18" customHeight="1" thickBot="1">
      <c r="A9" s="2042" t="s">
        <v>1786</v>
      </c>
      <c r="B9" s="2058" t="s">
        <v>3040</v>
      </c>
      <c r="C9" s="2059"/>
      <c r="D9" s="3071"/>
      <c r="E9" s="2058"/>
      <c r="F9" s="2060"/>
      <c r="G9" s="2061"/>
      <c r="H9" s="2061"/>
      <c r="I9" s="2061"/>
      <c r="J9" s="2044"/>
      <c r="K9" s="2053"/>
      <c r="L9" s="2030"/>
      <c r="M9" s="2030"/>
      <c r="N9" s="2031"/>
      <c r="O9" s="2032"/>
      <c r="P9" s="2031"/>
      <c r="Q9" s="2031"/>
      <c r="R9" s="2031"/>
    </row>
    <row r="10" spans="1:19" ht="18" customHeight="1" thickTop="1">
      <c r="A10" s="2062" t="s">
        <v>1787</v>
      </c>
      <c r="B10" s="2063" t="s">
        <v>3041</v>
      </c>
      <c r="C10" s="2943" t="s">
        <v>3042</v>
      </c>
      <c r="D10" s="2048"/>
      <c r="E10" s="2064" t="s">
        <v>1788</v>
      </c>
      <c r="F10" s="2944" t="s">
        <v>3043</v>
      </c>
      <c r="G10" s="2065"/>
      <c r="H10" s="2066"/>
      <c r="I10" s="2048"/>
      <c r="J10" s="2044"/>
      <c r="K10" s="2053"/>
      <c r="L10" s="2030"/>
      <c r="M10" s="2030"/>
      <c r="N10" s="2031"/>
      <c r="O10" s="2032"/>
      <c r="P10" s="2031"/>
      <c r="Q10" s="2031"/>
      <c r="R10" s="2031"/>
    </row>
    <row r="11" spans="1:19" ht="18" customHeight="1">
      <c r="A11" s="2067" t="s">
        <v>1789</v>
      </c>
      <c r="B11" s="2068" t="s">
        <v>3045</v>
      </c>
      <c r="C11" s="2945" t="s">
        <v>3044</v>
      </c>
      <c r="D11" s="2069"/>
      <c r="E11" s="2044"/>
      <c r="F11" s="2044"/>
      <c r="G11" s="2044"/>
      <c r="H11" s="2044"/>
      <c r="I11" s="2044"/>
      <c r="J11" s="2044"/>
      <c r="K11" s="2053"/>
      <c r="L11" s="2030"/>
      <c r="M11" s="2030"/>
      <c r="N11" s="2031"/>
      <c r="O11" s="2032"/>
      <c r="P11" s="2031"/>
      <c r="Q11" s="2031"/>
      <c r="R11" s="2031"/>
    </row>
    <row r="12" spans="1:19" ht="18" customHeight="1">
      <c r="A12" s="2070" t="s">
        <v>1790</v>
      </c>
      <c r="B12" s="2068" t="s">
        <v>3046</v>
      </c>
      <c r="C12" s="2071" t="s">
        <v>1791</v>
      </c>
      <c r="D12" s="2072" t="s">
        <v>1792</v>
      </c>
      <c r="E12" s="2072" t="s">
        <v>1793</v>
      </c>
      <c r="F12" s="2072" t="s">
        <v>1794</v>
      </c>
      <c r="G12" s="2072" t="s">
        <v>1795</v>
      </c>
      <c r="H12" s="2072" t="s">
        <v>1796</v>
      </c>
      <c r="I12" s="2072" t="s">
        <v>1797</v>
      </c>
      <c r="J12" s="2044"/>
      <c r="K12" s="2053"/>
      <c r="L12" s="2030"/>
      <c r="M12" s="2030"/>
      <c r="N12" s="2031"/>
      <c r="O12" s="2032"/>
      <c r="P12" s="2031"/>
      <c r="Q12" s="2031"/>
      <c r="R12" s="2031"/>
    </row>
    <row r="13" spans="1:19" ht="18" customHeight="1">
      <c r="A13" s="2073"/>
      <c r="B13" s="2074"/>
      <c r="C13" s="2075" t="s">
        <v>1798</v>
      </c>
      <c r="D13" s="2076"/>
      <c r="E13" s="2076">
        <v>57481</v>
      </c>
      <c r="F13" s="2076">
        <v>57481</v>
      </c>
      <c r="G13" s="2076">
        <v>57481</v>
      </c>
      <c r="H13" s="2076"/>
      <c r="I13" s="1049"/>
      <c r="J13" s="2044"/>
      <c r="K13" s="2053"/>
      <c r="L13" s="2030"/>
      <c r="M13" s="2030"/>
      <c r="N13" s="2031"/>
      <c r="O13" s="2032"/>
      <c r="P13" s="2031"/>
      <c r="Q13" s="2031"/>
      <c r="R13" s="2031"/>
    </row>
    <row r="14" spans="1:19" ht="18" customHeight="1">
      <c r="A14" s="2073"/>
      <c r="B14" s="2074"/>
      <c r="C14" s="2075" t="s">
        <v>1799</v>
      </c>
      <c r="D14" s="1052"/>
      <c r="E14" s="1052">
        <v>40</v>
      </c>
      <c r="F14" s="1052">
        <v>40</v>
      </c>
      <c r="G14" s="1052">
        <v>40</v>
      </c>
      <c r="H14" s="1052"/>
      <c r="I14" s="1052"/>
      <c r="J14" s="2044"/>
      <c r="K14" s="2077"/>
      <c r="L14" s="2030"/>
      <c r="M14" s="2030"/>
      <c r="N14" s="2031"/>
      <c r="O14" s="2032"/>
      <c r="P14" s="2031"/>
      <c r="Q14" s="2031"/>
      <c r="R14" s="2031"/>
    </row>
    <row r="15" spans="1:19" ht="18" customHeight="1">
      <c r="A15" s="2062"/>
      <c r="B15" s="2078"/>
      <c r="C15" s="2075" t="s">
        <v>1800</v>
      </c>
      <c r="D15" s="1051" t="str">
        <f>IF(B12="出让",IF(D13="","",ROUNDDOWN(MIN((D13-$D$3)/365,D14),2)),D14)</f>
        <v/>
      </c>
      <c r="E15" s="1051">
        <f>IF(B12="出让",IF(E13="","",ROUNDDOWN(MIN((E13-$D$3)/365,E14),2)),E14)</f>
        <v>38.99</v>
      </c>
      <c r="F15" s="1051">
        <f>IF(B12="出让",IF(F13="","",ROUNDDOWN(MIN((F13-$D$3)/365,F14),2)),F14)</f>
        <v>38.99</v>
      </c>
      <c r="G15" s="1051">
        <f>IF(B12="出让",IF(G13="","",ROUNDDOWN(MIN((G13-$D$3)/365,G14),2)),G14)</f>
        <v>38.99</v>
      </c>
      <c r="H15" s="1051" t="str">
        <f>IF(B12="出让",IF(H13="","",ROUNDDOWN(MIN((H13-$D$3)/365,H14),2)),H14)</f>
        <v/>
      </c>
      <c r="I15" s="1051" t="str">
        <f>IF(B12="出让",IF(I13="","",ROUNDDOWN(MIN((I13-$D$3)/365,I14),2)),I14)</f>
        <v/>
      </c>
      <c r="J15" s="2044"/>
      <c r="K15" s="2079"/>
      <c r="L15" s="2080"/>
      <c r="M15" s="2080"/>
      <c r="N15" s="2081"/>
      <c r="O15" s="2080"/>
      <c r="P15" s="2081"/>
      <c r="Q15" s="2031"/>
      <c r="R15" s="2031"/>
    </row>
    <row r="16" spans="1:19" ht="30.75" customHeight="1">
      <c r="A16" s="2064" t="s">
        <v>1801</v>
      </c>
      <c r="B16" s="3077"/>
      <c r="C16" s="3078"/>
      <c r="D16" s="3079"/>
      <c r="E16" s="2082" t="s">
        <v>1802</v>
      </c>
      <c r="F16" s="3080" t="s">
        <v>3082</v>
      </c>
      <c r="G16" s="3081"/>
      <c r="H16" s="3081"/>
      <c r="I16" s="3082"/>
      <c r="J16" s="2031"/>
      <c r="K16" s="2079"/>
      <c r="L16" s="2080"/>
      <c r="M16" s="2080"/>
      <c r="N16" s="2081"/>
      <c r="O16" s="2080"/>
      <c r="P16" s="2081"/>
      <c r="Q16" s="2031"/>
      <c r="R16" s="2031"/>
    </row>
    <row r="17" spans="1:22" ht="18" customHeight="1">
      <c r="A17" s="2083" t="s">
        <v>1803</v>
      </c>
      <c r="B17" s="2037" t="s">
        <v>1804</v>
      </c>
      <c r="C17" s="1056">
        <f>'数据-汇总表'!E3</f>
        <v>178615</v>
      </c>
      <c r="D17" s="2084" t="s">
        <v>1805</v>
      </c>
      <c r="E17" s="3083" t="s">
        <v>3047</v>
      </c>
      <c r="F17" s="3084"/>
      <c r="G17" s="3084"/>
      <c r="H17" s="3084"/>
      <c r="I17" s="3085"/>
      <c r="J17" s="2031"/>
      <c r="K17" s="2085"/>
      <c r="L17" s="2080"/>
      <c r="M17" s="2080"/>
      <c r="N17" s="2081"/>
      <c r="O17" s="2080"/>
      <c r="P17" s="2081"/>
      <c r="Q17" s="2031"/>
      <c r="R17" s="2031"/>
      <c r="S17" s="2031"/>
      <c r="T17" s="2031"/>
      <c r="U17" s="2031"/>
      <c r="V17" s="2031"/>
    </row>
    <row r="18" spans="1:22" ht="36" customHeight="1" thickBot="1">
      <c r="A18" s="2086" t="s">
        <v>1806</v>
      </c>
      <c r="B18" s="2040" t="s">
        <v>1807</v>
      </c>
      <c r="C18" s="1446">
        <f>'数据-汇总表'!D3</f>
        <v>81202</v>
      </c>
      <c r="D18" s="2087" t="s">
        <v>1805</v>
      </c>
      <c r="E18" s="3086" t="s">
        <v>3048</v>
      </c>
      <c r="F18" s="3087"/>
      <c r="G18" s="3087"/>
      <c r="H18" s="3087"/>
      <c r="I18" s="3088"/>
      <c r="J18" s="2031"/>
      <c r="K18" s="2085"/>
      <c r="L18" s="2080"/>
      <c r="M18" s="2080"/>
      <c r="N18" s="2081"/>
      <c r="O18" s="2080"/>
      <c r="P18" s="2081"/>
      <c r="Q18" s="2031"/>
      <c r="R18" s="2031"/>
      <c r="S18" s="2031"/>
      <c r="T18" s="2031"/>
      <c r="U18" s="2031"/>
      <c r="V18" s="2031"/>
    </row>
    <row r="19" spans="1:22" ht="37.5" customHeight="1" thickTop="1" thickBot="1">
      <c r="A19" s="372" t="s">
        <v>1808</v>
      </c>
      <c r="B19" s="351" t="s">
        <v>1809</v>
      </c>
      <c r="C19" s="2088" t="s">
        <v>3049</v>
      </c>
      <c r="D19" s="2089" t="s">
        <v>1810</v>
      </c>
      <c r="E19" s="2090" t="s">
        <v>3049</v>
      </c>
      <c r="F19" s="2091" t="str">
        <f>IF(AND(C19="是",E19="否"),"是否提供他项权证或相关说明","")</f>
        <v/>
      </c>
      <c r="G19" s="2092" t="s">
        <v>3049</v>
      </c>
      <c r="H19" s="2044"/>
      <c r="I19" s="2044"/>
      <c r="J19" s="2044"/>
      <c r="K19" s="2053"/>
      <c r="L19" s="2030"/>
      <c r="M19" s="2030"/>
      <c r="N19" s="2081"/>
      <c r="O19" s="2080"/>
      <c r="P19" s="2081"/>
      <c r="Q19" s="2031"/>
      <c r="R19" s="2031"/>
      <c r="S19" s="2031"/>
      <c r="T19" s="2031"/>
      <c r="U19" s="2031"/>
      <c r="V19" s="2031"/>
    </row>
    <row r="20" spans="1:22" ht="18" customHeight="1">
      <c r="A20" s="2093" t="s">
        <v>1811</v>
      </c>
      <c r="B20" s="3073" t="s">
        <v>1812</v>
      </c>
      <c r="C20" s="3074"/>
      <c r="D20" s="3075" t="s">
        <v>1813</v>
      </c>
      <c r="E20" s="3076"/>
      <c r="F20" s="2094" t="s">
        <v>1814</v>
      </c>
      <c r="G20" s="2044"/>
      <c r="H20" s="2044"/>
      <c r="I20" s="2044"/>
      <c r="J20" s="2044"/>
      <c r="K20" s="3072" t="s">
        <v>1815</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1"/>
      <c r="O20" s="2080"/>
      <c r="P20" s="2081"/>
      <c r="Q20" s="2031"/>
      <c r="R20" s="2031"/>
      <c r="S20" s="2031"/>
      <c r="T20" s="2031"/>
      <c r="U20" s="2031"/>
      <c r="V20" s="2031"/>
    </row>
    <row r="21" spans="1:22" ht="24.75" customHeight="1">
      <c r="A21" s="2093"/>
      <c r="B21" s="2095" t="s">
        <v>1816</v>
      </c>
      <c r="C21" s="2096" t="s">
        <v>1817</v>
      </c>
      <c r="D21" s="2097" t="s">
        <v>1818</v>
      </c>
      <c r="E21" s="2098" t="s">
        <v>1817</v>
      </c>
      <c r="F21" s="2099"/>
      <c r="G21" s="2044"/>
      <c r="H21" s="2044"/>
      <c r="I21" s="2044"/>
      <c r="J21" s="2044"/>
      <c r="K21" s="307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1"/>
      <c r="O21" s="2080"/>
      <c r="P21" s="2081"/>
      <c r="Q21" s="2031"/>
      <c r="R21" s="2031"/>
      <c r="S21" s="2031"/>
      <c r="T21" s="2031"/>
      <c r="U21" s="2031"/>
      <c r="V21" s="2031"/>
    </row>
    <row r="22" spans="1:22" ht="24.75" customHeight="1" thickBot="1">
      <c r="A22" s="2093"/>
      <c r="B22" s="2100" t="s">
        <v>1819</v>
      </c>
      <c r="C22" s="2096" t="s">
        <v>1820</v>
      </c>
      <c r="D22" s="2028"/>
      <c r="E22" s="2028"/>
      <c r="F22" s="2101"/>
      <c r="G22" s="2044"/>
      <c r="H22" s="2044"/>
      <c r="I22" s="2044"/>
      <c r="J22" s="2044"/>
      <c r="K22" s="3072"/>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1"/>
      <c r="O22" s="2080"/>
      <c r="P22" s="2081"/>
      <c r="Q22" s="2031"/>
      <c r="R22" s="2031"/>
      <c r="S22" s="2031"/>
      <c r="T22" s="2031"/>
      <c r="U22" s="2031"/>
      <c r="V22" s="2031"/>
    </row>
    <row r="23" spans="1:22" ht="18" customHeight="1">
      <c r="A23" s="2102" t="s">
        <v>1821</v>
      </c>
      <c r="B23" s="182" t="s">
        <v>1822</v>
      </c>
      <c r="C23" s="2103"/>
      <c r="D23" s="2104" t="s">
        <v>1822</v>
      </c>
      <c r="E23" s="2105"/>
      <c r="F23" s="2101"/>
      <c r="G23" s="2044"/>
      <c r="H23" s="2044"/>
      <c r="I23" s="2044"/>
      <c r="J23" s="2044"/>
      <c r="K23" s="2106"/>
      <c r="L23" s="747"/>
      <c r="M23" s="2030"/>
      <c r="N23" s="2081"/>
      <c r="O23" s="2080"/>
      <c r="P23" s="2081"/>
      <c r="Q23" s="2031"/>
      <c r="R23" s="2031"/>
      <c r="S23" s="2031"/>
      <c r="T23" s="2031"/>
      <c r="U23" s="2031"/>
      <c r="V23" s="2031"/>
    </row>
    <row r="24" spans="1:22" ht="18" customHeight="1">
      <c r="A24" s="2107"/>
      <c r="B24" s="182" t="s">
        <v>1823</v>
      </c>
      <c r="C24" s="2108"/>
      <c r="D24" s="2102" t="s">
        <v>1823</v>
      </c>
      <c r="E24" s="2109"/>
      <c r="F24" s="2101"/>
      <c r="G24" s="2044"/>
      <c r="H24" s="2044"/>
      <c r="I24" s="2044"/>
      <c r="J24" s="2044"/>
      <c r="K24" s="2106"/>
      <c r="L24" s="747"/>
      <c r="M24" s="2030"/>
      <c r="N24" s="2081"/>
      <c r="O24" s="2080"/>
      <c r="P24" s="2081"/>
      <c r="Q24" s="2031"/>
      <c r="R24" s="2031"/>
      <c r="S24" s="2031"/>
      <c r="T24" s="2031"/>
      <c r="U24" s="2031"/>
      <c r="V24" s="2031"/>
    </row>
    <row r="25" spans="1:22" ht="18" customHeight="1">
      <c r="A25" s="2107"/>
      <c r="B25" s="182" t="s">
        <v>1824</v>
      </c>
      <c r="C25" s="2108"/>
      <c r="D25" s="2102" t="s">
        <v>1824</v>
      </c>
      <c r="E25" s="2109"/>
      <c r="F25" s="2101"/>
      <c r="G25" s="2044"/>
      <c r="H25" s="2044"/>
      <c r="I25" s="2044"/>
      <c r="J25" s="2044"/>
      <c r="K25" s="2053"/>
      <c r="L25" s="2030"/>
      <c r="M25" s="2030"/>
      <c r="N25" s="2081"/>
      <c r="O25" s="2080"/>
      <c r="P25" s="2081"/>
      <c r="Q25" s="2031"/>
      <c r="R25" s="2031"/>
      <c r="S25" s="2031"/>
      <c r="T25" s="2031"/>
      <c r="U25" s="2031"/>
      <c r="V25" s="2031"/>
    </row>
    <row r="26" spans="1:22" ht="18" customHeight="1" thickBot="1">
      <c r="A26" s="2110"/>
      <c r="B26" s="2111" t="s">
        <v>1825</v>
      </c>
      <c r="C26" s="2112"/>
      <c r="D26" s="2113" t="s">
        <v>1826</v>
      </c>
      <c r="E26" s="2114"/>
      <c r="F26" s="2115"/>
      <c r="G26" s="2061"/>
      <c r="H26" s="2061"/>
      <c r="I26" s="2061"/>
      <c r="J26" s="2044"/>
      <c r="K26" s="2053"/>
      <c r="L26" s="2030"/>
      <c r="M26" s="2030"/>
      <c r="N26" s="2081"/>
      <c r="O26" s="2080"/>
      <c r="P26" s="2081"/>
      <c r="Q26" s="2031"/>
      <c r="R26" s="2031"/>
      <c r="S26" s="2031"/>
      <c r="T26" s="2031"/>
      <c r="U26" s="2031"/>
      <c r="V26" s="2031"/>
    </row>
    <row r="27" spans="1:22" ht="18" customHeight="1" thickTop="1">
      <c r="A27" s="3060" t="s">
        <v>1827</v>
      </c>
      <c r="B27" s="2062" t="s">
        <v>1828</v>
      </c>
      <c r="C27" s="2116"/>
      <c r="D27" s="2117"/>
      <c r="E27" s="2044"/>
      <c r="F27" s="2044"/>
      <c r="G27" s="2044"/>
      <c r="H27" s="2044"/>
      <c r="I27" s="2044"/>
      <c r="J27" s="2031"/>
      <c r="K27" s="2079"/>
      <c r="L27" s="2080"/>
      <c r="M27" s="2080"/>
      <c r="N27" s="2081"/>
      <c r="O27" s="2080"/>
      <c r="P27" s="2081"/>
      <c r="Q27" s="2031"/>
      <c r="R27" s="2031"/>
      <c r="S27" s="2031"/>
      <c r="T27" s="2031"/>
      <c r="U27" s="2031"/>
      <c r="V27" s="2031"/>
    </row>
    <row r="28" spans="1:22" ht="18" customHeight="1">
      <c r="A28" s="3060"/>
      <c r="B28" s="2037" t="s">
        <v>1829</v>
      </c>
      <c r="C28" s="2118"/>
      <c r="D28" s="2119"/>
      <c r="E28" s="2044"/>
      <c r="F28" s="2044"/>
      <c r="G28" s="2044"/>
      <c r="H28" s="2044"/>
      <c r="I28" s="2044"/>
      <c r="J28" s="2031"/>
      <c r="K28" s="2120"/>
      <c r="L28" s="2030"/>
      <c r="M28" s="2030"/>
      <c r="N28" s="2031"/>
      <c r="O28" s="2032"/>
      <c r="P28" s="2031"/>
      <c r="Q28" s="2031"/>
      <c r="R28" s="2031"/>
      <c r="S28" s="2031"/>
      <c r="T28" s="2031"/>
      <c r="U28" s="2031"/>
      <c r="V28" s="2031"/>
    </row>
    <row r="29" spans="1:22" ht="18" customHeight="1">
      <c r="A29" s="3060"/>
      <c r="B29" s="2037" t="s">
        <v>1830</v>
      </c>
      <c r="C29" s="2121"/>
      <c r="D29" s="2122"/>
      <c r="E29" s="2044"/>
      <c r="F29" s="2044"/>
      <c r="G29" s="2044"/>
      <c r="H29" s="2044"/>
      <c r="I29" s="2044"/>
      <c r="J29" s="2031"/>
      <c r="K29" s="2120"/>
      <c r="L29" s="2030"/>
      <c r="M29" s="2030"/>
      <c r="N29" s="2031"/>
      <c r="O29" s="2032"/>
      <c r="P29" s="2031"/>
      <c r="Q29" s="2031"/>
      <c r="R29" s="2031"/>
      <c r="S29" s="2031"/>
      <c r="T29" s="2031"/>
      <c r="U29" s="2031"/>
      <c r="V29" s="2031"/>
    </row>
    <row r="30" spans="1:22" ht="18" customHeight="1">
      <c r="A30" s="3061"/>
      <c r="B30" s="2037" t="s">
        <v>1831</v>
      </c>
      <c r="C30" s="3062"/>
      <c r="D30" s="3063"/>
      <c r="E30" s="2044"/>
      <c r="F30" s="2044"/>
      <c r="G30" s="2044"/>
      <c r="H30" s="2044"/>
      <c r="I30" s="2044"/>
      <c r="J30" s="2031"/>
      <c r="K30" s="2120"/>
      <c r="L30" s="2030"/>
      <c r="M30" s="2030"/>
      <c r="N30" s="2031"/>
      <c r="O30" s="2032"/>
      <c r="P30" s="2031"/>
      <c r="Q30" s="2031"/>
      <c r="R30" s="2031"/>
      <c r="S30" s="2031"/>
      <c r="T30" s="2031"/>
      <c r="U30" s="2031"/>
      <c r="V30" s="2031"/>
    </row>
    <row r="31" spans="1:22" ht="18" customHeight="1">
      <c r="A31" s="3064" t="s">
        <v>1832</v>
      </c>
      <c r="B31" s="2123"/>
      <c r="C31" s="2124" t="str">
        <f>IF(B31="现房","成新及维护状况正常否",IF(B31="在建","工程状态是否正常",IF(B31="土地","是否闲置","-")))</f>
        <v>-</v>
      </c>
      <c r="D31" s="2125"/>
      <c r="E31" s="2126"/>
      <c r="F31" s="2044"/>
      <c r="G31" s="2044"/>
      <c r="H31" s="2044"/>
      <c r="I31" s="2044"/>
      <c r="J31" s="2044"/>
      <c r="K31" s="2052"/>
      <c r="L31" s="2030"/>
      <c r="M31" s="2030"/>
      <c r="N31" s="2031"/>
      <c r="O31" s="2032"/>
      <c r="P31" s="2031"/>
      <c r="Q31" s="2031"/>
      <c r="R31" s="2031"/>
      <c r="S31" s="2031"/>
      <c r="T31" s="2031"/>
      <c r="U31" s="2031"/>
      <c r="V31" s="2031"/>
    </row>
    <row r="32" spans="1:22" ht="18" customHeight="1">
      <c r="A32" s="3065"/>
      <c r="B32" s="2123"/>
      <c r="C32" s="2124" t="str">
        <f>IF(B32="现房","成新及维护状况是否正常",IF(B32="在建","工程状态是否正常",IF(B32="土地","是否闲置","-")))</f>
        <v>-</v>
      </c>
      <c r="D32" s="2125"/>
      <c r="E32" s="2126"/>
      <c r="F32" s="2044"/>
      <c r="G32" s="2044"/>
      <c r="H32" s="2044"/>
      <c r="I32" s="2044"/>
      <c r="J32" s="2044"/>
      <c r="K32" s="2053"/>
      <c r="L32" s="2030"/>
      <c r="M32" s="2030"/>
      <c r="N32" s="2031"/>
      <c r="O32" s="2032"/>
      <c r="P32" s="2031"/>
      <c r="Q32" s="2031"/>
      <c r="R32" s="2031"/>
      <c r="S32" s="2031"/>
      <c r="T32" s="2031"/>
      <c r="U32" s="2031"/>
      <c r="V32" s="2031"/>
    </row>
    <row r="33" spans="1:22" ht="18" customHeight="1">
      <c r="A33" s="3065"/>
      <c r="B33" s="2127"/>
      <c r="C33" s="2067" t="str">
        <f>IF(B33="现房","成新及维护状况是否正常",IF(B33="在建","工程状态是否正常",IF(B33="土地","是否闲置","-")))</f>
        <v>-</v>
      </c>
      <c r="D33" s="2128"/>
      <c r="E33" s="2129"/>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1833</v>
      </c>
      <c r="B34" s="2130"/>
      <c r="C34" s="2130"/>
      <c r="D34" s="2130"/>
      <c r="E34" s="2130"/>
      <c r="F34" s="2130"/>
      <c r="G34" s="2130"/>
      <c r="H34" s="2130"/>
      <c r="I34" s="2044"/>
      <c r="J34" s="2044"/>
      <c r="K34" s="1797">
        <f>COUNTIF(B34:H34,"——")</f>
        <v>0</v>
      </c>
      <c r="L34" s="2071" t="s">
        <v>1834</v>
      </c>
      <c r="M34" s="2071" t="s">
        <v>1835</v>
      </c>
      <c r="N34" s="2071" t="s">
        <v>1836</v>
      </c>
      <c r="O34" s="2071" t="s">
        <v>1837</v>
      </c>
      <c r="P34" s="2071" t="s">
        <v>1838</v>
      </c>
      <c r="Q34" s="2071" t="s">
        <v>1839</v>
      </c>
      <c r="R34" s="2071" t="s">
        <v>1840</v>
      </c>
      <c r="S34" s="3059" t="s">
        <v>1841</v>
      </c>
      <c r="T34" s="2131" t="str">
        <f>NUMBERSTRING(7-K34,1)&amp;"通"</f>
        <v>七通</v>
      </c>
      <c r="U34" s="2031"/>
      <c r="V34" s="2031"/>
    </row>
    <row r="35" spans="1:22" ht="18" customHeight="1">
      <c r="A35" s="2132"/>
      <c r="B35" s="3066" t="s">
        <v>1842</v>
      </c>
      <c r="C35" s="3066"/>
      <c r="D35" s="3066"/>
      <c r="E35" s="3066"/>
      <c r="F35" s="2133" t="str">
        <f>C10</f>
        <v>贵州省</v>
      </c>
      <c r="G35" s="2044"/>
      <c r="H35" s="2044"/>
      <c r="I35" s="2044"/>
      <c r="J35" s="2044"/>
      <c r="K35" s="2071"/>
      <c r="L35" s="2071">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9"/>
      <c r="T35" s="48" t="str">
        <f>IF(T34="一通",L35,IF(T34="二通",M35,IF(T34="三通",N35,IF(T34="四通",O35,IF(T34="五通",P35,IF(T34="六通",Q35,R35))))))</f>
        <v>、、、、、、</v>
      </c>
      <c r="U35" s="2031"/>
      <c r="V35" s="2031"/>
    </row>
    <row r="36" spans="1:22" ht="18" customHeight="1">
      <c r="A36" s="2134"/>
      <c r="B36" s="2133" t="s">
        <v>1843</v>
      </c>
      <c r="C36" s="2133" t="s">
        <v>1844</v>
      </c>
      <c r="D36" s="2133" t="s">
        <v>1845</v>
      </c>
      <c r="E36" s="2133" t="s">
        <v>1846</v>
      </c>
      <c r="F36" s="2135"/>
      <c r="G36" s="2044"/>
      <c r="H36" s="2044"/>
      <c r="I36" s="2044"/>
      <c r="J36" s="2044"/>
      <c r="K36" s="2053"/>
      <c r="L36" s="2030"/>
      <c r="M36" s="2030"/>
      <c r="N36" s="2031"/>
      <c r="O36" s="2032"/>
      <c r="P36" s="2031"/>
      <c r="Q36" s="2031"/>
      <c r="R36" s="2031"/>
      <c r="S36" s="2031"/>
      <c r="T36" s="2031"/>
      <c r="U36" s="2031"/>
      <c r="V36" s="2031"/>
    </row>
    <row r="37" spans="1:22" ht="18" customHeight="1">
      <c r="A37" s="2136" t="s">
        <v>1847</v>
      </c>
      <c r="B37" s="2137"/>
      <c r="C37" s="2137"/>
      <c r="D37" s="2137"/>
      <c r="E37" s="2137"/>
      <c r="F37" s="2135"/>
      <c r="G37" s="2044"/>
      <c r="H37" s="2044"/>
      <c r="I37" s="2044"/>
      <c r="J37" s="2044"/>
      <c r="K37" s="2053"/>
      <c r="L37" s="2030"/>
      <c r="M37" s="2030"/>
      <c r="N37" s="2031"/>
      <c r="O37" s="2032"/>
      <c r="P37" s="2031"/>
      <c r="Q37" s="2031"/>
      <c r="R37" s="2031"/>
      <c r="S37" s="2031"/>
      <c r="T37" s="2031"/>
      <c r="U37" s="2031"/>
      <c r="V37" s="2031"/>
    </row>
    <row r="38" spans="1:22" ht="18" customHeight="1" thickBot="1">
      <c r="A38" s="2138" t="s">
        <v>1848</v>
      </c>
      <c r="B38" s="2139"/>
      <c r="C38" s="2139"/>
      <c r="D38" s="2139"/>
      <c r="E38" s="2139"/>
      <c r="F38" s="2140"/>
      <c r="G38" s="2061"/>
      <c r="H38" s="2061"/>
      <c r="I38" s="2061"/>
      <c r="J38" s="2044"/>
      <c r="K38" s="2053"/>
      <c r="L38" s="2030"/>
      <c r="M38" s="2030"/>
      <c r="N38" s="2031"/>
      <c r="O38" s="2032"/>
      <c r="P38" s="2031"/>
      <c r="Q38" s="2031"/>
      <c r="R38" s="2031"/>
      <c r="S38" s="2031"/>
      <c r="T38" s="2031"/>
      <c r="U38" s="2031"/>
      <c r="V38" s="2031"/>
    </row>
    <row r="39" spans="1:22" s="2145" customFormat="1" ht="18" customHeight="1" thickTop="1" thickBot="1">
      <c r="A39" s="2141" t="s">
        <v>1849</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1"/>
      <c r="B40" s="2031"/>
      <c r="C40" s="2031"/>
      <c r="D40" s="2031"/>
      <c r="E40" s="2031"/>
      <c r="F40" s="2031"/>
      <c r="G40" s="2031"/>
      <c r="H40" s="2031"/>
      <c r="I40" s="2146"/>
      <c r="J40" s="2081"/>
      <c r="K40" s="665"/>
      <c r="L40" s="2080"/>
      <c r="M40" s="2080"/>
      <c r="N40" s="2081"/>
      <c r="O40" s="2080"/>
      <c r="P40" s="2031"/>
      <c r="Q40" s="2031"/>
      <c r="R40" s="2031"/>
      <c r="S40" s="2031"/>
      <c r="T40" s="2031"/>
      <c r="U40" s="2031"/>
      <c r="V40" s="2031"/>
    </row>
    <row r="41" spans="1:22" ht="18" customHeight="1">
      <c r="A41" s="8" t="s">
        <v>1850</v>
      </c>
      <c r="B41" s="2147"/>
      <c r="C41" s="2148"/>
      <c r="D41" s="2031"/>
      <c r="E41" s="2031"/>
      <c r="F41" s="2031"/>
      <c r="G41" s="2031"/>
      <c r="H41" s="2031"/>
      <c r="I41" s="2032"/>
      <c r="J41" s="2031"/>
      <c r="K41" s="2120"/>
      <c r="L41" s="2030"/>
      <c r="M41" s="2030"/>
      <c r="N41" s="2031"/>
      <c r="O41" s="2032"/>
      <c r="P41" s="2031"/>
      <c r="Q41" s="2031"/>
      <c r="R41" s="2031"/>
      <c r="S41" s="2031"/>
      <c r="T41" s="2031"/>
      <c r="U41" s="2031"/>
      <c r="V41" s="2031"/>
    </row>
    <row r="42" spans="1:22" ht="18" customHeight="1">
      <c r="A42" s="2071" t="s">
        <v>1851</v>
      </c>
      <c r="B42" s="1797" t="s">
        <v>1852</v>
      </c>
      <c r="C42" s="1797" t="s">
        <v>1853</v>
      </c>
      <c r="D42" s="1797" t="s">
        <v>1854</v>
      </c>
      <c r="E42" s="1797" t="s">
        <v>1855</v>
      </c>
      <c r="F42" s="1797" t="s">
        <v>1856</v>
      </c>
      <c r="G42" s="1797" t="s">
        <v>1857</v>
      </c>
      <c r="H42" s="1797" t="s">
        <v>1858</v>
      </c>
      <c r="I42" s="1797" t="s">
        <v>1859</v>
      </c>
      <c r="J42" s="2149" t="s">
        <v>1860</v>
      </c>
      <c r="K42" s="2072" t="s">
        <v>1861</v>
      </c>
      <c r="L42" s="2072" t="s">
        <v>1862</v>
      </c>
      <c r="M42" s="2072" t="s">
        <v>1863</v>
      </c>
      <c r="N42" s="1797" t="s">
        <v>1864</v>
      </c>
      <c r="O42" s="1797" t="s">
        <v>1865</v>
      </c>
      <c r="P42" s="1797" t="s">
        <v>1866</v>
      </c>
      <c r="Q42" s="2071" t="s">
        <v>1867</v>
      </c>
      <c r="R42" s="2071" t="s">
        <v>1868</v>
      </c>
      <c r="S42" s="2031"/>
      <c r="T42" s="2031"/>
      <c r="U42" s="2031"/>
      <c r="V42" s="2031"/>
    </row>
    <row r="43" spans="1:22" s="2154" customFormat="1" ht="18" customHeight="1">
      <c r="A43" s="2150"/>
      <c r="B43" s="1274"/>
      <c r="C43" s="1274"/>
      <c r="D43" s="1274"/>
      <c r="E43" s="1274"/>
      <c r="F43" s="1274"/>
      <c r="G43" s="1274"/>
      <c r="H43" s="9"/>
      <c r="I43" s="9"/>
      <c r="J43" s="2151"/>
      <c r="K43" s="2152"/>
      <c r="L43" s="2152"/>
      <c r="M43" s="9"/>
      <c r="N43" s="1274"/>
      <c r="O43" s="9"/>
      <c r="P43" s="1274"/>
      <c r="Q43" s="1274"/>
      <c r="R43" s="1274"/>
      <c r="S43" s="2153"/>
      <c r="T43" s="2153"/>
      <c r="U43" s="2153"/>
      <c r="V43" s="2153"/>
    </row>
    <row r="44" spans="1:22" s="2154" customFormat="1" ht="18" customHeight="1">
      <c r="A44" s="2150"/>
      <c r="B44" s="2150"/>
      <c r="C44" s="1274"/>
      <c r="D44" s="1274"/>
      <c r="E44" s="1274"/>
      <c r="F44" s="1274"/>
      <c r="G44" s="1274"/>
      <c r="H44" s="9"/>
      <c r="I44" s="9"/>
      <c r="J44" s="2151"/>
      <c r="K44" s="2152"/>
      <c r="L44" s="2152"/>
      <c r="M44" s="9"/>
      <c r="N44" s="1274"/>
      <c r="O44" s="9"/>
      <c r="P44" s="1274"/>
      <c r="Q44" s="1274"/>
      <c r="R44" s="1274"/>
      <c r="S44" s="2153"/>
      <c r="T44" s="2153"/>
      <c r="U44" s="2153"/>
      <c r="V44" s="2153"/>
    </row>
    <row r="45" spans="1:22" s="2154" customFormat="1" ht="18" customHeight="1">
      <c r="A45" s="2150"/>
      <c r="B45" s="2150"/>
      <c r="C45" s="1274"/>
      <c r="D45" s="1274"/>
      <c r="E45" s="1274"/>
      <c r="F45" s="1274"/>
      <c r="G45" s="1274"/>
      <c r="H45" s="9"/>
      <c r="I45" s="9"/>
      <c r="J45" s="2151"/>
      <c r="K45" s="2152"/>
      <c r="L45" s="2152"/>
      <c r="M45" s="9"/>
      <c r="N45" s="1274"/>
      <c r="O45" s="9"/>
      <c r="P45" s="1274"/>
      <c r="Q45" s="1274"/>
      <c r="R45" s="1274"/>
      <c r="S45" s="2153"/>
      <c r="T45" s="2153"/>
      <c r="U45" s="2153"/>
      <c r="V45" s="2153"/>
    </row>
    <row r="46" spans="1:22" s="2154" customFormat="1" ht="18" customHeight="1">
      <c r="A46" s="2150"/>
      <c r="B46" s="2150"/>
      <c r="C46" s="1274"/>
      <c r="D46" s="1274"/>
      <c r="E46" s="1274"/>
      <c r="F46" s="1274"/>
      <c r="G46" s="1274"/>
      <c r="H46" s="9"/>
      <c r="I46" s="9"/>
      <c r="J46" s="2151"/>
      <c r="K46" s="2152"/>
      <c r="L46" s="2152"/>
      <c r="M46" s="9"/>
      <c r="N46" s="1274"/>
      <c r="O46" s="9"/>
      <c r="P46" s="1274"/>
      <c r="Q46" s="1274"/>
      <c r="R46" s="1274"/>
      <c r="S46" s="2153"/>
      <c r="T46" s="2153"/>
      <c r="U46" s="2153"/>
      <c r="V46" s="2153"/>
    </row>
    <row r="47" spans="1:22" s="2154" customFormat="1" ht="18" customHeight="1">
      <c r="A47" s="2150"/>
      <c r="B47" s="2150"/>
      <c r="C47" s="1274"/>
      <c r="D47" s="1274"/>
      <c r="E47" s="1274"/>
      <c r="F47" s="1274"/>
      <c r="G47" s="1274"/>
      <c r="H47" s="9"/>
      <c r="I47" s="9"/>
      <c r="J47" s="2151"/>
      <c r="K47" s="2152"/>
      <c r="L47" s="2152"/>
      <c r="M47" s="9"/>
      <c r="N47" s="1274"/>
      <c r="O47" s="9"/>
      <c r="P47" s="1274"/>
      <c r="Q47" s="1274"/>
      <c r="R47" s="1274"/>
      <c r="S47" s="2153"/>
      <c r="T47" s="2153"/>
      <c r="U47" s="2153"/>
      <c r="V47" s="2153"/>
    </row>
    <row r="48" spans="1:22" s="2154" customFormat="1" ht="18" customHeight="1">
      <c r="A48" s="2150"/>
      <c r="B48" s="2150"/>
      <c r="C48" s="1274"/>
      <c r="D48" s="1274"/>
      <c r="E48" s="1274"/>
      <c r="F48" s="1274"/>
      <c r="G48" s="1274"/>
      <c r="H48" s="9"/>
      <c r="I48" s="9"/>
      <c r="J48" s="2151"/>
      <c r="K48" s="2152"/>
      <c r="L48" s="2152"/>
      <c r="M48" s="9"/>
      <c r="N48" s="1274"/>
      <c r="O48" s="9"/>
      <c r="P48" s="1274"/>
      <c r="Q48" s="1274"/>
      <c r="R48" s="1274"/>
      <c r="S48" s="2153"/>
      <c r="T48" s="2153"/>
      <c r="U48" s="2153"/>
      <c r="V48" s="2153"/>
    </row>
    <row r="49" spans="1:22" s="2154" customFormat="1" ht="18" customHeight="1">
      <c r="A49" s="2150"/>
      <c r="B49" s="2150"/>
      <c r="C49" s="1274"/>
      <c r="D49" s="1274"/>
      <c r="E49" s="1274"/>
      <c r="F49" s="1274"/>
      <c r="G49" s="1274"/>
      <c r="H49" s="9"/>
      <c r="I49" s="9"/>
      <c r="J49" s="2151"/>
      <c r="K49" s="2152"/>
      <c r="L49" s="2152"/>
      <c r="M49" s="9"/>
      <c r="N49" s="1274"/>
      <c r="O49" s="9"/>
      <c r="P49" s="1274"/>
      <c r="Q49" s="1274"/>
      <c r="R49" s="1274"/>
      <c r="S49" s="2153"/>
      <c r="T49" s="2153"/>
      <c r="U49" s="2153"/>
      <c r="V49" s="2153"/>
    </row>
    <row r="50" spans="1:22" s="2154" customFormat="1" ht="18" customHeight="1">
      <c r="A50" s="2150"/>
      <c r="B50" s="2150"/>
      <c r="C50" s="1274"/>
      <c r="D50" s="1274"/>
      <c r="E50" s="1274"/>
      <c r="F50" s="1274"/>
      <c r="G50" s="1274"/>
      <c r="H50" s="9"/>
      <c r="I50" s="9"/>
      <c r="J50" s="2151"/>
      <c r="K50" s="2152"/>
      <c r="L50" s="2152"/>
      <c r="M50" s="9"/>
      <c r="N50" s="1274"/>
      <c r="O50" s="9"/>
      <c r="P50" s="1274"/>
      <c r="Q50" s="1274"/>
      <c r="R50" s="1274"/>
      <c r="S50" s="2153"/>
      <c r="T50" s="2153"/>
      <c r="U50" s="2153"/>
      <c r="V50" s="2153"/>
    </row>
    <row r="51" spans="1:22" s="2154" customFormat="1" ht="18" customHeight="1">
      <c r="A51" s="2150"/>
      <c r="B51" s="2150"/>
      <c r="C51" s="1274"/>
      <c r="D51" s="1274"/>
      <c r="E51" s="1274"/>
      <c r="F51" s="1274"/>
      <c r="G51" s="1274"/>
      <c r="H51" s="9"/>
      <c r="I51" s="9"/>
      <c r="J51" s="2151"/>
      <c r="K51" s="2152"/>
      <c r="L51" s="2152"/>
      <c r="M51" s="9"/>
      <c r="N51" s="1274"/>
      <c r="O51" s="9"/>
      <c r="P51" s="1274"/>
      <c r="Q51" s="1274"/>
      <c r="R51" s="1274"/>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7" sqref="K27"/>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hidden="1" customWidth="1"/>
    <col min="18" max="18" width="9.25" style="2156" hidden="1" customWidth="1"/>
    <col min="19" max="19" width="10.875" style="2156" hidden="1" customWidth="1"/>
    <col min="20" max="21" width="10.75" style="2156" hidden="1" customWidth="1"/>
    <col min="22" max="22" width="10.875" style="2156" hidden="1" customWidth="1"/>
    <col min="23" max="27" width="10.75" style="2156" hidden="1" customWidth="1"/>
    <col min="28" max="28" width="10.875" style="2156" hidden="1" customWidth="1"/>
    <col min="29" max="29" width="11" style="2156" bestFit="1" customWidth="1"/>
    <col min="30" max="30" width="10" style="2156" hidden="1" customWidth="1"/>
    <col min="31" max="31" width="9.75" style="2156" hidden="1" customWidth="1"/>
    <col min="32" max="37" width="9.5" style="2156" hidden="1" customWidth="1"/>
    <col min="38"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1869</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0" t="s">
        <v>1870</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4" customFormat="1" ht="24">
      <c r="A2" s="11" t="s">
        <v>1871</v>
      </c>
      <c r="B2" s="11" t="s">
        <v>1872</v>
      </c>
      <c r="C2" s="11" t="s">
        <v>1873</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1" t="s">
        <v>1874</v>
      </c>
      <c r="AZ2" s="1272" t="s">
        <v>1875</v>
      </c>
      <c r="BA2" s="11" t="s">
        <v>1876</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81202</v>
      </c>
      <c r="B3" s="14">
        <f>IF(C3="否",G5-AT5,G5)</f>
        <v>178615</v>
      </c>
      <c r="C3" s="2165" t="s">
        <v>1877</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3"/>
      <c r="AZ3" s="1274"/>
      <c r="BA3" s="1275"/>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1878</v>
      </c>
      <c r="B5" s="1805"/>
      <c r="C5" s="1805"/>
      <c r="D5" s="1808"/>
      <c r="E5" s="16" t="s">
        <v>1</v>
      </c>
      <c r="F5" s="16">
        <f>SUM(F13:F587)</f>
        <v>0</v>
      </c>
      <c r="G5" s="16">
        <f>SUM(G13:G587)</f>
        <v>178615</v>
      </c>
      <c r="H5" s="16">
        <f t="shared" ref="H5:AT5" si="0">SUM(H13:H656)</f>
        <v>171385</v>
      </c>
      <c r="I5" s="16">
        <f t="shared" si="0"/>
        <v>123402</v>
      </c>
      <c r="J5" s="16">
        <f t="shared" si="0"/>
        <v>0</v>
      </c>
      <c r="K5" s="16">
        <f t="shared" si="0"/>
        <v>33170</v>
      </c>
      <c r="L5" s="16">
        <f t="shared" si="0"/>
        <v>0</v>
      </c>
      <c r="M5" s="16">
        <f t="shared" si="0"/>
        <v>5676</v>
      </c>
      <c r="N5" s="16">
        <f t="shared" si="0"/>
        <v>0</v>
      </c>
      <c r="O5" s="16">
        <f t="shared" si="0"/>
        <v>9137</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7230</v>
      </c>
      <c r="AD5" s="16">
        <f t="shared" si="0"/>
        <v>0</v>
      </c>
      <c r="AE5" s="16">
        <f t="shared" si="0"/>
        <v>0</v>
      </c>
      <c r="AF5" s="16">
        <f t="shared" si="0"/>
        <v>0</v>
      </c>
      <c r="AG5" s="16">
        <f t="shared" si="0"/>
        <v>0</v>
      </c>
      <c r="AH5" s="16">
        <f t="shared" si="0"/>
        <v>0</v>
      </c>
      <c r="AI5" s="16">
        <f t="shared" si="0"/>
        <v>0</v>
      </c>
      <c r="AJ5" s="16">
        <f t="shared" si="0"/>
        <v>0</v>
      </c>
      <c r="AK5" s="16">
        <f t="shared" si="0"/>
        <v>0</v>
      </c>
      <c r="AL5" s="16">
        <f t="shared" si="0"/>
        <v>1677</v>
      </c>
      <c r="AM5" s="16">
        <f t="shared" si="0"/>
        <v>0</v>
      </c>
      <c r="AN5" s="16">
        <f t="shared" si="0"/>
        <v>5553</v>
      </c>
      <c r="AO5" s="16">
        <f t="shared" si="0"/>
        <v>0</v>
      </c>
      <c r="AP5" s="16">
        <f t="shared" si="0"/>
        <v>0</v>
      </c>
      <c r="AQ5" s="16">
        <f t="shared" si="0"/>
        <v>0</v>
      </c>
      <c r="AR5" s="16">
        <f t="shared" si="0"/>
        <v>0</v>
      </c>
      <c r="AS5" s="16">
        <f t="shared" si="0"/>
        <v>0</v>
      </c>
      <c r="AT5" s="16">
        <f t="shared" si="0"/>
        <v>0</v>
      </c>
      <c r="AU5" s="1804"/>
      <c r="AV5" s="15" t="s">
        <v>1878</v>
      </c>
      <c r="AW5" s="1805"/>
      <c r="AX5" s="1805"/>
      <c r="AY5" s="17" t="s">
        <v>3</v>
      </c>
      <c r="AZ5" s="18">
        <f t="shared" ref="AZ5:BT5" si="1">SUM(AZ13:AZ656)</f>
        <v>178615</v>
      </c>
      <c r="BA5" s="18">
        <f t="shared" si="1"/>
        <v>171385</v>
      </c>
      <c r="BB5" s="18">
        <f t="shared" si="1"/>
        <v>123402</v>
      </c>
      <c r="BC5" s="18">
        <f t="shared" si="1"/>
        <v>33170</v>
      </c>
      <c r="BD5" s="18">
        <f t="shared" si="1"/>
        <v>5676</v>
      </c>
      <c r="BE5" s="18">
        <f t="shared" si="1"/>
        <v>9137</v>
      </c>
      <c r="BF5" s="18">
        <f t="shared" si="1"/>
        <v>0</v>
      </c>
      <c r="BG5" s="18">
        <f t="shared" si="1"/>
        <v>0</v>
      </c>
      <c r="BH5" s="18">
        <f t="shared" si="1"/>
        <v>0</v>
      </c>
      <c r="BI5" s="18">
        <f t="shared" si="1"/>
        <v>0</v>
      </c>
      <c r="BJ5" s="18">
        <f t="shared" si="1"/>
        <v>0</v>
      </c>
      <c r="BK5" s="18">
        <f t="shared" si="1"/>
        <v>0</v>
      </c>
      <c r="BL5" s="18">
        <f t="shared" si="1"/>
        <v>7230</v>
      </c>
      <c r="BM5" s="18">
        <f t="shared" si="1"/>
        <v>0</v>
      </c>
      <c r="BN5" s="18">
        <f t="shared" si="1"/>
        <v>0</v>
      </c>
      <c r="BO5" s="18">
        <f t="shared" si="1"/>
        <v>0</v>
      </c>
      <c r="BP5" s="18">
        <f t="shared" si="1"/>
        <v>0</v>
      </c>
      <c r="BQ5" s="18">
        <f t="shared" si="1"/>
        <v>1677</v>
      </c>
      <c r="BR5" s="18">
        <f t="shared" si="1"/>
        <v>5553</v>
      </c>
      <c r="BS5" s="18">
        <f t="shared" si="1"/>
        <v>0</v>
      </c>
      <c r="BT5" s="19">
        <f t="shared" si="1"/>
        <v>0</v>
      </c>
    </row>
    <row r="6" spans="1:72" s="2174" customFormat="1" ht="12.75">
      <c r="A6" s="15" t="s">
        <v>1879</v>
      </c>
      <c r="B6" s="2171"/>
      <c r="C6" s="2171"/>
      <c r="D6" s="2172"/>
      <c r="E6" s="16">
        <f>H6+AC6+AT6</f>
        <v>81202</v>
      </c>
      <c r="F6" s="16" t="s">
        <v>1</v>
      </c>
      <c r="G6" s="16" t="s">
        <v>2</v>
      </c>
      <c r="H6" s="20">
        <f>SUMIF(I$12:AB$12,"总值",I6:AB6)</f>
        <v>77915.09</v>
      </c>
      <c r="I6" s="16">
        <f t="shared" ref="I6:AB6" si="2">ROUND($A$3*I5/$B$3,2)</f>
        <v>56101.05</v>
      </c>
      <c r="J6" s="16">
        <f t="shared" si="2"/>
        <v>0</v>
      </c>
      <c r="K6" s="16">
        <f t="shared" si="2"/>
        <v>15079.75</v>
      </c>
      <c r="L6" s="16">
        <f t="shared" si="2"/>
        <v>0</v>
      </c>
      <c r="M6" s="16">
        <f t="shared" si="2"/>
        <v>2580.42</v>
      </c>
      <c r="N6" s="16">
        <f t="shared" si="2"/>
        <v>0</v>
      </c>
      <c r="O6" s="16">
        <f t="shared" si="2"/>
        <v>4153.87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3286.9100000000003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762.4</v>
      </c>
      <c r="AM6" s="16">
        <f t="shared" si="3"/>
        <v>0</v>
      </c>
      <c r="AN6" s="16">
        <f t="shared" si="3"/>
        <v>2524.5100000000002</v>
      </c>
      <c r="AO6" s="16">
        <f t="shared" si="3"/>
        <v>0</v>
      </c>
      <c r="AP6" s="16">
        <f t="shared" si="3"/>
        <v>0</v>
      </c>
      <c r="AQ6" s="16">
        <f t="shared" si="3"/>
        <v>0</v>
      </c>
      <c r="AR6" s="16">
        <f t="shared" si="3"/>
        <v>0</v>
      </c>
      <c r="AS6" s="16">
        <f t="shared" si="3"/>
        <v>0</v>
      </c>
      <c r="AT6" s="20">
        <f>IF(C3="是",ROUND($A$3*AT5/$B$3,2),0)</f>
        <v>0</v>
      </c>
      <c r="AU6" s="2173"/>
      <c r="AV6" s="15" t="s">
        <v>1879</v>
      </c>
      <c r="AW6" s="2171"/>
      <c r="AX6" s="2171"/>
      <c r="AY6" s="21">
        <f>IF(AY3&gt;0,AY3,ROUND($A$3*AZ5/$B$3,2))</f>
        <v>81202</v>
      </c>
      <c r="AZ6" s="16" t="s">
        <v>3</v>
      </c>
      <c r="BA6" s="16">
        <f>ROUND($AY$6*BA5/$AZ$5,2)</f>
        <v>77915.100000000006</v>
      </c>
      <c r="BB6" s="16">
        <f>ROUND($AY$6*BB5/$AZ$5,2)</f>
        <v>56101.05</v>
      </c>
      <c r="BC6" s="16">
        <f t="shared" ref="BC6:BH6" si="4">ROUND($AY$6*BC5/$AZ$5,2)</f>
        <v>15079.75</v>
      </c>
      <c r="BD6" s="16">
        <f t="shared" si="4"/>
        <v>2580.42</v>
      </c>
      <c r="BE6" s="16">
        <f t="shared" si="4"/>
        <v>4153.87</v>
      </c>
      <c r="BF6" s="16">
        <f t="shared" si="4"/>
        <v>0</v>
      </c>
      <c r="BG6" s="16">
        <f t="shared" si="4"/>
        <v>0</v>
      </c>
      <c r="BH6" s="16">
        <f t="shared" si="4"/>
        <v>0</v>
      </c>
      <c r="BI6" s="16">
        <f t="shared" ref="BI6:BT6" si="5">ROUND($AY$6*BI5/$AZ$5,2)</f>
        <v>0</v>
      </c>
      <c r="BJ6" s="16">
        <f t="shared" si="5"/>
        <v>0</v>
      </c>
      <c r="BK6" s="16">
        <f t="shared" si="5"/>
        <v>0</v>
      </c>
      <c r="BL6" s="16">
        <f t="shared" si="5"/>
        <v>3286.9</v>
      </c>
      <c r="BM6" s="16">
        <f t="shared" si="5"/>
        <v>0</v>
      </c>
      <c r="BN6" s="16">
        <f t="shared" si="5"/>
        <v>0</v>
      </c>
      <c r="BO6" s="16">
        <f t="shared" si="5"/>
        <v>0</v>
      </c>
      <c r="BP6" s="16">
        <f t="shared" si="5"/>
        <v>0</v>
      </c>
      <c r="BQ6" s="16">
        <f t="shared" si="5"/>
        <v>762.4</v>
      </c>
      <c r="BR6" s="16">
        <f t="shared" si="5"/>
        <v>2524.5100000000002</v>
      </c>
      <c r="BS6" s="16">
        <f t="shared" si="5"/>
        <v>0</v>
      </c>
      <c r="BT6" s="22">
        <f t="shared" si="5"/>
        <v>0</v>
      </c>
    </row>
    <row r="7" spans="1:72" s="2164" customFormat="1" ht="24.75">
      <c r="A7" s="2106" t="s">
        <v>1880</v>
      </c>
      <c r="B7" s="2106" t="s">
        <v>1881</v>
      </c>
      <c r="C7" s="2106" t="s">
        <v>1882</v>
      </c>
      <c r="D7" s="2106" t="s">
        <v>1883</v>
      </c>
      <c r="E7" s="2106" t="s">
        <v>1884</v>
      </c>
      <c r="F7" s="2106" t="s">
        <v>1885</v>
      </c>
      <c r="G7" s="2175" t="s">
        <v>1886</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8"/>
      <c r="AU7" s="2176" t="s">
        <v>1887</v>
      </c>
      <c r="AV7" s="23" t="s">
        <v>1888</v>
      </c>
      <c r="AW7" s="2163" t="s">
        <v>1889</v>
      </c>
      <c r="AX7" s="23" t="s">
        <v>1882</v>
      </c>
      <c r="AY7" s="1805" t="s">
        <v>1890</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1891</v>
      </c>
      <c r="H8" s="2181" t="s">
        <v>1892</v>
      </c>
      <c r="I8" s="2182"/>
      <c r="J8" s="1820"/>
      <c r="K8" s="1820"/>
      <c r="L8" s="1820"/>
      <c r="M8" s="1820"/>
      <c r="N8" s="1820"/>
      <c r="O8" s="1820"/>
      <c r="P8" s="1820"/>
      <c r="Q8" s="1820"/>
      <c r="R8" s="1820"/>
      <c r="S8" s="1820"/>
      <c r="T8" s="1820"/>
      <c r="U8" s="1820"/>
      <c r="V8" s="2183"/>
      <c r="W8" s="1820"/>
      <c r="X8" s="1820"/>
      <c r="Y8" s="1820"/>
      <c r="Z8" s="1820"/>
      <c r="AA8" s="2183"/>
      <c r="AB8" s="2184"/>
      <c r="AC8" s="983" t="s">
        <v>1893</v>
      </c>
      <c r="AD8" s="2185"/>
      <c r="AE8" s="2177"/>
      <c r="AF8" s="1820"/>
      <c r="AG8" s="1820"/>
      <c r="AH8" s="1820"/>
      <c r="AI8" s="1820"/>
      <c r="AJ8" s="1820"/>
      <c r="AK8" s="1820"/>
      <c r="AL8" s="1820"/>
      <c r="AM8" s="1820"/>
      <c r="AN8" s="1820"/>
      <c r="AO8" s="1820"/>
      <c r="AP8" s="1820"/>
      <c r="AQ8" s="1820"/>
      <c r="AR8" s="1820"/>
      <c r="AS8" s="1820"/>
      <c r="AT8" s="1294" t="s">
        <v>1894</v>
      </c>
      <c r="AU8" s="2179" t="s">
        <v>1895</v>
      </c>
      <c r="AV8" s="1294"/>
      <c r="AW8" s="2162"/>
      <c r="AX8" s="1294"/>
      <c r="AY8" s="2163" t="s">
        <v>1896</v>
      </c>
      <c r="AZ8" s="1819" t="s">
        <v>1897</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6" customFormat="1" ht="12.75">
      <c r="A9" s="2179"/>
      <c r="B9" s="2179"/>
      <c r="C9" s="2179"/>
      <c r="D9" s="2179"/>
      <c r="E9" s="2179"/>
      <c r="F9" s="2179"/>
      <c r="G9" s="1294"/>
      <c r="H9" s="2187" t="s">
        <v>1898</v>
      </c>
      <c r="I9" s="2188" t="s">
        <v>3100</v>
      </c>
      <c r="J9" s="983"/>
      <c r="K9" s="2188" t="s">
        <v>3095</v>
      </c>
      <c r="L9" s="983"/>
      <c r="M9" s="2188" t="s">
        <v>3095</v>
      </c>
      <c r="N9" s="983"/>
      <c r="O9" s="2188" t="s">
        <v>3095</v>
      </c>
      <c r="P9" s="983"/>
      <c r="Q9" s="2188"/>
      <c r="R9" s="983"/>
      <c r="S9" s="2188"/>
      <c r="T9" s="983"/>
      <c r="U9" s="2188"/>
      <c r="V9" s="983"/>
      <c r="W9" s="2188"/>
      <c r="X9" s="2189"/>
      <c r="Y9" s="2188"/>
      <c r="Z9" s="983"/>
      <c r="AA9" s="2188"/>
      <c r="AB9" s="983"/>
      <c r="AC9" s="2180" t="s">
        <v>1898</v>
      </c>
      <c r="AD9" s="15" t="s">
        <v>1899</v>
      </c>
      <c r="AE9" s="1300"/>
      <c r="AF9" s="15" t="s">
        <v>1900</v>
      </c>
      <c r="AG9" s="1300"/>
      <c r="AH9" s="15" t="s">
        <v>1899</v>
      </c>
      <c r="AI9" s="1300"/>
      <c r="AJ9" s="15" t="s">
        <v>1900</v>
      </c>
      <c r="AK9" s="1300"/>
      <c r="AL9" s="15" t="s">
        <v>1899</v>
      </c>
      <c r="AM9" s="1300"/>
      <c r="AN9" s="15" t="s">
        <v>1900</v>
      </c>
      <c r="AO9" s="1300"/>
      <c r="AP9" s="15" t="s">
        <v>1899</v>
      </c>
      <c r="AQ9" s="1300"/>
      <c r="AR9" s="15" t="s">
        <v>1900</v>
      </c>
      <c r="AS9" s="2190"/>
      <c r="AT9" s="2179"/>
      <c r="AU9" s="2179" t="s">
        <v>1901</v>
      </c>
      <c r="AV9" s="1294"/>
      <c r="AW9" s="2162"/>
      <c r="AX9" s="1294"/>
      <c r="AY9" s="28"/>
      <c r="AZ9" s="28" t="s">
        <v>1891</v>
      </c>
      <c r="BA9" s="2191" t="s">
        <v>1902</v>
      </c>
      <c r="BB9" s="2192"/>
      <c r="BC9" s="1340"/>
      <c r="BD9" s="1340"/>
      <c r="BE9" s="1340"/>
      <c r="BF9" s="1340"/>
      <c r="BG9" s="1340"/>
      <c r="BH9" s="1340"/>
      <c r="BI9" s="1340"/>
      <c r="BJ9" s="1340"/>
      <c r="BK9" s="2193"/>
      <c r="BL9" s="15" t="s">
        <v>1903</v>
      </c>
      <c r="BM9" s="1820"/>
      <c r="BN9" s="2182"/>
      <c r="BO9" s="1820"/>
      <c r="BP9" s="1820"/>
      <c r="BQ9" s="1820"/>
      <c r="BR9" s="1820"/>
      <c r="BS9" s="1820"/>
      <c r="BT9" s="26"/>
    </row>
    <row r="10" spans="1:72" s="2186" customFormat="1" ht="12.75">
      <c r="A10" s="2179"/>
      <c r="B10" s="2179"/>
      <c r="C10" s="2179"/>
      <c r="D10" s="2179"/>
      <c r="E10" s="2179"/>
      <c r="F10" s="2179"/>
      <c r="G10" s="1294"/>
      <c r="H10" s="28"/>
      <c r="I10" s="2188" t="s">
        <v>1377</v>
      </c>
      <c r="J10" s="983"/>
      <c r="K10" s="2194" t="s">
        <v>3102</v>
      </c>
      <c r="L10" s="983"/>
      <c r="M10" s="2194" t="s">
        <v>1377</v>
      </c>
      <c r="N10" s="983"/>
      <c r="O10" s="2194" t="s">
        <v>1377</v>
      </c>
      <c r="P10" s="983"/>
      <c r="Q10" s="2194"/>
      <c r="R10" s="983"/>
      <c r="S10" s="2194"/>
      <c r="T10" s="983"/>
      <c r="U10" s="2194"/>
      <c r="V10" s="983"/>
      <c r="W10" s="2194"/>
      <c r="X10" s="983"/>
      <c r="Y10" s="2194"/>
      <c r="Z10" s="983"/>
      <c r="AA10" s="2194"/>
      <c r="AB10" s="983"/>
      <c r="AC10" s="1294"/>
      <c r="AD10" s="15" t="s">
        <v>1904</v>
      </c>
      <c r="AE10" s="2195"/>
      <c r="AF10" s="15" t="s">
        <v>1904</v>
      </c>
      <c r="AG10" s="2195"/>
      <c r="AH10" s="15" t="s">
        <v>1905</v>
      </c>
      <c r="AI10" s="2195"/>
      <c r="AJ10" s="15" t="s">
        <v>1905</v>
      </c>
      <c r="AK10" s="2195"/>
      <c r="AL10" s="15" t="s">
        <v>1906</v>
      </c>
      <c r="AM10" s="1300"/>
      <c r="AN10" s="15" t="s">
        <v>1906</v>
      </c>
      <c r="AO10" s="1300"/>
      <c r="AP10" s="15" t="s">
        <v>1907</v>
      </c>
      <c r="AQ10" s="1300"/>
      <c r="AR10" s="15" t="s">
        <v>1907</v>
      </c>
      <c r="AS10" s="1300"/>
      <c r="AT10" s="2179"/>
      <c r="AU10" s="2179"/>
      <c r="AV10" s="1294"/>
      <c r="AW10" s="2162"/>
      <c r="AX10" s="1294"/>
      <c r="AY10" s="28"/>
      <c r="AZ10" s="28"/>
      <c r="BA10" s="2196" t="s">
        <v>1898</v>
      </c>
      <c r="BB10" s="2197" t="str">
        <f>I9</f>
        <v>地上</v>
      </c>
      <c r="BC10" s="29" t="str">
        <f>K9</f>
        <v>地下</v>
      </c>
      <c r="BD10" s="29" t="str">
        <f>M9</f>
        <v>地下</v>
      </c>
      <c r="BE10" s="29" t="str">
        <f>O9</f>
        <v>地下</v>
      </c>
      <c r="BF10" s="29">
        <f>Q9</f>
        <v>0</v>
      </c>
      <c r="BG10" s="29">
        <f>S9</f>
        <v>0</v>
      </c>
      <c r="BH10" s="29">
        <f>U9</f>
        <v>0</v>
      </c>
      <c r="BI10" s="29">
        <f>W9</f>
        <v>0</v>
      </c>
      <c r="BJ10" s="29">
        <f>Y9</f>
        <v>0</v>
      </c>
      <c r="BK10" s="29">
        <f>AA9</f>
        <v>0</v>
      </c>
      <c r="BL10" s="25" t="s">
        <v>1898</v>
      </c>
      <c r="BM10" s="1819" t="str">
        <f>AD9</f>
        <v>地上</v>
      </c>
      <c r="BN10" s="29" t="str">
        <f>AF9</f>
        <v>地下</v>
      </c>
      <c r="BO10" s="1819" t="str">
        <f>AH9</f>
        <v>地上</v>
      </c>
      <c r="BP10" s="29" t="str">
        <f>AJ9</f>
        <v>地下</v>
      </c>
      <c r="BQ10" s="1819" t="str">
        <f>AL9</f>
        <v>地上</v>
      </c>
      <c r="BR10" s="29" t="str">
        <f>AN9</f>
        <v>地下</v>
      </c>
      <c r="BS10" s="1819" t="str">
        <f>AP9</f>
        <v>地上</v>
      </c>
      <c r="BT10" s="2198" t="str">
        <f>AR9</f>
        <v>地下</v>
      </c>
    </row>
    <row r="11" spans="1:72" s="2186" customFormat="1" ht="12.75">
      <c r="A11" s="2179"/>
      <c r="B11" s="2179"/>
      <c r="C11" s="2179"/>
      <c r="D11" s="2179"/>
      <c r="E11" s="2179"/>
      <c r="F11" s="2179"/>
      <c r="G11" s="1294"/>
      <c r="H11" s="2196"/>
      <c r="I11" s="2199" t="s">
        <v>3101</v>
      </c>
      <c r="J11" s="2200"/>
      <c r="K11" s="2199" t="s">
        <v>3102</v>
      </c>
      <c r="L11" s="2200"/>
      <c r="M11" s="2199" t="s">
        <v>3103</v>
      </c>
      <c r="N11" s="2200"/>
      <c r="O11" s="2199" t="s">
        <v>3101</v>
      </c>
      <c r="P11" s="2200"/>
      <c r="Q11" s="2199"/>
      <c r="R11" s="2200"/>
      <c r="S11" s="2199"/>
      <c r="T11" s="2200"/>
      <c r="U11" s="2199"/>
      <c r="V11" s="2200"/>
      <c r="W11" s="2199"/>
      <c r="X11" s="2200"/>
      <c r="Y11" s="2199"/>
      <c r="Z11" s="2200"/>
      <c r="AA11" s="2199"/>
      <c r="AB11" s="2200"/>
      <c r="AC11" s="1294"/>
      <c r="AD11" s="2201" t="s">
        <v>1908</v>
      </c>
      <c r="AE11" s="1821"/>
      <c r="AF11" s="2201" t="s">
        <v>1908</v>
      </c>
      <c r="AG11" s="1821"/>
      <c r="AH11" s="2201" t="s">
        <v>1909</v>
      </c>
      <c r="AI11" s="2202"/>
      <c r="AJ11" s="2201" t="s">
        <v>1909</v>
      </c>
      <c r="AK11" s="1821"/>
      <c r="AL11" s="1819"/>
      <c r="AM11" s="1821"/>
      <c r="AN11" s="1819"/>
      <c r="AO11" s="1821"/>
      <c r="AP11" s="1819"/>
      <c r="AQ11" s="1821"/>
      <c r="AR11" s="1819"/>
      <c r="AS11" s="1821"/>
      <c r="AT11" s="2162"/>
      <c r="AU11" s="2179"/>
      <c r="AV11" s="1294"/>
      <c r="AW11" s="2162"/>
      <c r="AX11" s="1294"/>
      <c r="AY11" s="28"/>
      <c r="AZ11" s="28"/>
      <c r="BA11" s="28"/>
      <c r="BB11" s="2184" t="str">
        <f>I10</f>
        <v>商业</v>
      </c>
      <c r="BC11" s="2184" t="str">
        <f>K10</f>
        <v>车库</v>
      </c>
      <c r="BD11" s="2184" t="str">
        <f>M10</f>
        <v>商业</v>
      </c>
      <c r="BE11" s="2184" t="str">
        <f>O10</f>
        <v>商业</v>
      </c>
      <c r="BF11" s="2184">
        <f>Q10</f>
        <v>0</v>
      </c>
      <c r="BG11" s="2184">
        <f>S10</f>
        <v>0</v>
      </c>
      <c r="BH11" s="2184">
        <f>U10</f>
        <v>0</v>
      </c>
      <c r="BI11" s="2184">
        <f>W10</f>
        <v>0</v>
      </c>
      <c r="BJ11" s="2184">
        <f>Y10</f>
        <v>0</v>
      </c>
      <c r="BK11" s="2184">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8"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4" t="s">
        <v>1911</v>
      </c>
      <c r="W12" s="11" t="s">
        <v>1910</v>
      </c>
      <c r="X12" s="11" t="s">
        <v>1911</v>
      </c>
      <c r="Y12" s="11" t="s">
        <v>1910</v>
      </c>
      <c r="Z12" s="11" t="s">
        <v>1911</v>
      </c>
      <c r="AA12" s="11" t="s">
        <v>1910</v>
      </c>
      <c r="AB12" s="11" t="s">
        <v>1911</v>
      </c>
      <c r="AC12" s="2206"/>
      <c r="AD12" s="1808"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4" t="s">
        <v>1911</v>
      </c>
      <c r="AT12" s="2207"/>
      <c r="AU12" s="2204"/>
      <c r="AV12" s="31"/>
      <c r="AW12" s="2163"/>
      <c r="AX12" s="31"/>
      <c r="AY12" s="2208"/>
      <c r="AZ12" s="28"/>
      <c r="BA12" s="2196"/>
      <c r="BB12" s="24" t="str">
        <f>I11</f>
        <v>办公楼</v>
      </c>
      <c r="BC12" s="2209" t="str">
        <f>K11</f>
        <v>车库</v>
      </c>
      <c r="BD12" s="2209" t="str">
        <f>M11</f>
        <v>食堂</v>
      </c>
      <c r="BE12" s="2184" t="str">
        <f>O11</f>
        <v>办公楼</v>
      </c>
      <c r="BF12" s="2184">
        <f>Q11</f>
        <v>0</v>
      </c>
      <c r="BG12" s="2184">
        <f>S11</f>
        <v>0</v>
      </c>
      <c r="BH12" s="2184">
        <f>U11</f>
        <v>0</v>
      </c>
      <c r="BI12" s="2184">
        <f>W11</f>
        <v>0</v>
      </c>
      <c r="BJ12" s="2184">
        <f>Y11</f>
        <v>0</v>
      </c>
      <c r="BK12" s="2184">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3">
        <f>AR11</f>
        <v>0</v>
      </c>
    </row>
    <row r="13" spans="1:72" s="2164" customFormat="1" ht="12.75">
      <c r="A13" s="1274"/>
      <c r="B13" s="1274"/>
      <c r="C13" s="1274" t="s">
        <v>3092</v>
      </c>
      <c r="D13" s="2210" t="s">
        <v>3099</v>
      </c>
      <c r="E13" s="16">
        <f>IF($C$3="是",ROUND($A$3*G13/$B$3,2),ROUND($A$3*(G13-AT13)/$B$3,2))</f>
        <v>37302.050000000003</v>
      </c>
      <c r="F13" s="32"/>
      <c r="G13" s="33">
        <f>H13+AC13+AT13</f>
        <v>82051</v>
      </c>
      <c r="H13" s="20">
        <f>SUMIF(I$12:AB$12,"总值",I13:AB13)</f>
        <v>80930</v>
      </c>
      <c r="I13" s="2211">
        <f>8981+4902+5423+14004+23790+15918+7912</f>
        <v>80930</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1121</v>
      </c>
      <c r="AD13" s="2212"/>
      <c r="AE13" s="2212"/>
      <c r="AF13" s="2212"/>
      <c r="AG13" s="2212"/>
      <c r="AH13" s="2212"/>
      <c r="AI13" s="2212"/>
      <c r="AJ13" s="2212"/>
      <c r="AK13" s="2212"/>
      <c r="AL13" s="2212">
        <v>1121</v>
      </c>
      <c r="AM13" s="2212"/>
      <c r="AN13" s="2212"/>
      <c r="AO13" s="2212"/>
      <c r="AP13" s="2212"/>
      <c r="AQ13" s="2212"/>
      <c r="AR13" s="2212"/>
      <c r="AS13" s="2212"/>
      <c r="AT13" s="2213"/>
      <c r="AU13" s="2214"/>
      <c r="AV13" s="11">
        <f t="shared" ref="AV13:AX17" si="6">A13</f>
        <v>0</v>
      </c>
      <c r="AW13" s="11">
        <f t="shared" si="6"/>
        <v>0</v>
      </c>
      <c r="AX13" s="11" t="str">
        <f t="shared" si="6"/>
        <v>1号楼</v>
      </c>
      <c r="AY13" s="1808">
        <f>ROUND($AY$6*AZ13/$AZ$5,2)</f>
        <v>37302.050000000003</v>
      </c>
      <c r="AZ13" s="16">
        <f>BA13+BL13</f>
        <v>82051</v>
      </c>
      <c r="BA13" s="16">
        <f>SUM(BB13:BK13)</f>
        <v>80930</v>
      </c>
      <c r="BB13" s="16">
        <f>IF($D13="是",I13-J13,0)</f>
        <v>80930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1121</v>
      </c>
      <c r="BM13" s="16">
        <f>IF($D13="是",AD13-AE13,0)</f>
        <v>0</v>
      </c>
      <c r="BN13" s="16">
        <f>IF($D13="是",AF13-AG13,0)</f>
        <v>0</v>
      </c>
      <c r="BO13" s="16">
        <f>IF($D13="是",AH13-AI13,0)</f>
        <v>0</v>
      </c>
      <c r="BP13" s="16">
        <f>IF($D13="是",AJ13-AK13,0)</f>
        <v>0</v>
      </c>
      <c r="BQ13" s="16">
        <f>IF($D13="是",AL13-AM13,0)</f>
        <v>1121</v>
      </c>
      <c r="BR13" s="16">
        <f>IF($D13="是",AN13-AO13,0)</f>
        <v>0</v>
      </c>
      <c r="BS13" s="16">
        <f>IF($D13="是",AP13-AQ13,0)</f>
        <v>0</v>
      </c>
      <c r="BT13" s="22">
        <f>IF($D13="是",AR13-AS13,0)</f>
        <v>0</v>
      </c>
    </row>
    <row r="14" spans="1:72" s="2164" customFormat="1" ht="12.75">
      <c r="A14" s="1274"/>
      <c r="B14" s="1274"/>
      <c r="C14" s="2150" t="s">
        <v>3093</v>
      </c>
      <c r="D14" s="2210" t="s">
        <v>3099</v>
      </c>
      <c r="E14" s="16">
        <f>IF($C$3="是",ROUND($A$3*G14/$B$3,2),ROUND($A$3*(G14-AT14)/$B$3,2))</f>
        <v>9780.7000000000007</v>
      </c>
      <c r="F14" s="32"/>
      <c r="G14" s="33">
        <f>H14+AC14+AT14</f>
        <v>21514</v>
      </c>
      <c r="H14" s="20">
        <f>SUMIF(I$12:AB$12,"总值",I14:AB14)</f>
        <v>21236</v>
      </c>
      <c r="I14" s="2211">
        <f>2487+3976+3698+4195+3440+3440</f>
        <v>21236</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278</v>
      </c>
      <c r="AD14" s="2212"/>
      <c r="AE14" s="2212"/>
      <c r="AF14" s="2212"/>
      <c r="AG14" s="2212"/>
      <c r="AH14" s="2212"/>
      <c r="AI14" s="2212"/>
      <c r="AJ14" s="2212"/>
      <c r="AK14" s="2212"/>
      <c r="AL14" s="2212">
        <v>278</v>
      </c>
      <c r="AM14" s="2212"/>
      <c r="AN14" s="2212"/>
      <c r="AO14" s="2212"/>
      <c r="AP14" s="2212"/>
      <c r="AQ14" s="2212"/>
      <c r="AR14" s="2212"/>
      <c r="AS14" s="2212"/>
      <c r="AT14" s="2213"/>
      <c r="AU14" s="2214"/>
      <c r="AV14" s="11">
        <f t="shared" si="6"/>
        <v>0</v>
      </c>
      <c r="AW14" s="11">
        <f t="shared" si="6"/>
        <v>0</v>
      </c>
      <c r="AX14" s="11" t="str">
        <f t="shared" si="6"/>
        <v>2号楼</v>
      </c>
      <c r="AY14" s="1808">
        <f>ROUND($AY$6*AZ14/$AZ$5,2)</f>
        <v>9780.7000000000007</v>
      </c>
      <c r="AZ14" s="16">
        <f>BA14+BL14</f>
        <v>21514</v>
      </c>
      <c r="BA14" s="16">
        <f>SUM(BB14:BK14)</f>
        <v>21236</v>
      </c>
      <c r="BB14" s="16">
        <f>IF($D14="是",I14-J14,0)</f>
        <v>21236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278</v>
      </c>
      <c r="BM14" s="16">
        <f>IF($D14="是",AD14-AE14,0)</f>
        <v>0</v>
      </c>
      <c r="BN14" s="16">
        <f>IF($D14="是",AF14-AG14,0)</f>
        <v>0</v>
      </c>
      <c r="BO14" s="16">
        <f>IF($D14="是",AH14-AI14,0)</f>
        <v>0</v>
      </c>
      <c r="BP14" s="16">
        <f>IF($D14="是",AJ14-AK14,0)</f>
        <v>0</v>
      </c>
      <c r="BQ14" s="16">
        <f>IF($D14="是",AL14-AM14,0)</f>
        <v>278</v>
      </c>
      <c r="BR14" s="16">
        <f>IF($D14="是",AN14-AO14,0)</f>
        <v>0</v>
      </c>
      <c r="BS14" s="16">
        <f>IF($D14="是",AP14-AQ14,0)</f>
        <v>0</v>
      </c>
      <c r="BT14" s="22">
        <f>IF($D14="是",AR14-AS14,0)</f>
        <v>0</v>
      </c>
    </row>
    <row r="15" spans="1:72" s="2164" customFormat="1" ht="12.75">
      <c r="A15" s="1274"/>
      <c r="B15" s="1274"/>
      <c r="C15" s="2150" t="s">
        <v>3094</v>
      </c>
      <c r="D15" s="2210" t="s">
        <v>3099</v>
      </c>
      <c r="E15" s="16">
        <f>IF($C$3="是",ROUND($A$3*G15/$B$3,2),ROUND($A$3*(G15-AT15)/$B$3,2))</f>
        <v>9780.7000000000007</v>
      </c>
      <c r="F15" s="32"/>
      <c r="G15" s="33">
        <f>H15+AC15+AT15</f>
        <v>21514</v>
      </c>
      <c r="H15" s="20">
        <f>SUMIF(I$12:AB$12,"总值",I15:AB15)</f>
        <v>21236</v>
      </c>
      <c r="I15" s="2211">
        <f>2487+3976+3698+4195+3440+3440</f>
        <v>21236</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278</v>
      </c>
      <c r="AD15" s="2212"/>
      <c r="AE15" s="2212"/>
      <c r="AF15" s="2212"/>
      <c r="AG15" s="2212"/>
      <c r="AH15" s="2212"/>
      <c r="AI15" s="2212"/>
      <c r="AJ15" s="2212"/>
      <c r="AK15" s="2212"/>
      <c r="AL15" s="2212">
        <v>278</v>
      </c>
      <c r="AM15" s="2212"/>
      <c r="AN15" s="2212"/>
      <c r="AO15" s="2212"/>
      <c r="AP15" s="2212"/>
      <c r="AQ15" s="2212"/>
      <c r="AR15" s="2212"/>
      <c r="AS15" s="2212"/>
      <c r="AT15" s="2213"/>
      <c r="AU15" s="2214"/>
      <c r="AV15" s="11">
        <f t="shared" si="6"/>
        <v>0</v>
      </c>
      <c r="AW15" s="11">
        <f t="shared" si="6"/>
        <v>0</v>
      </c>
      <c r="AX15" s="11" t="str">
        <f t="shared" si="6"/>
        <v>3号楼</v>
      </c>
      <c r="AY15" s="1808">
        <f>ROUND($AY$6*AZ15/$AZ$5,2)</f>
        <v>9780.7000000000007</v>
      </c>
      <c r="AZ15" s="16">
        <f>BA15+BL15</f>
        <v>21514</v>
      </c>
      <c r="BA15" s="16">
        <f>SUM(BB15:BK15)</f>
        <v>21236</v>
      </c>
      <c r="BB15" s="16">
        <f>IF($D15="是",I15-J15,0)</f>
        <v>21236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278</v>
      </c>
      <c r="BM15" s="16">
        <f>IF($D15="是",AD15-AE15,0)</f>
        <v>0</v>
      </c>
      <c r="BN15" s="16">
        <f>IF($D15="是",AF15-AG15,0)</f>
        <v>0</v>
      </c>
      <c r="BO15" s="16">
        <f>IF($D15="是",AH15-AI15,0)</f>
        <v>0</v>
      </c>
      <c r="BP15" s="16">
        <f>IF($D15="是",AJ15-AK15,0)</f>
        <v>0</v>
      </c>
      <c r="BQ15" s="16">
        <f>IF($D15="是",AL15-AM15,0)</f>
        <v>278</v>
      </c>
      <c r="BR15" s="16">
        <f>IF($D15="是",AN15-AO15,0)</f>
        <v>0</v>
      </c>
      <c r="BS15" s="16">
        <f>IF($D15="是",AP15-AQ15,0)</f>
        <v>0</v>
      </c>
      <c r="BT15" s="22">
        <f>IF($D15="是",AR15-AS15,0)</f>
        <v>0</v>
      </c>
    </row>
    <row r="16" spans="1:72" s="2164" customFormat="1" ht="12.75">
      <c r="A16" s="1274"/>
      <c r="B16" s="1274"/>
      <c r="C16" s="2969" t="s">
        <v>3096</v>
      </c>
      <c r="D16" s="2210" t="s">
        <v>3099</v>
      </c>
      <c r="E16" s="16">
        <f>IF($C$3="是",ROUND($A$3*G16/$B$3,2),ROUND($A$3*(G16-AT16)/$B$3,2))</f>
        <v>24338.55</v>
      </c>
      <c r="F16" s="32"/>
      <c r="G16" s="33">
        <f>H16+AC16+AT16</f>
        <v>53536</v>
      </c>
      <c r="H16" s="20">
        <f>SUMIF(I$12:AB$12,"总值",I16:AB16)</f>
        <v>47983</v>
      </c>
      <c r="I16" s="2211"/>
      <c r="J16" s="2211"/>
      <c r="K16" s="2211">
        <f>33170</f>
        <v>33170</v>
      </c>
      <c r="L16" s="2211"/>
      <c r="M16" s="2211">
        <v>5676</v>
      </c>
      <c r="N16" s="2211"/>
      <c r="O16" s="2211">
        <v>9137</v>
      </c>
      <c r="P16" s="2211"/>
      <c r="Q16" s="2211"/>
      <c r="R16" s="2211"/>
      <c r="S16" s="2211"/>
      <c r="T16" s="2211"/>
      <c r="U16" s="2211"/>
      <c r="V16" s="2211"/>
      <c r="W16" s="2211"/>
      <c r="X16" s="2211"/>
      <c r="Y16" s="2211"/>
      <c r="Z16" s="2211"/>
      <c r="AA16" s="2211"/>
      <c r="AB16" s="2211"/>
      <c r="AC16" s="16">
        <f>SUMIF(AD$12:AS$12,"总值",AD16:AS16)</f>
        <v>5553</v>
      </c>
      <c r="AD16" s="2212"/>
      <c r="AE16" s="2212"/>
      <c r="AF16" s="2212"/>
      <c r="AG16" s="2212"/>
      <c r="AH16" s="2212"/>
      <c r="AI16" s="2212"/>
      <c r="AJ16" s="2212"/>
      <c r="AK16" s="2212"/>
      <c r="AL16" s="2212"/>
      <c r="AM16" s="2212"/>
      <c r="AN16" s="2212">
        <v>5553</v>
      </c>
      <c r="AO16" s="2212"/>
      <c r="AP16" s="2212"/>
      <c r="AQ16" s="2212"/>
      <c r="AR16" s="2212"/>
      <c r="AS16" s="2212"/>
      <c r="AT16" s="2213"/>
      <c r="AU16" s="2214"/>
      <c r="AV16" s="11">
        <f t="shared" si="6"/>
        <v>0</v>
      </c>
      <c r="AW16" s="11">
        <f t="shared" si="6"/>
        <v>0</v>
      </c>
      <c r="AX16" s="11" t="str">
        <f t="shared" si="6"/>
        <v>地下</v>
      </c>
      <c r="AY16" s="1808">
        <f>ROUND($AY$6*AZ16/$AZ$5,2)</f>
        <v>24338.55</v>
      </c>
      <c r="AZ16" s="16">
        <f>BA16+BL16</f>
        <v>53536</v>
      </c>
      <c r="BA16" s="16">
        <f>SUM(BB16:BK16)</f>
        <v>47983</v>
      </c>
      <c r="BB16" s="16">
        <f>IF($D16="是",I16-J16,0)</f>
        <v>0</v>
      </c>
      <c r="BC16" s="16">
        <f>IF($D16="是",K16-L16,0)</f>
        <v>33170</v>
      </c>
      <c r="BD16" s="16">
        <f>IF($D16="是",M16-N16,0)</f>
        <v>5676</v>
      </c>
      <c r="BE16" s="16">
        <f>IF($D16="是",O16-P16,0)</f>
        <v>9137</v>
      </c>
      <c r="BF16" s="16">
        <f>IF($D16="是",Q16-R16,0)</f>
        <v>0</v>
      </c>
      <c r="BG16" s="16">
        <f>IF($D16="是",S16-T16,0)</f>
        <v>0</v>
      </c>
      <c r="BH16" s="16">
        <f>IF($D16="是",U16-V16,0)</f>
        <v>0</v>
      </c>
      <c r="BI16" s="16">
        <f>IF($D16="是",W16-X16,0)</f>
        <v>0</v>
      </c>
      <c r="BJ16" s="16">
        <f>IF($D16="是",Y16-Z16,0)</f>
        <v>0</v>
      </c>
      <c r="BK16" s="16">
        <f>IF($D16="是",AA16-AB16,0)</f>
        <v>0</v>
      </c>
      <c r="BL16" s="16">
        <f>SUM(BM16:BT16)</f>
        <v>5553</v>
      </c>
      <c r="BM16" s="16">
        <f>IF($D16="是",AD16-AE16,0)</f>
        <v>0</v>
      </c>
      <c r="BN16" s="16">
        <f>IF($D16="是",AF16-AG16,0)</f>
        <v>0</v>
      </c>
      <c r="BO16" s="16">
        <f>IF($D16="是",AH16-AI16,0)</f>
        <v>0</v>
      </c>
      <c r="BP16" s="16">
        <f>IF($D16="是",AJ16-AK16,0)</f>
        <v>0</v>
      </c>
      <c r="BQ16" s="16">
        <f>IF($D16="是",AL16-AM16,0)</f>
        <v>0</v>
      </c>
      <c r="BR16" s="16">
        <f>IF($D16="是",AN16-AO16,0)</f>
        <v>5553</v>
      </c>
      <c r="BS16" s="16">
        <f>IF($D16="是",AP16-AQ16,0)</f>
        <v>0</v>
      </c>
      <c r="BT16" s="22">
        <f>IF($D16="是",AR16-AS16,0)</f>
        <v>0</v>
      </c>
    </row>
    <row r="17" spans="1:72" s="2164" customFormat="1" ht="12.75">
      <c r="A17" s="1274"/>
      <c r="B17" s="1274"/>
      <c r="C17" s="2969"/>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70"/>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6"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9" t="s">
        <v>0</v>
      </c>
      <c r="B1" s="3089" t="s">
        <v>4</v>
      </c>
      <c r="C1" s="3089" t="s">
        <v>5</v>
      </c>
      <c r="D1" s="3090" t="s">
        <v>53</v>
      </c>
      <c r="E1" s="3090" t="s">
        <v>54</v>
      </c>
      <c r="F1" s="3090"/>
      <c r="G1" s="3090"/>
      <c r="H1" s="3090"/>
      <c r="I1" s="3090"/>
      <c r="J1" s="3090"/>
      <c r="K1" s="3090"/>
      <c r="L1" s="3090"/>
      <c r="M1" s="3090"/>
    </row>
    <row r="2" spans="1:13" ht="27" customHeight="1">
      <c r="A2" s="3089"/>
      <c r="B2" s="3089"/>
      <c r="C2" s="3089"/>
      <c r="D2" s="3090"/>
      <c r="E2" s="3090" t="s">
        <v>37</v>
      </c>
      <c r="F2" s="3090" t="s">
        <v>38</v>
      </c>
      <c r="G2" s="3090"/>
      <c r="H2" s="3090"/>
      <c r="I2" s="3090"/>
      <c r="J2" s="3090" t="s">
        <v>39</v>
      </c>
      <c r="K2" s="3090"/>
      <c r="L2" s="3090"/>
      <c r="M2" s="3090"/>
    </row>
    <row r="3" spans="1:13" ht="28.5">
      <c r="A3" s="3089"/>
      <c r="B3" s="3089"/>
      <c r="C3" s="3089"/>
      <c r="D3" s="3090"/>
      <c r="E3" s="309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0" t="s">
        <v>55</v>
      </c>
      <c r="B9" s="3090"/>
      <c r="C9" s="309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9" sqref="D39"/>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1937</v>
      </c>
      <c r="B1" s="1394"/>
      <c r="C1" s="1394"/>
      <c r="D1" s="1394"/>
      <c r="E1" s="1394"/>
      <c r="F1" s="1394"/>
      <c r="G1" s="1394"/>
      <c r="H1" s="1394"/>
      <c r="I1" s="1394"/>
      <c r="J1" s="1394"/>
      <c r="K1" s="1394"/>
      <c r="L1" s="1394"/>
      <c r="M1" s="1394"/>
      <c r="N1" s="1394"/>
      <c r="O1" s="1394"/>
      <c r="P1" s="1394"/>
    </row>
    <row r="2" spans="1:16" ht="15">
      <c r="A2" s="3100" t="s">
        <v>1938</v>
      </c>
      <c r="B2" s="3100"/>
      <c r="C2" s="3100"/>
      <c r="D2" s="969" t="s">
        <v>1914</v>
      </c>
      <c r="E2" s="2224" t="s">
        <v>1915</v>
      </c>
      <c r="F2" s="1394"/>
      <c r="G2" s="2225"/>
      <c r="H2" s="2226"/>
      <c r="I2" s="2227" t="s">
        <v>1939</v>
      </c>
      <c r="J2" s="1394"/>
      <c r="K2" s="1394"/>
      <c r="L2" s="1394"/>
      <c r="M2" s="1394"/>
      <c r="N2" s="1429"/>
      <c r="O2" s="1394"/>
      <c r="P2" s="1394"/>
    </row>
    <row r="3" spans="1:16" ht="15.75" thickBot="1">
      <c r="A3" s="3101" t="s">
        <v>1912</v>
      </c>
      <c r="B3" s="3101"/>
      <c r="C3" s="3101"/>
      <c r="D3" s="46">
        <f>'数据-基础表'!AY6</f>
        <v>81202</v>
      </c>
      <c r="E3" s="46">
        <f>'数据-基础表'!AZ5</f>
        <v>178615</v>
      </c>
      <c r="F3" s="1394"/>
      <c r="G3" s="1401"/>
      <c r="H3" s="1249" t="s">
        <v>1913</v>
      </c>
      <c r="I3" s="55">
        <f>ROUND('数据-基础表'!B3/'数据-基础表'!A3,2)</f>
        <v>2.2000000000000002</v>
      </c>
      <c r="J3" s="1394"/>
      <c r="K3" s="1394"/>
      <c r="L3" s="1394"/>
      <c r="M3" s="1394"/>
      <c r="N3" s="1429"/>
      <c r="O3" s="1394"/>
      <c r="P3" s="1394"/>
    </row>
    <row r="4" spans="1:16" ht="15">
      <c r="A4" s="3102"/>
      <c r="B4" s="3103"/>
      <c r="C4" s="3104"/>
      <c r="D4" s="2228" t="s">
        <v>1914</v>
      </c>
      <c r="E4" s="2229" t="s">
        <v>1915</v>
      </c>
      <c r="F4" s="1394"/>
      <c r="G4" s="2230" t="s">
        <v>1940</v>
      </c>
      <c r="H4" s="1249" t="s">
        <v>1920</v>
      </c>
      <c r="I4" s="55">
        <f>ROUND(SUMIF('数据-基础表'!I9:AS9,"地上",'数据-基础表'!I5:AS5)/'数据-基础表'!A3,2)</f>
        <v>1.54</v>
      </c>
      <c r="J4" s="1394"/>
      <c r="K4" s="1394"/>
      <c r="L4" s="1394"/>
      <c r="M4" s="1394"/>
      <c r="N4" s="1429"/>
      <c r="O4" s="1394"/>
      <c r="P4" s="1394"/>
    </row>
    <row r="5" spans="1:16">
      <c r="A5" s="47" t="s">
        <v>1916</v>
      </c>
      <c r="B5" s="3105" t="s">
        <v>1917</v>
      </c>
      <c r="C5" s="3105"/>
      <c r="D5" s="48">
        <f>ROUND($D$3*E5/$E$3,2)</f>
        <v>0</v>
      </c>
      <c r="E5" s="49">
        <f>SUMIF('数据-基础表'!$11:$11,"住宅",'数据-基础表'!$5:$5)</f>
        <v>0</v>
      </c>
      <c r="F5" s="1394"/>
      <c r="G5" s="1401"/>
      <c r="H5" s="1249" t="s">
        <v>1913</v>
      </c>
      <c r="I5" s="55">
        <f>ROUND(E31/D31,2)</f>
        <v>2.2000000000000002</v>
      </c>
      <c r="J5" s="1394"/>
      <c r="K5" s="1394"/>
      <c r="L5" s="1394"/>
      <c r="M5" s="1394"/>
      <c r="N5" s="1394"/>
      <c r="O5" s="1394"/>
      <c r="P5" s="1394"/>
    </row>
    <row r="6" spans="1:16" ht="15" thickBot="1">
      <c r="A6" s="2231"/>
      <c r="B6" s="3105" t="s">
        <v>1918</v>
      </c>
      <c r="C6" s="3105"/>
      <c r="D6" s="48">
        <f>ROUND($D$3*E6/$E$3,2)</f>
        <v>81202</v>
      </c>
      <c r="E6" s="49">
        <f>E3-E5</f>
        <v>178615</v>
      </c>
      <c r="F6" s="1394"/>
      <c r="G6" s="2232" t="s">
        <v>1919</v>
      </c>
      <c r="H6" s="1401" t="s">
        <v>1920</v>
      </c>
      <c r="I6" s="941">
        <f>ROUND(F31/D31,2)</f>
        <v>1.54</v>
      </c>
      <c r="J6" s="1394"/>
      <c r="K6" s="1394"/>
      <c r="L6" s="1394"/>
      <c r="M6" s="1394"/>
      <c r="N6" s="1394"/>
      <c r="O6" s="1394"/>
      <c r="P6" s="1394"/>
    </row>
    <row r="7" spans="1:16" ht="15">
      <c r="A7" s="3097"/>
      <c r="B7" s="3098"/>
      <c r="C7" s="3099"/>
      <c r="D7" s="2228" t="s">
        <v>1914</v>
      </c>
      <c r="E7" s="2233" t="s">
        <v>1921</v>
      </c>
      <c r="F7" s="1394"/>
      <c r="G7" s="2225" t="s">
        <v>1922</v>
      </c>
      <c r="H7" s="64"/>
      <c r="I7" s="419"/>
      <c r="J7" s="1394"/>
      <c r="K7" s="1394"/>
      <c r="L7" s="1394"/>
      <c r="M7" s="1394"/>
      <c r="N7" s="1394"/>
      <c r="O7" s="1394"/>
      <c r="P7" s="1394"/>
    </row>
    <row r="8" spans="1:16">
      <c r="A8" s="47" t="s">
        <v>1923</v>
      </c>
      <c r="B8" s="50" t="s">
        <v>1924</v>
      </c>
      <c r="C8" s="48" t="s">
        <v>1925</v>
      </c>
      <c r="D8" s="48">
        <f t="shared" ref="D8:D15" si="0">ROUND($D$3*E8/$E$3,2)</f>
        <v>56101.05</v>
      </c>
      <c r="E8" s="51">
        <f>SUMIF('数据-基础表'!BB10:BK10,"地上",'数据-基础表'!BB5:BK5)</f>
        <v>123402</v>
      </c>
      <c r="F8" s="1394"/>
      <c r="G8" s="2234"/>
      <c r="H8" s="2234"/>
      <c r="I8" s="1394"/>
      <c r="J8" s="1394"/>
      <c r="K8" s="1394"/>
      <c r="L8" s="1394"/>
      <c r="M8" s="1394"/>
      <c r="N8" s="1394"/>
      <c r="O8" s="1394"/>
      <c r="P8" s="1394"/>
    </row>
    <row r="9" spans="1:16">
      <c r="A9" s="2235"/>
      <c r="B9" s="2236"/>
      <c r="C9" s="48" t="s">
        <v>1926</v>
      </c>
      <c r="D9" s="48">
        <f t="shared" si="0"/>
        <v>0</v>
      </c>
      <c r="E9" s="52">
        <v>0</v>
      </c>
      <c r="F9" s="1394"/>
      <c r="G9" s="2234"/>
      <c r="H9" s="2234"/>
      <c r="I9" s="1394"/>
      <c r="J9" s="1394"/>
      <c r="K9" s="1394"/>
      <c r="L9" s="1394"/>
      <c r="M9" s="1394"/>
      <c r="N9" s="1394"/>
      <c r="O9" s="1394"/>
      <c r="P9" s="1394"/>
    </row>
    <row r="10" spans="1:16">
      <c r="A10" s="2235"/>
      <c r="B10" s="2236"/>
      <c r="C10" s="48" t="s">
        <v>1935</v>
      </c>
      <c r="D10" s="48">
        <f t="shared" si="0"/>
        <v>6734.29</v>
      </c>
      <c r="E10" s="51">
        <f>SUMPRODUCT(('数据-基础表'!BB10:BK10="地下")*('数据-基础表'!BB11:BK11="商业")*('数据-基础表'!BB5:BK5))</f>
        <v>14813</v>
      </c>
      <c r="F10" s="1394"/>
      <c r="G10" s="2234"/>
      <c r="H10" s="2234"/>
      <c r="I10" s="1394"/>
      <c r="J10" s="1394"/>
      <c r="K10" s="1394"/>
      <c r="L10" s="1394"/>
      <c r="M10" s="1394"/>
      <c r="N10" s="1394"/>
      <c r="O10" s="1394"/>
      <c r="P10" s="1394"/>
    </row>
    <row r="11" spans="1:16">
      <c r="A11" s="2235"/>
      <c r="B11" s="2236"/>
      <c r="C11" s="48" t="s">
        <v>1927</v>
      </c>
      <c r="D11" s="48">
        <f t="shared" si="0"/>
        <v>0</v>
      </c>
      <c r="E11" s="51">
        <f>SUMPRODUCT(('数据-基础表'!BB10:BK10="地下")*('数据-基础表'!BB11:BK11="办公")*('数据-基础表'!BB5:BK5))+'数据-基础表'!BP5</f>
        <v>0</v>
      </c>
      <c r="F11" s="1394"/>
      <c r="G11" s="2234"/>
      <c r="H11" s="2234"/>
      <c r="I11" s="1394"/>
      <c r="J11" s="1394"/>
      <c r="K11" s="1394"/>
      <c r="L11" s="1394"/>
      <c r="M11" s="1394"/>
      <c r="N11" s="1394"/>
      <c r="O11" s="1394"/>
      <c r="P11" s="1394"/>
    </row>
    <row r="12" spans="1:16">
      <c r="A12" s="2235"/>
      <c r="B12" s="2236"/>
      <c r="C12" s="48" t="s">
        <v>1928</v>
      </c>
      <c r="D12" s="48">
        <f t="shared" si="0"/>
        <v>0</v>
      </c>
      <c r="E12" s="51">
        <f>SUMPRODUCT(('数据-基础表'!BB10:BK10="地下")*('数据-基础表'!BB11:BK11="仓储")*('数据-基础表'!BB5:BK5))</f>
        <v>0</v>
      </c>
      <c r="F12" s="1394"/>
      <c r="G12" s="2234"/>
      <c r="H12" s="2234"/>
      <c r="I12" s="1394"/>
      <c r="J12" s="1394"/>
      <c r="K12" s="1394"/>
      <c r="L12" s="1394"/>
      <c r="M12" s="1394"/>
      <c r="N12" s="1394"/>
      <c r="O12" s="1394"/>
      <c r="P12" s="1394"/>
    </row>
    <row r="13" spans="1:16">
      <c r="A13" s="2235"/>
      <c r="B13" s="2236"/>
      <c r="C13" s="48" t="s">
        <v>1929</v>
      </c>
      <c r="D13" s="48">
        <f t="shared" si="0"/>
        <v>15079.75</v>
      </c>
      <c r="E13" s="51">
        <f>SUMPRODUCT(('数据-基础表'!BB10:BK10="地下")*('数据-基础表'!BB11:BK11="车库")*('数据-基础表'!BB5:BK5))</f>
        <v>33170</v>
      </c>
      <c r="F13" s="1394"/>
      <c r="G13" s="2234"/>
      <c r="H13" s="2234"/>
      <c r="I13" s="1394"/>
      <c r="J13" s="1394"/>
      <c r="K13" s="1394"/>
      <c r="L13" s="1394"/>
      <c r="M13" s="1394"/>
      <c r="N13" s="1394"/>
      <c r="O13" s="1394"/>
      <c r="P13" s="1394"/>
    </row>
    <row r="14" spans="1:16">
      <c r="A14" s="2235"/>
      <c r="B14" s="2236"/>
      <c r="C14" s="48" t="s">
        <v>1941</v>
      </c>
      <c r="D14" s="48">
        <f t="shared" si="0"/>
        <v>0</v>
      </c>
      <c r="E14" s="51">
        <f>SUMPRODUCT(('数据-基础表'!BB10:BK10="地下")*('数据-基础表'!BB11:BK11="车库—商业")*('数据-基础表'!BB5:BK5))</f>
        <v>0</v>
      </c>
      <c r="F14" s="1394"/>
      <c r="G14" s="2234"/>
      <c r="H14" s="2234"/>
      <c r="I14" s="1394"/>
      <c r="J14" s="1394"/>
      <c r="K14" s="1394"/>
      <c r="L14" s="1394"/>
      <c r="M14" s="1394"/>
      <c r="N14" s="1394"/>
      <c r="O14" s="1394"/>
      <c r="P14" s="1394"/>
    </row>
    <row r="15" spans="1:16" ht="15" thickBot="1">
      <c r="A15" s="2235"/>
      <c r="B15" s="2236"/>
      <c r="C15" s="48" t="s">
        <v>1936</v>
      </c>
      <c r="D15" s="48">
        <f t="shared" si="0"/>
        <v>0</v>
      </c>
      <c r="E15" s="51">
        <f>SUMPRODUCT(('数据-基础表'!BB10:BK10="地下")*('数据-基础表'!BB11:BK11="车库—办公")*('数据-基础表'!BB5:BK5))</f>
        <v>0</v>
      </c>
      <c r="F15" s="1394"/>
      <c r="G15" s="2234"/>
      <c r="H15" s="2234"/>
      <c r="I15" s="1394"/>
      <c r="J15" s="1394"/>
      <c r="K15" s="1394"/>
      <c r="L15" s="1394"/>
      <c r="M15" s="1394"/>
      <c r="N15" s="1394"/>
      <c r="O15" s="1394"/>
      <c r="P15" s="1394"/>
    </row>
    <row r="16" spans="1:16" ht="15.75" thickBot="1">
      <c r="A16" s="2231"/>
      <c r="B16" s="2236"/>
      <c r="C16" s="50" t="s">
        <v>1930</v>
      </c>
      <c r="D16" s="50">
        <f>SUM(D8:D15)</f>
        <v>77915.09</v>
      </c>
      <c r="E16" s="53">
        <f>SUM(E8:E15)</f>
        <v>171385</v>
      </c>
      <c r="F16" s="1394"/>
      <c r="G16" s="2234"/>
      <c r="H16" s="2237" t="s">
        <v>1942</v>
      </c>
      <c r="I16" s="2238"/>
      <c r="J16" s="1394"/>
      <c r="K16" s="3094" t="s">
        <v>1942</v>
      </c>
      <c r="L16" s="3095"/>
      <c r="M16" s="3095"/>
      <c r="N16" s="3095"/>
      <c r="O16" s="3095"/>
      <c r="P16" s="3096"/>
    </row>
    <row r="17" spans="1:19" ht="15">
      <c r="A17" s="2239" t="s">
        <v>1943</v>
      </c>
      <c r="B17" s="2240" t="s">
        <v>1944</v>
      </c>
      <c r="C17" s="2241" t="s">
        <v>1945</v>
      </c>
      <c r="D17" s="2242" t="s">
        <v>1933</v>
      </c>
      <c r="E17" s="2243" t="s">
        <v>1934</v>
      </c>
      <c r="F17" s="2244"/>
      <c r="G17" s="2245"/>
      <c r="H17" s="2246" t="s">
        <v>1946</v>
      </c>
      <c r="I17" s="2247" t="s">
        <v>1931</v>
      </c>
      <c r="J17" s="1394"/>
      <c r="K17" s="3091" t="s">
        <v>1947</v>
      </c>
      <c r="L17" s="3092"/>
      <c r="M17" s="3093"/>
      <c r="N17" s="3091" t="s">
        <v>1948</v>
      </c>
      <c r="O17" s="3092"/>
      <c r="P17" s="3093"/>
      <c r="R17" s="2225" t="s">
        <v>1949</v>
      </c>
      <c r="S17" s="64"/>
    </row>
    <row r="18" spans="1:19" ht="15">
      <c r="A18" s="2235"/>
      <c r="B18" s="2248"/>
      <c r="C18" s="2249"/>
      <c r="D18" s="2250"/>
      <c r="E18" s="2251" t="s">
        <v>1950</v>
      </c>
      <c r="F18" s="2252" t="s">
        <v>1951</v>
      </c>
      <c r="G18" s="2253" t="s">
        <v>1952</v>
      </c>
      <c r="H18" s="1264" t="s">
        <v>1953</v>
      </c>
      <c r="I18" s="2254" t="s">
        <v>1954</v>
      </c>
      <c r="J18" s="1394"/>
      <c r="K18" s="1264" t="s">
        <v>1955</v>
      </c>
      <c r="L18" s="2255" t="s">
        <v>1956</v>
      </c>
      <c r="M18" s="1048" t="s">
        <v>1957</v>
      </c>
      <c r="N18" s="1264" t="s">
        <v>1955</v>
      </c>
      <c r="O18" s="2255" t="s">
        <v>1956</v>
      </c>
      <c r="P18" s="1048" t="s">
        <v>1957</v>
      </c>
      <c r="R18" s="1249" t="s">
        <v>1958</v>
      </c>
      <c r="S18" s="1249" t="s">
        <v>1959</v>
      </c>
    </row>
    <row r="19" spans="1:19">
      <c r="A19" s="2256"/>
      <c r="B19" s="50" t="s">
        <v>1932</v>
      </c>
      <c r="C19" s="2971" t="s">
        <v>3105</v>
      </c>
      <c r="D19" s="48">
        <f>ROUND($D$3*E19/$E$3,2)</f>
        <v>56101.05</v>
      </c>
      <c r="E19" s="56">
        <f t="shared" ref="E19:E26" si="1">SUM(F19:G19)</f>
        <v>123402</v>
      </c>
      <c r="F19" s="57">
        <f>'数据-基础表'!I13+'数据-基础表'!I14+'数据-基础表'!I15</f>
        <v>123402</v>
      </c>
      <c r="G19" s="58"/>
      <c r="H19" s="722">
        <f>ROUND($D$3*I19/$E$3,2)</f>
        <v>2366.66</v>
      </c>
      <c r="I19" s="51">
        <f t="shared" ref="I19:I26" si="2">IF($I$17="自定义",P19,M19)</f>
        <v>5205.8</v>
      </c>
      <c r="J19" s="1394"/>
      <c r="K19" s="1393">
        <f t="shared" ref="K19:K26" si="3">ROUND(E$28*E19/E$27,2)</f>
        <v>5205.8</v>
      </c>
      <c r="L19" s="1249">
        <f t="shared" ref="L19:L26" si="4">ROUND(IF(COUNTIF(C19,"*住宅*")&gt;0,E$29*E19/E$32,0),2)</f>
        <v>0</v>
      </c>
      <c r="M19" s="1405">
        <f>K19+L19</f>
        <v>5205.8</v>
      </c>
      <c r="N19" s="2257"/>
      <c r="O19" s="2258"/>
      <c r="P19" s="1405">
        <f>N19+O19</f>
        <v>0</v>
      </c>
      <c r="R19" s="1249">
        <f t="shared" ref="R19:S26" si="5">D19+H19</f>
        <v>58467.710000000006</v>
      </c>
      <c r="S19" s="1250">
        <f t="shared" si="5"/>
        <v>128607.8</v>
      </c>
    </row>
    <row r="20" spans="1:19">
      <c r="A20" s="2259"/>
      <c r="B20" s="50" t="s">
        <v>1960</v>
      </c>
      <c r="C20" s="2971" t="s">
        <v>3106</v>
      </c>
      <c r="D20" s="48">
        <f t="shared" ref="D20:D26" si="6">ROUND($D$3*E20/$E$3,2)</f>
        <v>15079.75</v>
      </c>
      <c r="E20" s="56">
        <f t="shared" si="1"/>
        <v>33170</v>
      </c>
      <c r="F20" s="57"/>
      <c r="G20" s="58">
        <f>'数据-基础表'!K16</f>
        <v>33170</v>
      </c>
      <c r="H20" s="722">
        <f t="shared" ref="H20:H26" si="7">ROUND($D$3*I20/$E$3,2)</f>
        <v>636.15</v>
      </c>
      <c r="I20" s="51">
        <f t="shared" si="2"/>
        <v>1399.3</v>
      </c>
      <c r="J20" s="1394"/>
      <c r="K20" s="1393">
        <f t="shared" si="3"/>
        <v>1399.3</v>
      </c>
      <c r="L20" s="1249">
        <f t="shared" si="4"/>
        <v>0</v>
      </c>
      <c r="M20" s="1405">
        <f t="shared" ref="M20:M26" si="8">K20+L20</f>
        <v>1399.3</v>
      </c>
      <c r="N20" s="2257"/>
      <c r="O20" s="2258"/>
      <c r="P20" s="1405">
        <f t="shared" ref="P20:P26" si="9">N20+O20</f>
        <v>0</v>
      </c>
      <c r="R20" s="1249">
        <f t="shared" si="5"/>
        <v>15715.9</v>
      </c>
      <c r="S20" s="1250">
        <f t="shared" si="5"/>
        <v>34569.300000000003</v>
      </c>
    </row>
    <row r="21" spans="1:19">
      <c r="A21" s="2259"/>
      <c r="B21" s="50" t="s">
        <v>1960</v>
      </c>
      <c r="C21" s="2971" t="s">
        <v>3107</v>
      </c>
      <c r="D21" s="48">
        <f t="shared" si="6"/>
        <v>2580.42</v>
      </c>
      <c r="E21" s="56">
        <f t="shared" si="1"/>
        <v>5676</v>
      </c>
      <c r="F21" s="57"/>
      <c r="G21" s="58">
        <f>'数据-基础表'!M16</f>
        <v>5676</v>
      </c>
      <c r="H21" s="722">
        <f t="shared" si="7"/>
        <v>108.86</v>
      </c>
      <c r="I21" s="51">
        <f t="shared" si="2"/>
        <v>239.45</v>
      </c>
      <c r="J21" s="1394"/>
      <c r="K21" s="1393">
        <f t="shared" si="3"/>
        <v>239.45</v>
      </c>
      <c r="L21" s="1249">
        <f t="shared" si="4"/>
        <v>0</v>
      </c>
      <c r="M21" s="1405">
        <f t="shared" si="8"/>
        <v>239.45</v>
      </c>
      <c r="N21" s="2257"/>
      <c r="O21" s="2258"/>
      <c r="P21" s="1405">
        <f t="shared" si="9"/>
        <v>0</v>
      </c>
      <c r="R21" s="1249">
        <f t="shared" si="5"/>
        <v>2689.28</v>
      </c>
      <c r="S21" s="1250">
        <f t="shared" si="5"/>
        <v>5915.45</v>
      </c>
    </row>
    <row r="22" spans="1:19">
      <c r="A22" s="2259"/>
      <c r="B22" s="50" t="s">
        <v>1960</v>
      </c>
      <c r="C22" s="60" t="s">
        <v>3108</v>
      </c>
      <c r="D22" s="48">
        <f t="shared" si="6"/>
        <v>4153.87</v>
      </c>
      <c r="E22" s="56">
        <f t="shared" si="1"/>
        <v>9137</v>
      </c>
      <c r="F22" s="61"/>
      <c r="G22" s="62">
        <f>'数据-基础表'!O16</f>
        <v>9137</v>
      </c>
      <c r="H22" s="722">
        <f t="shared" si="7"/>
        <v>175.23</v>
      </c>
      <c r="I22" s="51">
        <f t="shared" si="2"/>
        <v>385.45</v>
      </c>
      <c r="J22" s="1394"/>
      <c r="K22" s="1393">
        <f t="shared" si="3"/>
        <v>385.45</v>
      </c>
      <c r="L22" s="1249">
        <f t="shared" si="4"/>
        <v>0</v>
      </c>
      <c r="M22" s="1405">
        <f t="shared" si="8"/>
        <v>385.45</v>
      </c>
      <c r="N22" s="2257"/>
      <c r="O22" s="2258"/>
      <c r="P22" s="1405">
        <f t="shared" si="9"/>
        <v>0</v>
      </c>
      <c r="R22" s="1249">
        <f t="shared" si="5"/>
        <v>4329.0999999999995</v>
      </c>
      <c r="S22" s="1250">
        <f t="shared" si="5"/>
        <v>9522.4500000000007</v>
      </c>
    </row>
    <row r="23" spans="1:19">
      <c r="A23" s="2259"/>
      <c r="B23" s="50" t="s">
        <v>1960</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57"/>
      <c r="O23" s="2258"/>
      <c r="P23" s="1405">
        <f t="shared" si="9"/>
        <v>0</v>
      </c>
      <c r="R23" s="1249">
        <f t="shared" si="5"/>
        <v>0</v>
      </c>
      <c r="S23" s="1250">
        <f t="shared" si="5"/>
        <v>0</v>
      </c>
    </row>
    <row r="24" spans="1:19">
      <c r="A24" s="2259"/>
      <c r="B24" s="50" t="s">
        <v>1960</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57"/>
      <c r="O24" s="2258"/>
      <c r="P24" s="1405">
        <f t="shared" si="9"/>
        <v>0</v>
      </c>
      <c r="R24" s="1249">
        <f t="shared" si="5"/>
        <v>0</v>
      </c>
      <c r="S24" s="1250">
        <f t="shared" si="5"/>
        <v>0</v>
      </c>
    </row>
    <row r="25" spans="1:19">
      <c r="A25" s="2259"/>
      <c r="B25" s="50" t="s">
        <v>1960</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7"/>
      <c r="O25" s="2258"/>
      <c r="P25" s="1405">
        <f t="shared" si="9"/>
        <v>0</v>
      </c>
      <c r="R25" s="1249">
        <f t="shared" si="5"/>
        <v>0</v>
      </c>
      <c r="S25" s="1250">
        <f t="shared" si="5"/>
        <v>0</v>
      </c>
    </row>
    <row r="26" spans="1:19">
      <c r="A26" s="2259"/>
      <c r="B26" s="50" t="s">
        <v>1960</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0"/>
      <c r="O26" s="2261"/>
      <c r="P26" s="67">
        <f t="shared" si="9"/>
        <v>0</v>
      </c>
      <c r="R26" s="1249">
        <f t="shared" si="5"/>
        <v>0</v>
      </c>
      <c r="S26" s="1250">
        <f t="shared" si="5"/>
        <v>0</v>
      </c>
    </row>
    <row r="27" spans="1:19" ht="29.25" thickBot="1">
      <c r="A27" s="2259"/>
      <c r="B27" s="48"/>
      <c r="C27" s="2262" t="s">
        <v>1961</v>
      </c>
      <c r="D27" s="1395">
        <f>SUM(D19:D26)</f>
        <v>77915.09</v>
      </c>
      <c r="E27" s="1396">
        <f>IF(SUM(E19:E26)='数据-基础表'!BA5,SUM(E19:E26),IF(F27="地上面积有误","面积有误","地下面积有误"))</f>
        <v>171385</v>
      </c>
      <c r="F27" s="1395">
        <f>IF(SUM(F19:F26)=E8,SUM(F19:F26),"地上面积有误")</f>
        <v>123402</v>
      </c>
      <c r="G27" s="1397">
        <f>SUM(G19:G26)</f>
        <v>47983</v>
      </c>
      <c r="H27" s="1398">
        <f>SUM(H19:H26)</f>
        <v>3286.9</v>
      </c>
      <c r="I27" s="1399">
        <f>SUM(I19:I26)</f>
        <v>7230</v>
      </c>
      <c r="J27" s="1394"/>
      <c r="K27" s="1402">
        <f>SUM(K19:K26)</f>
        <v>7230</v>
      </c>
      <c r="L27" s="1403">
        <f>SUM(L19:L26)</f>
        <v>0</v>
      </c>
      <c r="M27" s="1406">
        <f>SUM(M19:M26)</f>
        <v>7230</v>
      </c>
      <c r="N27" s="1402">
        <f t="shared" ref="N27:O27" si="10">SUM(N19:N26)</f>
        <v>0</v>
      </c>
      <c r="O27" s="1403">
        <f t="shared" si="10"/>
        <v>0</v>
      </c>
      <c r="P27" s="1404">
        <f>SUM(P19:P26)</f>
        <v>0</v>
      </c>
      <c r="R27" s="1251" t="str">
        <f>IF(SUM(R19:R26)=$D$3,SUM(R19:R26),SUM(R19:R26)&amp;"误差"&amp;ROUND(SUM(R19:R26)-$D$3,2))</f>
        <v>81201.99误差-0.01</v>
      </c>
      <c r="S27" s="1249">
        <f>IF(SUM(S19:S26)=$E$3,SUM(S19:S26),SUM(S19:S26)&amp;"误差"&amp;ROUND(SUM(S19:S26)-E3,2))</f>
        <v>178615.00000000003</v>
      </c>
    </row>
    <row r="28" spans="1:19">
      <c r="A28" s="2259"/>
      <c r="B28" s="50" t="s">
        <v>1962</v>
      </c>
      <c r="C28" s="1261" t="s">
        <v>1963</v>
      </c>
      <c r="D28" s="48">
        <f>ROUND($D$3*E28/$E$3,2)</f>
        <v>3286.9</v>
      </c>
      <c r="E28" s="56">
        <f>SUM(F28:G28)</f>
        <v>7230</v>
      </c>
      <c r="F28" s="64">
        <f>'数据-基础表'!BQ5+'数据-基础表'!BS5</f>
        <v>1677</v>
      </c>
      <c r="G28" s="65">
        <f>'数据-基础表'!BR5+'数据-基础表'!BT5</f>
        <v>5553</v>
      </c>
      <c r="H28" s="1394"/>
      <c r="I28" s="1394"/>
      <c r="J28" s="1394"/>
      <c r="K28" s="1394"/>
      <c r="L28" s="1394"/>
      <c r="M28" s="1394"/>
      <c r="N28" s="1394"/>
      <c r="O28" s="1394"/>
      <c r="P28" s="1394"/>
    </row>
    <row r="29" spans="1:19">
      <c r="A29" s="2259"/>
      <c r="B29" s="50" t="s">
        <v>1962</v>
      </c>
      <c r="C29" s="2263" t="s">
        <v>1964</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59"/>
      <c r="B30" s="50"/>
      <c r="C30" s="2264" t="s">
        <v>1961</v>
      </c>
      <c r="D30" s="1395">
        <f>SUM(D28:D29)</f>
        <v>3286.9</v>
      </c>
      <c r="E30" s="1395">
        <f>SUM(E28:E29)</f>
        <v>7230</v>
      </c>
      <c r="F30" s="1395">
        <f>SUM(F28:F29)</f>
        <v>1677</v>
      </c>
      <c r="G30" s="1397">
        <f>SUM(G28:G29)</f>
        <v>5553</v>
      </c>
      <c r="H30" s="1394"/>
      <c r="I30" s="1394"/>
      <c r="J30" s="1394"/>
      <c r="K30" s="1394"/>
      <c r="L30" s="1394"/>
      <c r="M30" s="1394"/>
      <c r="N30" s="1394"/>
      <c r="O30" s="1394"/>
      <c r="P30" s="1394"/>
    </row>
    <row r="31" spans="1:19" ht="15.75" thickBot="1">
      <c r="A31" s="2265"/>
      <c r="B31" s="2266"/>
      <c r="C31" s="1009" t="s">
        <v>1965</v>
      </c>
      <c r="D31" s="728">
        <f>D27+D30</f>
        <v>81201.989999999991</v>
      </c>
      <c r="E31" s="728">
        <f>E27+E30</f>
        <v>178615</v>
      </c>
      <c r="F31" s="729">
        <f>F27+F30</f>
        <v>125079</v>
      </c>
      <c r="G31" s="730">
        <f>G27+G30</f>
        <v>53536</v>
      </c>
      <c r="H31" s="1394"/>
      <c r="I31" s="1394"/>
      <c r="J31" s="1394"/>
      <c r="K31" s="1394"/>
      <c r="L31" s="1394"/>
      <c r="M31" s="1394"/>
      <c r="N31" s="1394"/>
      <c r="O31" s="1394"/>
      <c r="P31" s="1394"/>
    </row>
    <row r="32" spans="1:19">
      <c r="A32" s="2230"/>
      <c r="B32" s="2230" t="s">
        <v>1966</v>
      </c>
      <c r="C32" s="2230"/>
      <c r="D32" s="2230"/>
      <c r="E32" s="1276">
        <f>SUMIF(C19:C26,"*住宅*",E19:E26)</f>
        <v>0</v>
      </c>
      <c r="F32" s="2230"/>
      <c r="G32" s="2230"/>
      <c r="H32" s="1394"/>
      <c r="I32" s="1394"/>
      <c r="J32" s="1394"/>
      <c r="K32" s="1394"/>
      <c r="L32" s="1394"/>
      <c r="M32" s="1394"/>
      <c r="N32" s="1394"/>
      <c r="O32" s="1394"/>
      <c r="P32" s="1394"/>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29" sqref="G29"/>
    </sheetView>
  </sheetViews>
  <sheetFormatPr defaultColWidth="13.75" defaultRowHeight="12.75"/>
  <cols>
    <col min="1" max="1" width="20.875" style="2340" customWidth="1"/>
    <col min="2" max="2" width="12" style="2271" customWidth="1"/>
    <col min="3" max="3" width="10.75" style="2271" customWidth="1"/>
    <col min="4" max="4" width="9.125" style="2341"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24" width="6.75" style="2271" customWidth="1"/>
    <col min="25" max="25" width="8.875" style="2271" customWidth="1"/>
    <col min="26"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1967</v>
      </c>
      <c r="B1" s="731"/>
      <c r="C1" s="1583"/>
      <c r="D1" s="2269"/>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2" t="s">
        <v>1968</v>
      </c>
      <c r="B2" s="1268">
        <f>项目基本情况!D3</f>
        <v>43248</v>
      </c>
      <c r="C2" s="2273"/>
      <c r="D2" s="2274"/>
      <c r="E2" s="2273"/>
      <c r="F2" s="2273"/>
      <c r="G2" s="2273"/>
      <c r="H2" s="2273"/>
      <c r="I2" s="2273"/>
      <c r="J2" s="2273"/>
      <c r="K2" s="1429"/>
      <c r="L2" s="1429"/>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3" customFormat="1" ht="15" thickBot="1">
      <c r="A3" s="2031"/>
      <c r="B3" s="2276"/>
      <c r="C3" s="2273"/>
      <c r="D3" s="2274"/>
      <c r="E3" s="2273"/>
      <c r="F3" s="2273"/>
      <c r="G3" s="2273"/>
      <c r="H3" s="2273"/>
      <c r="I3" s="2273"/>
      <c r="J3" s="2273"/>
      <c r="K3" s="1429"/>
      <c r="L3" s="1429"/>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3" customFormat="1" ht="15" thickBot="1">
      <c r="A4" s="68" t="s">
        <v>1969</v>
      </c>
      <c r="B4" s="2277"/>
      <c r="C4" s="2278"/>
      <c r="D4" s="2279"/>
      <c r="E4" s="2278" t="s">
        <v>1970</v>
      </c>
      <c r="F4" s="2278"/>
      <c r="G4" s="2278"/>
      <c r="H4" s="2278"/>
      <c r="I4" s="2278"/>
      <c r="J4" s="2280"/>
      <c r="K4" s="2281"/>
      <c r="L4" s="2282"/>
      <c r="M4" s="2278"/>
      <c r="N4" s="2278" t="s">
        <v>1971</v>
      </c>
      <c r="O4" s="2278"/>
      <c r="P4" s="2278"/>
      <c r="Q4" s="2278"/>
      <c r="R4" s="2278"/>
      <c r="S4" s="2280"/>
      <c r="T4" s="2283" t="str">
        <f>'数据-汇总表'!I17</f>
        <v>按面积比例</v>
      </c>
      <c r="U4" s="2277" t="s">
        <v>1972</v>
      </c>
      <c r="V4" s="2278"/>
      <c r="W4" s="2278"/>
      <c r="X4" s="2278"/>
      <c r="Y4" s="2280"/>
      <c r="Z4" s="2241" t="s">
        <v>1973</v>
      </c>
      <c r="AA4" s="2241"/>
      <c r="AB4" s="2241"/>
      <c r="AC4" s="2241"/>
      <c r="AD4" s="2241"/>
      <c r="AE4" s="2239" t="s">
        <v>1974</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4" customFormat="1" ht="42">
      <c r="A5" s="2285" t="s">
        <v>1975</v>
      </c>
      <c r="B5" s="2286" t="s">
        <v>1976</v>
      </c>
      <c r="C5" s="2287" t="s">
        <v>1977</v>
      </c>
      <c r="D5" s="2288" t="s">
        <v>1978</v>
      </c>
      <c r="E5" s="1270" t="s">
        <v>1979</v>
      </c>
      <c r="F5" s="2289" t="s">
        <v>1980</v>
      </c>
      <c r="G5" s="1270" t="s">
        <v>1981</v>
      </c>
      <c r="H5" s="1270" t="s">
        <v>1982</v>
      </c>
      <c r="I5" s="1270" t="s">
        <v>1983</v>
      </c>
      <c r="J5" s="2290" t="s">
        <v>1984</v>
      </c>
      <c r="K5" s="2291" t="s">
        <v>1985</v>
      </c>
      <c r="L5" s="2292" t="s">
        <v>1986</v>
      </c>
      <c r="M5" s="2293" t="s">
        <v>1987</v>
      </c>
      <c r="N5" s="2294" t="s">
        <v>1988</v>
      </c>
      <c r="O5" s="2292" t="s">
        <v>1989</v>
      </c>
      <c r="P5" s="2295" t="s">
        <v>1990</v>
      </c>
      <c r="Q5" s="69" t="s">
        <v>1991</v>
      </c>
      <c r="R5" s="2296" t="s">
        <v>1992</v>
      </c>
      <c r="S5" s="2297" t="s">
        <v>1993</v>
      </c>
      <c r="T5" s="2298" t="s">
        <v>1994</v>
      </c>
      <c r="U5" s="1269" t="s">
        <v>1995</v>
      </c>
      <c r="V5" s="1270" t="s">
        <v>1996</v>
      </c>
      <c r="W5" s="1270" t="s">
        <v>1997</v>
      </c>
      <c r="X5" s="71"/>
      <c r="Y5" s="70" t="s">
        <v>1998</v>
      </c>
      <c r="Z5" s="2299" t="s">
        <v>1995</v>
      </c>
      <c r="AA5" s="1270" t="s">
        <v>1996</v>
      </c>
      <c r="AB5" s="1270" t="s">
        <v>1997</v>
      </c>
      <c r="AC5" s="71"/>
      <c r="AD5" s="71" t="s">
        <v>1998</v>
      </c>
      <c r="AE5" s="1269" t="s">
        <v>1999</v>
      </c>
      <c r="AF5" s="1270" t="s">
        <v>2000</v>
      </c>
      <c r="AG5" s="70" t="s">
        <v>2001</v>
      </c>
      <c r="AH5" s="1269" t="s">
        <v>2002</v>
      </c>
      <c r="AI5" s="2299" t="s">
        <v>2003</v>
      </c>
      <c r="AJ5" s="2299" t="s">
        <v>2004</v>
      </c>
      <c r="AK5" s="1270" t="s">
        <v>2005</v>
      </c>
      <c r="AL5" s="1270" t="s">
        <v>2006</v>
      </c>
      <c r="AM5" s="70" t="s">
        <v>2007</v>
      </c>
      <c r="AN5" s="2300" t="s">
        <v>2008</v>
      </c>
      <c r="AO5" s="2071" t="s">
        <v>2009</v>
      </c>
      <c r="AP5" s="1251" t="s">
        <v>2010</v>
      </c>
      <c r="AQ5" s="2301" t="s">
        <v>2011</v>
      </c>
      <c r="AR5" s="2301" t="s">
        <v>2012</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3" customFormat="1" ht="14.25">
      <c r="A6" s="2302" t="str">
        <f>'数据-汇总表'!C19</f>
        <v>地上办公</v>
      </c>
      <c r="B6" s="2303" t="str">
        <f>IF(A6=0,"","经营性")</f>
        <v>经营性</v>
      </c>
      <c r="C6" s="2304" t="s">
        <v>1377</v>
      </c>
      <c r="D6" s="1053">
        <f>SUMIF(项目基本情况!D$12:I$12,C6,项目基本情况!D$14:I$14)</f>
        <v>40</v>
      </c>
      <c r="E6" s="1050">
        <f>IF(B6="","",SUMIF(项目基本情况!D$12:I$12,C6,项目基本情况!D$13:I$13))</f>
        <v>57481</v>
      </c>
      <c r="F6" s="72">
        <f>SUMIF(项目基本情况!D$12:I$12,C6,项目基本情况!D$15:I$15)</f>
        <v>38.99</v>
      </c>
      <c r="G6" s="73">
        <f>IF(ISERROR(ROUND(POWER(1+H6,D6-F6)*(POWER(1+H6,F6)-1)/(POWER(1+H6,D6)-1),3)),0,ROUND(POWER(1+H6,D6-F6)*(POWER(1+H6,F6)-1)/(POWER(1+H6,D6)-1),3))</f>
        <v>0.99099999999999999</v>
      </c>
      <c r="H6" s="801">
        <v>4.4999999999999998E-2</v>
      </c>
      <c r="I6" s="801">
        <v>5.5E-2</v>
      </c>
      <c r="J6" s="74">
        <v>8.5000000000000006E-2</v>
      </c>
      <c r="K6" s="1253">
        <f>SUMIF('数据-汇总表'!C$19:C$33,A6,'数据-汇总表'!E$19:E$33)</f>
        <v>123402</v>
      </c>
      <c r="L6" s="802">
        <v>5000</v>
      </c>
      <c r="M6" s="75">
        <f t="shared" ref="M6:M14" si="0">ROUND(K6*L6/10000,0)</f>
        <v>61701</v>
      </c>
      <c r="N6" s="800">
        <v>0.95</v>
      </c>
      <c r="O6" s="75">
        <f>IF($N$5="成新度","——",ROUND(M6*N6,0))</f>
        <v>58616</v>
      </c>
      <c r="P6" s="76">
        <f>IF($N$5="成新度","——",M6-O6)</f>
        <v>3085</v>
      </c>
      <c r="Q6" s="803">
        <v>0.1</v>
      </c>
      <c r="R6" s="77">
        <f ca="1">SUMIF('数据-汇总表'!C$19:C$33,A6,'数据-汇总表'!R$19:R$27)</f>
        <v>58467.710000000006</v>
      </c>
      <c r="S6" s="54">
        <f>IF('数据-汇总表'!$I$17="按面积比例",SUMIF('数据-汇总表'!C$19:C$33,A6,'数据-汇总表'!K$19:K$33),SUMIF('数据-汇总表'!C$19:C$33,A6,'数据-汇总表'!N$19:N$33))</f>
        <v>5205.8</v>
      </c>
      <c r="T6" s="1445">
        <f>ROUND($L$14*S6/10000,0)</f>
        <v>2343</v>
      </c>
      <c r="U6" s="78"/>
      <c r="V6" s="79">
        <v>0.03</v>
      </c>
      <c r="W6" s="79">
        <v>0.1</v>
      </c>
      <c r="X6" s="1263"/>
      <c r="Y6" s="80">
        <v>1</v>
      </c>
      <c r="Z6" s="81"/>
      <c r="AA6" s="74"/>
      <c r="AB6" s="74"/>
      <c r="AC6" s="1263"/>
      <c r="AD6" s="82"/>
      <c r="AE6" s="1264">
        <f ca="1">IF(AN6="",0,SUMIF(INDIRECT("'"&amp;AN6&amp;"'"&amp;"!E:E"),$AE$5,INDIRECT("'"&amp;AN6&amp;"'"&amp;"!F:F")))</f>
        <v>38.89</v>
      </c>
      <c r="AF6" s="1806"/>
      <c r="AG6" s="146">
        <f>IF(AF6="",0,AE6-AF6)</f>
        <v>0</v>
      </c>
      <c r="AH6" s="83"/>
      <c r="AI6" s="85">
        <v>365</v>
      </c>
      <c r="AJ6" s="86"/>
      <c r="AK6" s="87">
        <v>1.4999999999999999E-2</v>
      </c>
      <c r="AL6" s="88">
        <v>1.5E-3</v>
      </c>
      <c r="AM6" s="89">
        <v>0.01</v>
      </c>
      <c r="AN6" s="2305" t="s">
        <v>3104</v>
      </c>
      <c r="AO6" s="55">
        <f ca="1">SUMIF(INDIRECT("'"&amp;AN6&amp;"'"&amp;"!A:A"),"总价",INDIRECT("'"&amp;AN6&amp;"'"&amp;"!B:B"))</f>
        <v>-18441</v>
      </c>
      <c r="AP6" s="2306">
        <f>IF(C6="住宅",K6*L6,0)</f>
        <v>0</v>
      </c>
      <c r="AQ6" s="55">
        <f>ROUND($L$14*$N$14*S6/10000,0)</f>
        <v>2225</v>
      </c>
      <c r="AR6" s="55">
        <f>ROUND($L$14*(1-$N$14)*S6/10000,0)</f>
        <v>117</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3" customFormat="1" ht="14.25">
      <c r="A7" s="2302" t="str">
        <f>'数据-汇总表'!C20</f>
        <v>地下车库</v>
      </c>
      <c r="B7" s="2303" t="str">
        <f t="shared" ref="B7:B13" si="1">IF(A7=0,"","经营性")</f>
        <v>经营性</v>
      </c>
      <c r="C7" s="2304" t="s">
        <v>3102</v>
      </c>
      <c r="D7" s="1053">
        <f>SUMIF(项目基本情况!D$12:I$12,C7,项目基本情况!D$14:I$14)</f>
        <v>40</v>
      </c>
      <c r="E7" s="1050">
        <f>IF(B7="","",SUMIF(项目基本情况!D$12:I$12,C7,项目基本情况!D$13:I$13))</f>
        <v>57481</v>
      </c>
      <c r="F7" s="72">
        <f>SUMIF(项目基本情况!D$12:I$12,C7,项目基本情况!D$15:I$15)</f>
        <v>38.99</v>
      </c>
      <c r="G7" s="73">
        <f t="shared" ref="G7:G11" si="2">IF(ISERROR(ROUND(POWER(1+H7,D7-F7)*(POWER(1+H7,F7)-1)/(POWER(1+H7,D7)-1),3)),0,ROUND(POWER(1+H7,D7-F7)*(POWER(1+H7,F7)-1)/(POWER(1+H7,D7)-1),3))</f>
        <v>0.98899999999999999</v>
      </c>
      <c r="H7" s="801">
        <v>0.04</v>
      </c>
      <c r="I7" s="801">
        <v>0.05</v>
      </c>
      <c r="J7" s="74">
        <v>8.5000000000000006E-2</v>
      </c>
      <c r="K7" s="1253">
        <f>SUMIF('数据-汇总表'!C$19:C$33,A7,'数据-汇总表'!E$19:E$33)</f>
        <v>33170</v>
      </c>
      <c r="L7" s="802">
        <v>4500</v>
      </c>
      <c r="M7" s="75">
        <f t="shared" si="0"/>
        <v>14927</v>
      </c>
      <c r="N7" s="800">
        <v>0.95</v>
      </c>
      <c r="O7" s="75">
        <f t="shared" ref="O7:O14" si="3">IF($N$5="成新度","——",ROUND(M7*N7,0))</f>
        <v>14181</v>
      </c>
      <c r="P7" s="76">
        <f t="shared" ref="P7:P14" si="4">IF($N$5="成新度","——",M7-O7)</f>
        <v>746</v>
      </c>
      <c r="Q7" s="803">
        <v>0.03</v>
      </c>
      <c r="R7" s="77">
        <f ca="1">SUMIF('数据-汇总表'!C$19:C$33,A7,'数据-汇总表'!R$19:R$27)</f>
        <v>15715.9</v>
      </c>
      <c r="S7" s="54">
        <f>IF('数据-汇总表'!$I$17="按面积比例",SUMIF('数据-汇总表'!C$19:C$33,A7,'数据-汇总表'!K$19:K$33),SUMIF('数据-汇总表'!C$19:C$33,A7,'数据-汇总表'!N$19:N$33))</f>
        <v>1399.3</v>
      </c>
      <c r="T7" s="1445">
        <f t="shared" ref="T7:T13" si="5">ROUND($L$14*S7/10000,0)</f>
        <v>630</v>
      </c>
      <c r="U7" s="78"/>
      <c r="V7" s="79">
        <v>0.03</v>
      </c>
      <c r="W7" s="79">
        <v>0.1</v>
      </c>
      <c r="X7" s="1263"/>
      <c r="Y7" s="80">
        <v>1</v>
      </c>
      <c r="Z7" s="81"/>
      <c r="AA7" s="74"/>
      <c r="AB7" s="74"/>
      <c r="AC7" s="1263"/>
      <c r="AD7" s="82"/>
      <c r="AE7" s="1264">
        <f t="shared" ref="AE7:AE13" ca="1" si="6">IF(AN7="",0,SUMIF(INDIRECT("'"&amp;AN7&amp;"'"&amp;"!E:E"),$AE$5,INDIRECT("'"&amp;AN7&amp;"'"&amp;"!F:F")))</f>
        <v>38.89</v>
      </c>
      <c r="AF7" s="1806"/>
      <c r="AG7" s="146">
        <f t="shared" ref="AG7:AG13" si="7">IF(AF7="",0,AE7-AF7)</f>
        <v>0</v>
      </c>
      <c r="AH7" s="83"/>
      <c r="AI7" s="85">
        <v>365</v>
      </c>
      <c r="AJ7" s="86"/>
      <c r="AK7" s="87">
        <v>1.4999999999999999E-2</v>
      </c>
      <c r="AL7" s="88">
        <v>1.5E-3</v>
      </c>
      <c r="AM7" s="89">
        <v>0.01</v>
      </c>
      <c r="AN7" s="2305" t="s">
        <v>48</v>
      </c>
      <c r="AO7" s="55">
        <f t="shared" ref="AO7:AO13" ca="1" si="8">SUMIF(INDIRECT("'"&amp;AN7&amp;"'"&amp;"!A:A"),"总价",INDIRECT("'"&amp;AN7&amp;"'"&amp;"!B:B"))</f>
        <v>-5284</v>
      </c>
      <c r="AP7" s="2306">
        <f t="shared" ref="AP7:AP13" si="9">IF(C7="住宅",K7*L7,0)</f>
        <v>0</v>
      </c>
      <c r="AQ7" s="55">
        <f t="shared" ref="AQ7:AQ13" si="10">ROUND($L$14*$N$14*S7/10000,0)</f>
        <v>598</v>
      </c>
      <c r="AR7" s="55">
        <f t="shared" ref="AR7:AR13" si="11">ROUND($L$14*(1-$N$14)*S7/10000,0)</f>
        <v>31</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3" customFormat="1" ht="14.25">
      <c r="A8" s="2302" t="str">
        <f>'数据-汇总表'!C21</f>
        <v>地下餐厅</v>
      </c>
      <c r="B8" s="2303" t="str">
        <f t="shared" si="1"/>
        <v>经营性</v>
      </c>
      <c r="C8" s="2304" t="s">
        <v>1377</v>
      </c>
      <c r="D8" s="1053">
        <f>SUMIF(项目基本情况!D$12:I$12,C8,项目基本情况!D$14:I$14)</f>
        <v>40</v>
      </c>
      <c r="E8" s="1050">
        <f>IF(B8="","",SUMIF(项目基本情况!D$12:I$12,C8,项目基本情况!D$13:I$13))</f>
        <v>57481</v>
      </c>
      <c r="F8" s="72">
        <f>SUMIF(项目基本情况!D$12:I$12,C8,项目基本情况!D$15:I$15)</f>
        <v>38.99</v>
      </c>
      <c r="G8" s="73">
        <f t="shared" si="2"/>
        <v>0.99099999999999999</v>
      </c>
      <c r="H8" s="801">
        <v>4.4999999999999998E-2</v>
      </c>
      <c r="I8" s="801">
        <v>5.5E-2</v>
      </c>
      <c r="J8" s="74">
        <v>8.5000000000000006E-2</v>
      </c>
      <c r="K8" s="1253">
        <f>SUMIF('数据-汇总表'!C$19:C$33,A8,'数据-汇总表'!E$19:E$33)</f>
        <v>5676</v>
      </c>
      <c r="L8" s="802">
        <v>5000</v>
      </c>
      <c r="M8" s="75">
        <f>ROUND(K8*L8/10000,0)</f>
        <v>2838</v>
      </c>
      <c r="N8" s="800">
        <v>0.95</v>
      </c>
      <c r="O8" s="75">
        <f t="shared" si="3"/>
        <v>2696</v>
      </c>
      <c r="P8" s="76">
        <f t="shared" si="4"/>
        <v>142</v>
      </c>
      <c r="Q8" s="803">
        <v>0.03</v>
      </c>
      <c r="R8" s="77">
        <f ca="1">SUMIF('数据-汇总表'!C$19:C$33,A8,'数据-汇总表'!R$19:R$27)</f>
        <v>2689.28</v>
      </c>
      <c r="S8" s="54">
        <f>IF('数据-汇总表'!$I$17="按面积比例",SUMIF('数据-汇总表'!C$19:C$33,A8,'数据-汇总表'!K$19:K$33),SUMIF('数据-汇总表'!C$19:C$33,A8,'数据-汇总表'!N$19:N$33))</f>
        <v>239.45</v>
      </c>
      <c r="T8" s="1445">
        <f t="shared" si="5"/>
        <v>108</v>
      </c>
      <c r="U8" s="804"/>
      <c r="V8" s="805">
        <v>0.03</v>
      </c>
      <c r="W8" s="805">
        <v>0.1</v>
      </c>
      <c r="X8" s="1263"/>
      <c r="Y8" s="806">
        <v>1</v>
      </c>
      <c r="Z8" s="81"/>
      <c r="AA8" s="74"/>
      <c r="AB8" s="74"/>
      <c r="AC8" s="1263"/>
      <c r="AD8" s="82"/>
      <c r="AE8" s="1264">
        <f t="shared" ca="1" si="6"/>
        <v>38.89</v>
      </c>
      <c r="AF8" s="1806"/>
      <c r="AG8" s="146">
        <f t="shared" si="7"/>
        <v>0</v>
      </c>
      <c r="AH8" s="807"/>
      <c r="AI8" s="85">
        <v>365</v>
      </c>
      <c r="AJ8" s="86"/>
      <c r="AK8" s="808">
        <v>1.4999999999999999E-2</v>
      </c>
      <c r="AL8" s="809">
        <v>1.5E-3</v>
      </c>
      <c r="AM8" s="810">
        <v>0.01</v>
      </c>
      <c r="AN8" s="2305" t="s">
        <v>3097</v>
      </c>
      <c r="AO8" s="55">
        <f t="shared" ca="1" si="8"/>
        <v>-794</v>
      </c>
      <c r="AP8" s="2306">
        <f t="shared" si="9"/>
        <v>0</v>
      </c>
      <c r="AQ8" s="55">
        <f t="shared" si="10"/>
        <v>102</v>
      </c>
      <c r="AR8" s="55">
        <f t="shared" si="11"/>
        <v>5</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3" customFormat="1" ht="14.25">
      <c r="A9" s="2302" t="str">
        <f>'数据-汇总表'!C22</f>
        <v xml:space="preserve">地下办公 </v>
      </c>
      <c r="B9" s="2303" t="str">
        <f t="shared" si="1"/>
        <v>经营性</v>
      </c>
      <c r="C9" s="3010" t="s">
        <v>1377</v>
      </c>
      <c r="D9" s="1053">
        <f>SUMIF(项目基本情况!D$12:I$12,C9,项目基本情况!D$14:I$14)</f>
        <v>40</v>
      </c>
      <c r="E9" s="1050">
        <f>IF(B9="","",SUMIF(项目基本情况!D$12:I$12,C9,项目基本情况!D$13:I$13))</f>
        <v>57481</v>
      </c>
      <c r="F9" s="72">
        <f>SUMIF(项目基本情况!D$12:I$12,C9,项目基本情况!D$15:I$15)</f>
        <v>38.99</v>
      </c>
      <c r="G9" s="73">
        <f t="shared" si="2"/>
        <v>0.99099999999999999</v>
      </c>
      <c r="H9" s="801">
        <v>4.4999999999999998E-2</v>
      </c>
      <c r="I9" s="801">
        <v>5.5E-2</v>
      </c>
      <c r="J9" s="74">
        <v>8.5000000000000006E-2</v>
      </c>
      <c r="K9" s="1253">
        <f>SUMIF('数据-汇总表'!C$19:C$33,A9,'数据-汇总表'!E$19:E$33)</f>
        <v>9137</v>
      </c>
      <c r="L9" s="802">
        <v>5000</v>
      </c>
      <c r="M9" s="75">
        <f t="shared" si="0"/>
        <v>4569</v>
      </c>
      <c r="N9" s="800">
        <v>0.95</v>
      </c>
      <c r="O9" s="75">
        <f t="shared" si="3"/>
        <v>4341</v>
      </c>
      <c r="P9" s="76">
        <f t="shared" si="4"/>
        <v>228</v>
      </c>
      <c r="Q9" s="90">
        <v>0.03</v>
      </c>
      <c r="R9" s="77">
        <f ca="1">SUMIF('数据-汇总表'!C$19:C$33,A9,'数据-汇总表'!R$19:R$27)</f>
        <v>4329.0999999999995</v>
      </c>
      <c r="S9" s="54">
        <f>IF('数据-汇总表'!$I$17="按面积比例",SUMIF('数据-汇总表'!C$19:C$33,A9,'数据-汇总表'!K$19:K$33),SUMIF('数据-汇总表'!C$19:C$33,A9,'数据-汇总表'!N$19:N$33))</f>
        <v>385.45</v>
      </c>
      <c r="T9" s="1445">
        <f t="shared" si="5"/>
        <v>173</v>
      </c>
      <c r="U9" s="78"/>
      <c r="V9" s="79">
        <v>0.03</v>
      </c>
      <c r="W9" s="79">
        <v>0.1</v>
      </c>
      <c r="X9" s="1263"/>
      <c r="Y9" s="80">
        <v>1</v>
      </c>
      <c r="Z9" s="81"/>
      <c r="AA9" s="74"/>
      <c r="AB9" s="74"/>
      <c r="AC9" s="1263"/>
      <c r="AD9" s="82"/>
      <c r="AE9" s="1264">
        <f t="shared" ca="1" si="6"/>
        <v>38.89</v>
      </c>
      <c r="AF9" s="1806"/>
      <c r="AG9" s="146">
        <f t="shared" si="7"/>
        <v>0</v>
      </c>
      <c r="AH9" s="83"/>
      <c r="AI9" s="85">
        <v>365</v>
      </c>
      <c r="AJ9" s="86"/>
      <c r="AK9" s="87">
        <v>1.4999999999999999E-2</v>
      </c>
      <c r="AL9" s="88">
        <v>1.5E-3</v>
      </c>
      <c r="AM9" s="89">
        <v>0.01</v>
      </c>
      <c r="AN9" s="2305" t="s">
        <v>3098</v>
      </c>
      <c r="AO9" s="55">
        <f t="shared" ca="1" si="8"/>
        <v>-1279</v>
      </c>
      <c r="AP9" s="2306">
        <f t="shared" si="9"/>
        <v>0</v>
      </c>
      <c r="AQ9" s="55">
        <f t="shared" si="10"/>
        <v>165</v>
      </c>
      <c r="AR9" s="55">
        <f t="shared" si="11"/>
        <v>9</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3" customFormat="1" ht="14.25" hidden="1">
      <c r="A10" s="2302">
        <f>'数据-汇总表'!C23</f>
        <v>0</v>
      </c>
      <c r="B10" s="2303" t="str">
        <f t="shared" si="1"/>
        <v/>
      </c>
      <c r="C10" s="2304"/>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6">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3" customFormat="1" ht="14.25" hidden="1">
      <c r="A11" s="2302">
        <f>'数据-汇总表'!C24</f>
        <v>0</v>
      </c>
      <c r="B11" s="2303" t="str">
        <f t="shared" si="1"/>
        <v/>
      </c>
      <c r="C11" s="2304"/>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6">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3" customFormat="1" ht="14.25" hidden="1">
      <c r="A12" s="2302">
        <f>'数据-汇总表'!C25</f>
        <v>0</v>
      </c>
      <c r="B12" s="2303" t="str">
        <f t="shared" si="1"/>
        <v/>
      </c>
      <c r="C12" s="2304"/>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6">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3" customFormat="1" ht="14.25" hidden="1">
      <c r="A13" s="2302">
        <f>'数据-汇总表'!C26</f>
        <v>0</v>
      </c>
      <c r="B13" s="2303" t="str">
        <f t="shared" si="1"/>
        <v/>
      </c>
      <c r="C13" s="2304"/>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6">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3" customFormat="1" ht="14.25">
      <c r="A14" s="2307" t="s">
        <v>2013</v>
      </c>
      <c r="B14" s="2303" t="s">
        <v>2014</v>
      </c>
      <c r="C14" s="2308" t="s">
        <v>2013</v>
      </c>
      <c r="D14" s="1053"/>
      <c r="E14" s="1050"/>
      <c r="F14" s="72"/>
      <c r="G14" s="73"/>
      <c r="H14" s="1252"/>
      <c r="I14" s="1252"/>
      <c r="J14" s="1252"/>
      <c r="K14" s="1253">
        <f>SUMIF('数据-汇总表'!C$19:C$33,A14,'数据-汇总表'!E$19:E$33)</f>
        <v>7230</v>
      </c>
      <c r="L14" s="91">
        <v>4500</v>
      </c>
      <c r="M14" s="75">
        <f t="shared" si="0"/>
        <v>3254</v>
      </c>
      <c r="N14" s="92">
        <v>0.95</v>
      </c>
      <c r="O14" s="75">
        <f t="shared" si="3"/>
        <v>3091</v>
      </c>
      <c r="P14" s="76">
        <f t="shared" si="4"/>
        <v>163</v>
      </c>
      <c r="Q14" s="1256"/>
      <c r="R14" s="77"/>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3" customFormat="1" ht="27">
      <c r="A15" s="2307" t="s">
        <v>2015</v>
      </c>
      <c r="B15" s="2303" t="s">
        <v>2014</v>
      </c>
      <c r="C15" s="2308" t="s">
        <v>2016</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3" customFormat="1" ht="15.75" thickBot="1">
      <c r="A16" s="2309" t="s">
        <v>2017</v>
      </c>
      <c r="B16" s="97"/>
      <c r="C16" s="1007"/>
      <c r="D16" s="2310"/>
      <c r="E16" s="97"/>
      <c r="F16" s="97"/>
      <c r="G16" s="98">
        <f>ROUND(SUMPRODUCT(G6:G13,K6:K13)/SUMPRODUCT((G6:G13&gt;0)*(K6:K13)),3)</f>
        <v>0.99099999999999999</v>
      </c>
      <c r="H16" s="99">
        <f>ROUND(SUMPRODUCT(H6:H13,K6:K13)/SUMPRODUCT((H6:H13&gt;0)*(K6:K13)),3)</f>
        <v>4.3999999999999997E-2</v>
      </c>
      <c r="I16" s="100"/>
      <c r="J16" s="100"/>
      <c r="K16" s="101">
        <f>SUM(K6:K15)</f>
        <v>178615</v>
      </c>
      <c r="L16" s="102">
        <f>ROUND(M16*10000/SUM(K6:K14),0)</f>
        <v>4887</v>
      </c>
      <c r="M16" s="102">
        <f>SUM(M6:M14)</f>
        <v>87289</v>
      </c>
      <c r="N16" s="103">
        <f>ROUND(SUMPRODUCT(M6:M14,N6:N14)/M16,3)</f>
        <v>0.95</v>
      </c>
      <c r="O16" s="102">
        <f>SUM(O6:O14)</f>
        <v>82925</v>
      </c>
      <c r="P16" s="102">
        <f>SUM(P6:P14)</f>
        <v>4364</v>
      </c>
      <c r="Q16" s="104">
        <f>ROUND(SUMPRODUCT(Q6:Q13,K6:K13)/SUMPRODUCT((Q6:Q13&gt;0)*(K6:K13)),2)</f>
        <v>0.08</v>
      </c>
      <c r="R16" s="1257">
        <f ca="1">SUM(R6:R13)</f>
        <v>81201.990000000005</v>
      </c>
      <c r="S16" s="105">
        <f>SUM(S6:S13)</f>
        <v>7230</v>
      </c>
      <c r="T16" s="106">
        <f>IF(SUMIF(T6:T13,"&lt;9E307")=M14,SUMIF(T6:T13,"&lt;9E307"),"有误，请检查")</f>
        <v>3254</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1"/>
      <c r="C17" s="1583"/>
      <c r="D17" s="2269"/>
      <c r="E17" s="2269"/>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2018</v>
      </c>
      <c r="B18" s="2276"/>
      <c r="C18" s="2273"/>
      <c r="D18" s="2274"/>
      <c r="E18" s="2273"/>
      <c r="F18" s="2273"/>
      <c r="G18" s="2273"/>
      <c r="H18" s="2273"/>
      <c r="I18" s="2273"/>
      <c r="J18" s="2273"/>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2" t="s">
        <v>2019</v>
      </c>
      <c r="B19" s="112">
        <v>0</v>
      </c>
      <c r="C19" s="2273" t="s">
        <v>2020</v>
      </c>
      <c r="D19" s="2274"/>
      <c r="E19" s="2273"/>
      <c r="F19" s="2273"/>
      <c r="G19" s="2273"/>
      <c r="H19" s="2273"/>
      <c r="I19" s="2273"/>
      <c r="J19" s="2273"/>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3" t="s">
        <v>2021</v>
      </c>
      <c r="B20" s="113">
        <v>2</v>
      </c>
      <c r="C20" s="2273" t="s">
        <v>2022</v>
      </c>
      <c r="D20" s="2274"/>
      <c r="E20" s="2273"/>
      <c r="F20" s="2273"/>
      <c r="G20" s="2273"/>
      <c r="H20" s="2273"/>
      <c r="I20" s="2273"/>
      <c r="J20" s="2273"/>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4" t="s">
        <v>2023</v>
      </c>
      <c r="B21" s="113">
        <v>1.9</v>
      </c>
      <c r="C21" s="2273"/>
      <c r="D21" s="2274"/>
      <c r="E21" s="2273"/>
      <c r="F21" s="2273"/>
      <c r="G21" s="2273"/>
      <c r="H21" s="2273"/>
      <c r="I21" s="2273"/>
      <c r="J21" s="2273"/>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3" t="s">
        <v>2024</v>
      </c>
      <c r="B22" s="114">
        <f>B19+B20</f>
        <v>2</v>
      </c>
      <c r="C22" s="2273"/>
      <c r="D22" s="2274"/>
      <c r="E22" s="2273"/>
      <c r="F22" s="2273"/>
      <c r="G22" s="2273"/>
      <c r="H22" s="2273"/>
      <c r="I22" s="2273"/>
      <c r="J22" s="2273"/>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4" t="s">
        <v>2025</v>
      </c>
      <c r="B23" s="114">
        <f>B19+B21</f>
        <v>1.9</v>
      </c>
      <c r="C23" s="2273"/>
      <c r="D23" s="2274"/>
      <c r="E23" s="2273"/>
      <c r="F23" s="2273"/>
      <c r="G23" s="2273"/>
      <c r="H23" s="2273"/>
      <c r="I23" s="2273"/>
      <c r="J23" s="2273"/>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5" t="s">
        <v>2026</v>
      </c>
      <c r="B24" s="115">
        <f>B20-B21</f>
        <v>0.10000000000000009</v>
      </c>
      <c r="C24" s="2273"/>
      <c r="D24" s="2274"/>
      <c r="E24" s="2273"/>
      <c r="F24" s="2273"/>
      <c r="G24" s="2273"/>
      <c r="H24" s="2273"/>
      <c r="I24" s="2273"/>
      <c r="J24" s="2273"/>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6"/>
      <c r="C25" s="2273"/>
      <c r="D25" s="2274"/>
      <c r="E25" s="2273"/>
      <c r="F25" s="2273"/>
      <c r="G25" s="2273"/>
      <c r="H25" s="2273"/>
      <c r="I25" s="2273"/>
      <c r="J25" s="2273"/>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2" t="s">
        <v>2027</v>
      </c>
      <c r="B26" s="2316" t="s">
        <v>2028</v>
      </c>
      <c r="C26" s="2317" t="s">
        <v>2029</v>
      </c>
      <c r="D26" s="2274"/>
      <c r="E26" s="2273"/>
      <c r="F26" s="2273"/>
      <c r="G26" s="2273"/>
      <c r="H26" s="2273"/>
      <c r="I26" s="2273"/>
      <c r="J26" s="2273"/>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0" customFormat="1" ht="27.75">
      <c r="A27" s="2318" t="s">
        <v>2030</v>
      </c>
      <c r="B27" s="116"/>
      <c r="C27" s="2968" t="s">
        <v>3091</v>
      </c>
      <c r="D27" s="2319"/>
      <c r="E27" s="1429"/>
      <c r="F27" s="1429"/>
      <c r="G27" s="2273"/>
      <c r="H27" s="2273"/>
      <c r="I27" s="2273"/>
      <c r="J27" s="2273"/>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0" customFormat="1" ht="27.75">
      <c r="A28" s="2321" t="s">
        <v>2031</v>
      </c>
      <c r="B28" s="119">
        <v>40</v>
      </c>
      <c r="C28" s="2322"/>
      <c r="D28" s="2319"/>
      <c r="E28" s="1429"/>
      <c r="F28" s="1429"/>
      <c r="G28" s="2273"/>
      <c r="H28" s="2273"/>
      <c r="I28" s="2273"/>
      <c r="J28" s="2273"/>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0" customFormat="1" ht="28.5" thickBot="1">
      <c r="A29" s="2323" t="s">
        <v>2032</v>
      </c>
      <c r="B29" s="2973">
        <v>0</v>
      </c>
      <c r="C29" s="1766" t="s">
        <v>2033</v>
      </c>
      <c r="D29" s="2319"/>
      <c r="E29" s="1429"/>
      <c r="F29" s="1429"/>
      <c r="G29" s="2273"/>
      <c r="H29" s="2273"/>
      <c r="I29" s="2273"/>
      <c r="J29" s="2273"/>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0" customFormat="1" ht="27">
      <c r="A30" s="2324" t="s">
        <v>2034</v>
      </c>
      <c r="B30" s="723">
        <v>200</v>
      </c>
      <c r="C30" s="2322"/>
      <c r="D30" s="2319"/>
      <c r="E30" s="1429"/>
      <c r="F30" s="1429"/>
      <c r="G30" s="2273"/>
      <c r="H30" s="2273"/>
      <c r="I30" s="2273"/>
      <c r="J30" s="2273"/>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0" customFormat="1" ht="27">
      <c r="A31" s="2321" t="s">
        <v>2035</v>
      </c>
      <c r="B31" s="120">
        <f>B30-B32</f>
        <v>200</v>
      </c>
      <c r="C31" s="1766"/>
      <c r="D31" s="2319"/>
      <c r="E31" s="1429"/>
      <c r="F31" s="1429"/>
      <c r="G31" s="2273"/>
      <c r="H31" s="2273"/>
      <c r="I31" s="2273"/>
      <c r="J31" s="2273"/>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0" customFormat="1" ht="27.75" thickBot="1">
      <c r="A32" s="2325" t="s">
        <v>2036</v>
      </c>
      <c r="B32" s="724">
        <v>0</v>
      </c>
      <c r="C32" s="2322"/>
      <c r="D32" s="2274"/>
      <c r="E32" s="2273"/>
      <c r="F32" s="2273"/>
      <c r="G32" s="2273"/>
      <c r="H32" s="2273"/>
      <c r="I32" s="2273"/>
      <c r="J32" s="2273"/>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0" customFormat="1" ht="14.25">
      <c r="A33" s="2318" t="s">
        <v>2037</v>
      </c>
      <c r="B33" s="725">
        <v>0.03</v>
      </c>
      <c r="C33" s="1765" t="s">
        <v>2038</v>
      </c>
      <c r="D33" s="2274"/>
      <c r="E33" s="2273"/>
      <c r="F33" s="2273"/>
      <c r="G33" s="2273"/>
      <c r="H33" s="2273"/>
      <c r="I33" s="2273"/>
      <c r="J33" s="2273"/>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0" customFormat="1" ht="14.25">
      <c r="A34" s="2321" t="s">
        <v>2039</v>
      </c>
      <c r="B34" s="121">
        <v>0</v>
      </c>
      <c r="C34" s="1765" t="s">
        <v>2040</v>
      </c>
      <c r="D34" s="2274" t="s">
        <v>2041</v>
      </c>
      <c r="E34" s="731"/>
      <c r="F34" s="2273"/>
      <c r="G34" s="2273"/>
      <c r="H34" s="2273"/>
      <c r="I34" s="2273"/>
      <c r="J34" s="2273"/>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0" customFormat="1" ht="14.25">
      <c r="A35" s="2321" t="s">
        <v>2042</v>
      </c>
      <c r="B35" s="119">
        <v>200</v>
      </c>
      <c r="C35" s="1765" t="s">
        <v>2043</v>
      </c>
      <c r="D35" s="2319"/>
      <c r="E35" s="1429"/>
      <c r="F35" s="1429"/>
      <c r="G35" s="2273"/>
      <c r="H35" s="2273"/>
      <c r="I35" s="2273"/>
      <c r="J35" s="2273"/>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3" t="s">
        <v>2044</v>
      </c>
      <c r="B36" s="122">
        <v>1.4999999999999999E-2</v>
      </c>
      <c r="C36" s="1765" t="s">
        <v>2045</v>
      </c>
      <c r="D36" s="2274"/>
      <c r="E36" s="2273"/>
      <c r="F36" s="2273"/>
      <c r="G36" s="2273"/>
      <c r="H36" s="2273"/>
      <c r="I36" s="2273"/>
      <c r="J36" s="2273"/>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4" t="s">
        <v>2046</v>
      </c>
      <c r="B37" s="123">
        <v>1.4999999999999999E-2</v>
      </c>
      <c r="C37" s="1765" t="s">
        <v>2047</v>
      </c>
      <c r="D37" s="2274"/>
      <c r="E37" s="2273"/>
      <c r="F37" s="2273"/>
      <c r="G37" s="2273"/>
      <c r="H37" s="2273"/>
      <c r="I37" s="2273"/>
      <c r="J37" s="2273"/>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1" t="s">
        <v>2048</v>
      </c>
      <c r="B38" s="121">
        <v>0.02</v>
      </c>
      <c r="C38" s="1765" t="s">
        <v>2047</v>
      </c>
      <c r="D38" s="2274"/>
      <c r="E38" s="2273"/>
      <c r="F38" s="2273"/>
      <c r="G38" s="2273"/>
      <c r="H38" s="2273"/>
      <c r="I38" s="2273"/>
      <c r="J38" s="2273"/>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5" t="s">
        <v>2049</v>
      </c>
      <c r="B39" s="361">
        <f ca="1">存贷款利率!I1</f>
        <v>1.4999999999999999E-2</v>
      </c>
      <c r="C39" s="1765"/>
      <c r="D39" s="2274"/>
      <c r="E39" s="2273"/>
      <c r="F39" s="2273"/>
      <c r="G39" s="2273"/>
      <c r="H39" s="2273"/>
      <c r="I39" s="2273"/>
      <c r="J39" s="2273"/>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5" t="s">
        <v>2050</v>
      </c>
      <c r="B40" s="1302">
        <f ca="1">存贷款利率!G1</f>
        <v>4.7500000000000001E-2</v>
      </c>
      <c r="C40" s="1765" t="s">
        <v>2051</v>
      </c>
      <c r="D40" s="1583"/>
      <c r="E40" s="2274"/>
      <c r="F40" s="2273"/>
      <c r="G40" s="2273"/>
      <c r="H40" s="2273"/>
      <c r="I40" s="2273"/>
      <c r="J40" s="2273"/>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8" t="s">
        <v>2052</v>
      </c>
      <c r="B41" s="124">
        <f>B42+B43</f>
        <v>5.6000000000000001E-2</v>
      </c>
      <c r="C41" s="1766"/>
      <c r="D41" s="1583"/>
      <c r="E41" s="2274"/>
      <c r="F41" s="2273"/>
      <c r="G41" s="2273"/>
      <c r="H41" s="2273"/>
      <c r="I41" s="2273"/>
      <c r="J41" s="2273"/>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6" t="s">
        <v>2053</v>
      </c>
      <c r="B42" s="125">
        <v>0.05</v>
      </c>
      <c r="C42" s="2327">
        <f>IF(B2&lt;DATE(2016,5,1),0,B42)</f>
        <v>0.05</v>
      </c>
      <c r="D42" s="2274"/>
      <c r="E42" s="2273"/>
      <c r="F42" s="2273"/>
      <c r="G42" s="2273"/>
      <c r="H42" s="2273"/>
      <c r="I42" s="2273"/>
      <c r="J42" s="2273"/>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6" t="s">
        <v>2054</v>
      </c>
      <c r="B43" s="126">
        <f>B42*(B44+B45+B46)+B47</f>
        <v>6.000000000000001E-3</v>
      </c>
      <c r="C43" s="1766"/>
      <c r="D43" s="2274"/>
      <c r="E43" s="2273"/>
      <c r="F43" s="2273"/>
      <c r="G43" s="2273"/>
      <c r="H43" s="2273"/>
      <c r="I43" s="2273"/>
      <c r="J43" s="2273"/>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8" t="s">
        <v>2055</v>
      </c>
      <c r="B44" s="127">
        <v>7.0000000000000007E-2</v>
      </c>
      <c r="C44" s="1765" t="s">
        <v>2056</v>
      </c>
      <c r="D44" s="2274"/>
      <c r="E44" s="2273"/>
      <c r="F44" s="2273"/>
      <c r="G44" s="2273"/>
      <c r="H44" s="2273"/>
      <c r="I44" s="2273"/>
      <c r="J44" s="2273"/>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8" t="s">
        <v>2057</v>
      </c>
      <c r="B45" s="125">
        <v>0.03</v>
      </c>
      <c r="C45" s="1766" t="s">
        <v>2058</v>
      </c>
      <c r="D45" s="2274"/>
      <c r="E45" s="2273"/>
      <c r="F45" s="2273"/>
      <c r="G45" s="2273"/>
      <c r="H45" s="2273"/>
      <c r="I45" s="2273"/>
      <c r="J45" s="2273"/>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8" t="s">
        <v>2059</v>
      </c>
      <c r="B46" s="125">
        <v>0.02</v>
      </c>
      <c r="C46" s="1766" t="s">
        <v>2060</v>
      </c>
      <c r="D46" s="2274"/>
      <c r="E46" s="2273"/>
      <c r="F46" s="2273"/>
      <c r="G46" s="2273"/>
      <c r="H46" s="2273"/>
      <c r="I46" s="2273"/>
      <c r="J46" s="2273"/>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29" t="s">
        <v>2061</v>
      </c>
      <c r="B47" s="128"/>
      <c r="C47" s="1766" t="s">
        <v>2062</v>
      </c>
      <c r="D47" s="2274"/>
      <c r="E47" s="2273"/>
      <c r="F47" s="2273"/>
      <c r="G47" s="2273"/>
      <c r="H47" s="2273"/>
      <c r="I47" s="2273"/>
      <c r="J47" s="2273"/>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0" t="s">
        <v>2063</v>
      </c>
      <c r="B48" s="129">
        <v>0.03</v>
      </c>
      <c r="C48" s="1773" t="s">
        <v>2064</v>
      </c>
      <c r="D48" s="2274"/>
      <c r="E48" s="2273"/>
      <c r="F48" s="2273"/>
      <c r="G48" s="2273"/>
      <c r="H48" s="2273"/>
      <c r="I48" s="2273"/>
      <c r="J48" s="2273"/>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5" t="s">
        <v>2065</v>
      </c>
      <c r="B49" s="125">
        <v>5.0000000000000001E-4</v>
      </c>
      <c r="C49" s="1773" t="s">
        <v>2066</v>
      </c>
      <c r="D49" s="2274"/>
      <c r="E49" s="2273"/>
      <c r="F49" s="2273"/>
      <c r="G49" s="2273"/>
      <c r="H49" s="2273"/>
      <c r="I49" s="2273"/>
      <c r="J49" s="2273"/>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1" t="s">
        <v>2067</v>
      </c>
      <c r="B50" s="130">
        <v>1.2E-2</v>
      </c>
      <c r="C50" s="1429"/>
      <c r="D50" s="2274"/>
      <c r="E50" s="2273"/>
      <c r="F50" s="2273"/>
      <c r="G50" s="2273"/>
      <c r="H50" s="2273"/>
      <c r="I50" s="2273"/>
      <c r="J50" s="2273"/>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3" t="s">
        <v>2068</v>
      </c>
      <c r="B51" s="131">
        <v>0.12</v>
      </c>
      <c r="C51" s="1429"/>
      <c r="D51" s="2274"/>
      <c r="E51" s="2273"/>
      <c r="F51" s="2273"/>
      <c r="G51" s="2273"/>
      <c r="H51" s="2273"/>
      <c r="I51" s="2273"/>
      <c r="J51" s="2273"/>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1" t="s">
        <v>2069</v>
      </c>
      <c r="B52" s="132">
        <f>SUMIF(A54:A63,B53,B54:B63)</f>
        <v>4</v>
      </c>
      <c r="C52" s="1429"/>
      <c r="D52" s="2274"/>
      <c r="E52" s="2273"/>
      <c r="F52" s="2273"/>
      <c r="G52" s="2273"/>
      <c r="H52" s="2273"/>
      <c r="I52" s="2273"/>
      <c r="J52" s="2273"/>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1" t="s">
        <v>2070</v>
      </c>
      <c r="B53" s="2332" t="s">
        <v>137</v>
      </c>
      <c r="C53" s="1429"/>
      <c r="D53" s="2972" t="s">
        <v>3122</v>
      </c>
      <c r="E53" s="2273"/>
      <c r="F53" s="2273"/>
      <c r="G53" s="2273"/>
      <c r="H53" s="2273"/>
      <c r="I53" s="2273"/>
      <c r="J53" s="2273"/>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3" t="s">
        <v>2071</v>
      </c>
      <c r="B54" s="84"/>
      <c r="C54" s="1429"/>
      <c r="D54" s="2274"/>
      <c r="E54" s="2273" t="s">
        <v>3123</v>
      </c>
      <c r="F54" s="2273"/>
      <c r="G54" s="2273"/>
      <c r="H54" s="2273"/>
      <c r="I54" s="2273"/>
      <c r="J54" s="2273"/>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3" t="s">
        <v>2072</v>
      </c>
      <c r="B55" s="84"/>
      <c r="C55" s="1429"/>
      <c r="D55" s="2274"/>
      <c r="E55" s="2273" t="s">
        <v>3124</v>
      </c>
      <c r="F55" s="2273"/>
      <c r="G55" s="2273"/>
      <c r="H55" s="2273"/>
      <c r="I55" s="2334"/>
      <c r="J55" s="2273"/>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3" t="s">
        <v>2073</v>
      </c>
      <c r="B56" s="84"/>
      <c r="C56" s="1429"/>
      <c r="D56" s="2274"/>
      <c r="E56" s="2273" t="s">
        <v>3125</v>
      </c>
      <c r="F56" s="2273"/>
      <c r="G56" s="2273"/>
      <c r="H56" s="2273"/>
      <c r="I56" s="2273"/>
      <c r="J56" s="2273"/>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3" t="s">
        <v>2074</v>
      </c>
      <c r="B57" s="84">
        <v>4</v>
      </c>
      <c r="C57" s="1429"/>
      <c r="D57" s="2274"/>
      <c r="E57" s="2273" t="s">
        <v>3121</v>
      </c>
      <c r="F57" s="2273"/>
      <c r="G57" s="2273"/>
      <c r="H57" s="2273"/>
      <c r="I57" s="2273"/>
      <c r="J57" s="2273"/>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3" t="s">
        <v>2075</v>
      </c>
      <c r="B58" s="84"/>
      <c r="C58" s="1429"/>
      <c r="D58" s="2274"/>
      <c r="E58" s="2273"/>
      <c r="F58" s="2273"/>
      <c r="G58" s="2273"/>
      <c r="H58" s="2273"/>
      <c r="I58" s="2273"/>
      <c r="J58" s="2273"/>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3" t="s">
        <v>2076</v>
      </c>
      <c r="B59" s="84"/>
      <c r="C59" s="1429"/>
      <c r="D59" s="2274"/>
      <c r="E59" s="2273"/>
      <c r="F59" s="2273"/>
      <c r="G59" s="2273"/>
      <c r="H59" s="2273"/>
      <c r="I59" s="2273"/>
      <c r="J59" s="2273"/>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3" t="s">
        <v>2077</v>
      </c>
      <c r="B60" s="84"/>
      <c r="C60" s="2273"/>
      <c r="D60" s="2274"/>
      <c r="E60" s="2273"/>
      <c r="F60" s="2273"/>
      <c r="G60" s="2273"/>
      <c r="H60" s="2273"/>
      <c r="I60" s="2273"/>
      <c r="J60" s="2273"/>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3" t="s">
        <v>2078</v>
      </c>
      <c r="B61" s="84"/>
      <c r="C61" s="2273"/>
      <c r="D61" s="2274"/>
      <c r="E61" s="2273"/>
      <c r="F61" s="2273"/>
      <c r="G61" s="2273"/>
      <c r="H61" s="2273"/>
      <c r="I61" s="2273"/>
      <c r="J61" s="2273"/>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3" t="s">
        <v>2079</v>
      </c>
      <c r="B62" s="84"/>
      <c r="C62" s="2273"/>
      <c r="D62" s="2274"/>
      <c r="E62" s="2273"/>
      <c r="F62" s="2273"/>
      <c r="G62" s="2273"/>
      <c r="H62" s="2273"/>
      <c r="I62" s="2273"/>
      <c r="J62" s="2273"/>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5" t="s">
        <v>2080</v>
      </c>
      <c r="B63" s="133"/>
      <c r="C63" s="2273"/>
      <c r="D63" s="2274"/>
      <c r="E63" s="2273"/>
      <c r="F63" s="2273"/>
      <c r="G63" s="2273"/>
      <c r="H63" s="2273"/>
      <c r="I63" s="2273"/>
      <c r="J63" s="2273"/>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6"/>
      <c r="D64" s="2337"/>
      <c r="K64" s="797"/>
      <c r="L64" s="797"/>
    </row>
    <row r="65" spans="1:12" s="966" customFormat="1">
      <c r="A65" s="2336"/>
      <c r="D65" s="2337"/>
      <c r="K65" s="797"/>
      <c r="L65" s="797"/>
    </row>
    <row r="66" spans="1:12" s="966" customFormat="1">
      <c r="A66" s="2336"/>
      <c r="D66" s="2337"/>
      <c r="K66" s="797"/>
      <c r="L66" s="797"/>
    </row>
    <row r="67" spans="1:12" s="966" customFormat="1">
      <c r="A67" s="2336"/>
      <c r="D67" s="2337"/>
      <c r="K67" s="797"/>
      <c r="L67" s="797"/>
    </row>
    <row r="68" spans="1:12" s="966" customFormat="1">
      <c r="A68" s="2336"/>
      <c r="D68" s="2337"/>
      <c r="K68" s="797"/>
      <c r="L68" s="797"/>
    </row>
    <row r="69" spans="1:12" s="966" customFormat="1">
      <c r="A69" s="2336"/>
      <c r="D69" s="2337"/>
      <c r="K69" s="797"/>
      <c r="L69" s="797"/>
    </row>
    <row r="70" spans="1:12" s="966" customFormat="1">
      <c r="A70" s="2336"/>
      <c r="D70" s="2337"/>
      <c r="K70" s="797"/>
      <c r="L70" s="797"/>
    </row>
    <row r="71" spans="1:12" s="966" customFormat="1">
      <c r="A71" s="2336"/>
      <c r="D71" s="2337"/>
      <c r="K71" s="797"/>
      <c r="L71" s="797"/>
    </row>
    <row r="72" spans="1:12" s="966" customFormat="1">
      <c r="A72" s="2336"/>
      <c r="D72" s="2337"/>
      <c r="K72" s="797"/>
      <c r="L72" s="797"/>
    </row>
    <row r="73" spans="1:12" s="966" customFormat="1">
      <c r="A73" s="2336"/>
      <c r="D73" s="2337"/>
      <c r="K73" s="797"/>
      <c r="L73" s="797"/>
    </row>
    <row r="74" spans="1:12" s="966" customFormat="1">
      <c r="A74" s="2336"/>
      <c r="D74" s="2337"/>
      <c r="K74" s="797"/>
      <c r="L74" s="797"/>
    </row>
    <row r="75" spans="1:12" s="966" customFormat="1">
      <c r="A75" s="2336"/>
      <c r="D75" s="2337"/>
      <c r="K75" s="797"/>
      <c r="L75" s="797"/>
    </row>
    <row r="76" spans="1:12" s="966" customFormat="1">
      <c r="A76" s="2336"/>
      <c r="D76" s="2337"/>
      <c r="K76" s="797"/>
      <c r="L76" s="797"/>
    </row>
    <row r="77" spans="1:12" s="966" customFormat="1">
      <c r="A77" s="2336"/>
      <c r="D77" s="2337"/>
      <c r="K77" s="797"/>
      <c r="L77" s="797"/>
    </row>
    <row r="78" spans="1:12" s="966" customFormat="1">
      <c r="A78" s="2336"/>
      <c r="D78" s="2337"/>
      <c r="K78" s="797"/>
      <c r="L78" s="797"/>
    </row>
    <row r="79" spans="1:12" s="966" customFormat="1">
      <c r="A79" s="2336"/>
      <c r="D79" s="2337"/>
      <c r="K79" s="797"/>
      <c r="L79" s="797"/>
    </row>
    <row r="80" spans="1:12" s="966" customFormat="1">
      <c r="A80" s="2336"/>
      <c r="D80" s="2337"/>
      <c r="K80" s="797"/>
      <c r="L80" s="797"/>
    </row>
    <row r="81" spans="1:12" s="966" customFormat="1">
      <c r="A81" s="2336"/>
      <c r="D81" s="2337"/>
      <c r="K81" s="797"/>
      <c r="L81" s="797"/>
    </row>
    <row r="82" spans="1:12" s="966" customFormat="1">
      <c r="A82" s="2336"/>
      <c r="D82" s="2337"/>
      <c r="K82" s="797"/>
      <c r="L82" s="797"/>
    </row>
    <row r="83" spans="1:12" s="966" customFormat="1">
      <c r="A83" s="2336"/>
      <c r="D83" s="2337"/>
      <c r="K83" s="797"/>
      <c r="L83" s="797"/>
    </row>
    <row r="84" spans="1:12" s="966" customFormat="1">
      <c r="A84" s="2336"/>
      <c r="D84" s="2337"/>
      <c r="K84" s="797"/>
      <c r="L84" s="797"/>
    </row>
    <row r="85" spans="1:12" s="966" customFormat="1">
      <c r="A85" s="2336"/>
      <c r="D85" s="2337"/>
      <c r="K85" s="797"/>
      <c r="L85" s="797"/>
    </row>
    <row r="86" spans="1:12" s="966" customFormat="1">
      <c r="A86" s="2336"/>
      <c r="D86" s="2337"/>
      <c r="K86" s="797"/>
      <c r="L86" s="797"/>
    </row>
    <row r="87" spans="1:12" s="966" customFormat="1">
      <c r="A87" s="2336"/>
      <c r="D87" s="2337"/>
      <c r="K87" s="797"/>
      <c r="L87" s="797"/>
    </row>
    <row r="88" spans="1:12" s="966" customFormat="1">
      <c r="A88" s="2336"/>
      <c r="D88" s="2337"/>
      <c r="K88" s="797"/>
      <c r="L88" s="797"/>
    </row>
    <row r="89" spans="1:12" s="966" customFormat="1">
      <c r="A89" s="2336"/>
      <c r="D89" s="2337"/>
      <c r="K89" s="797"/>
      <c r="L89" s="797"/>
    </row>
    <row r="90" spans="1:12" s="966" customFormat="1">
      <c r="A90" s="2336"/>
      <c r="D90" s="2337"/>
      <c r="K90" s="797"/>
      <c r="L90" s="797"/>
    </row>
    <row r="91" spans="1:12" s="966" customFormat="1">
      <c r="A91" s="2336"/>
      <c r="D91" s="2337"/>
      <c r="K91" s="797"/>
      <c r="L91" s="797"/>
    </row>
    <row r="92" spans="1:12" s="966" customFormat="1">
      <c r="A92" s="2336"/>
      <c r="D92" s="2337"/>
      <c r="K92" s="797"/>
      <c r="L92" s="797"/>
    </row>
    <row r="93" spans="1:12" s="966" customFormat="1">
      <c r="A93" s="2336"/>
      <c r="D93" s="2337"/>
      <c r="K93" s="797"/>
      <c r="L93" s="797"/>
    </row>
    <row r="94" spans="1:12" s="966" customFormat="1">
      <c r="A94" s="2336"/>
      <c r="D94" s="2337"/>
      <c r="K94" s="797"/>
      <c r="L94" s="797"/>
    </row>
    <row r="95" spans="1:12" s="966" customFormat="1">
      <c r="A95" s="2336"/>
      <c r="D95" s="2337"/>
      <c r="K95" s="797"/>
      <c r="L95" s="797"/>
    </row>
    <row r="96" spans="1:12" s="966" customFormat="1">
      <c r="A96" s="2336"/>
      <c r="D96" s="2337"/>
      <c r="K96" s="797"/>
      <c r="L96" s="797"/>
    </row>
    <row r="97" spans="1:12" s="966" customFormat="1">
      <c r="A97" s="2336"/>
      <c r="D97" s="2337"/>
      <c r="K97" s="797"/>
      <c r="L97" s="797"/>
    </row>
    <row r="98" spans="1:12" s="966" customFormat="1">
      <c r="A98" s="2336"/>
      <c r="D98" s="2337"/>
      <c r="K98" s="797"/>
      <c r="L98" s="797"/>
    </row>
    <row r="99" spans="1:12" s="966" customFormat="1">
      <c r="A99" s="2336"/>
      <c r="D99" s="2337"/>
      <c r="K99" s="797"/>
      <c r="L99" s="797"/>
    </row>
    <row r="100" spans="1:12" s="966" customFormat="1">
      <c r="A100" s="2336"/>
      <c r="D100" s="2337"/>
      <c r="K100" s="797"/>
      <c r="L100" s="797"/>
    </row>
    <row r="101" spans="1:12" s="966" customFormat="1">
      <c r="A101" s="2336"/>
      <c r="D101" s="2337"/>
      <c r="K101" s="797"/>
      <c r="L101" s="797"/>
    </row>
    <row r="102" spans="1:12" s="966" customFormat="1">
      <c r="A102" s="2336"/>
      <c r="D102" s="2337"/>
      <c r="K102" s="797"/>
      <c r="L102" s="797"/>
    </row>
    <row r="103" spans="1:12" s="966" customFormat="1">
      <c r="A103" s="2336"/>
      <c r="D103" s="2337"/>
      <c r="K103" s="797"/>
      <c r="L103" s="797"/>
    </row>
    <row r="104" spans="1:12" s="966" customFormat="1">
      <c r="A104" s="2336"/>
      <c r="D104" s="2337"/>
      <c r="K104" s="797"/>
      <c r="L104" s="797"/>
    </row>
    <row r="105" spans="1:12" s="966" customFormat="1">
      <c r="A105" s="2336"/>
      <c r="D105" s="2337"/>
      <c r="K105" s="797"/>
      <c r="L105" s="797"/>
    </row>
    <row r="106" spans="1:12" s="966" customFormat="1">
      <c r="A106" s="2336"/>
      <c r="D106" s="2337"/>
      <c r="K106" s="797"/>
      <c r="L106" s="797"/>
    </row>
    <row r="107" spans="1:12" s="966" customFormat="1">
      <c r="A107" s="2336"/>
      <c r="D107" s="2337"/>
      <c r="K107" s="797"/>
      <c r="L107" s="797"/>
    </row>
    <row r="108" spans="1:12" s="966" customFormat="1">
      <c r="A108" s="2336"/>
      <c r="D108" s="2337"/>
      <c r="K108" s="797"/>
      <c r="L108" s="797"/>
    </row>
    <row r="109" spans="1:12" s="966" customFormat="1">
      <c r="A109" s="2336"/>
      <c r="D109" s="2337"/>
      <c r="K109" s="797"/>
      <c r="L109" s="797"/>
    </row>
    <row r="110" spans="1:12" s="966" customFormat="1">
      <c r="A110" s="2336"/>
      <c r="D110" s="2337"/>
      <c r="K110" s="797"/>
      <c r="L110" s="797"/>
    </row>
    <row r="111" spans="1:12" s="966" customFormat="1">
      <c r="A111" s="2336"/>
      <c r="D111" s="2337"/>
      <c r="K111" s="797"/>
      <c r="L111" s="797"/>
    </row>
    <row r="112" spans="1:12" s="966" customFormat="1">
      <c r="A112" s="2336"/>
      <c r="D112" s="2337"/>
      <c r="K112" s="797"/>
      <c r="L112" s="797"/>
    </row>
    <row r="113" spans="1:12" s="966" customFormat="1">
      <c r="A113" s="2336"/>
      <c r="D113" s="2337"/>
      <c r="K113" s="797"/>
      <c r="L113" s="797"/>
    </row>
    <row r="114" spans="1:12" s="966" customFormat="1">
      <c r="A114" s="2336"/>
      <c r="D114" s="2337"/>
      <c r="K114" s="797"/>
      <c r="L114" s="797"/>
    </row>
    <row r="115" spans="1:12" s="966" customFormat="1">
      <c r="A115" s="2336"/>
      <c r="D115" s="2337"/>
      <c r="K115" s="797"/>
      <c r="L115" s="797"/>
    </row>
    <row r="116" spans="1:12" s="966" customFormat="1">
      <c r="A116" s="2336"/>
      <c r="D116" s="2337"/>
      <c r="K116" s="797"/>
      <c r="L116" s="797"/>
    </row>
    <row r="117" spans="1:12" s="966" customFormat="1">
      <c r="A117" s="2336"/>
      <c r="D117" s="2337"/>
      <c r="K117" s="797"/>
      <c r="L117" s="797"/>
    </row>
    <row r="118" spans="1:12" s="966" customFormat="1">
      <c r="A118" s="2336"/>
      <c r="D118" s="2337"/>
      <c r="K118" s="797"/>
      <c r="L118" s="797"/>
    </row>
    <row r="119" spans="1:12" s="966" customFormat="1">
      <c r="A119" s="2336"/>
      <c r="D119" s="2337"/>
      <c r="K119" s="797"/>
      <c r="L119" s="797"/>
    </row>
    <row r="120" spans="1:12" s="966" customFormat="1">
      <c r="A120" s="2336"/>
      <c r="D120" s="2337"/>
      <c r="K120" s="797"/>
      <c r="L120" s="797"/>
    </row>
    <row r="121" spans="1:12" s="966" customFormat="1">
      <c r="A121" s="2336"/>
      <c r="D121" s="2337"/>
      <c r="K121" s="797"/>
      <c r="L121" s="797"/>
    </row>
    <row r="122" spans="1:12" s="966" customFormat="1">
      <c r="A122" s="2336"/>
      <c r="D122" s="2337"/>
      <c r="K122" s="797"/>
      <c r="L122" s="797"/>
    </row>
    <row r="123" spans="1:12" s="966" customFormat="1">
      <c r="A123" s="2336"/>
      <c r="D123" s="2337"/>
      <c r="K123" s="797"/>
      <c r="L123" s="797"/>
    </row>
    <row r="124" spans="1:12" s="966" customFormat="1">
      <c r="A124" s="2336"/>
      <c r="D124" s="2337"/>
      <c r="K124" s="797"/>
      <c r="L124" s="797"/>
    </row>
    <row r="125" spans="1:12" s="966" customFormat="1">
      <c r="A125" s="2336"/>
      <c r="D125" s="2337"/>
      <c r="K125" s="797"/>
      <c r="L125" s="797"/>
    </row>
    <row r="126" spans="1:12" s="966" customFormat="1">
      <c r="A126" s="2336"/>
      <c r="D126" s="2337"/>
      <c r="K126" s="797"/>
      <c r="L126" s="797"/>
    </row>
    <row r="127" spans="1:12" s="966" customFormat="1">
      <c r="A127" s="2336"/>
      <c r="D127" s="2337"/>
      <c r="K127" s="797"/>
      <c r="L127" s="797"/>
    </row>
    <row r="128" spans="1:12" s="966" customFormat="1">
      <c r="A128" s="2336"/>
      <c r="D128" s="2337"/>
      <c r="K128" s="797"/>
      <c r="L128" s="797"/>
    </row>
    <row r="129" spans="1:12" s="966" customFormat="1">
      <c r="A129" s="2336"/>
      <c r="D129" s="2337"/>
      <c r="K129" s="797"/>
      <c r="L129" s="797"/>
    </row>
    <row r="130" spans="1:12" s="966" customFormat="1">
      <c r="A130" s="2336"/>
      <c r="D130" s="2337"/>
      <c r="K130" s="797"/>
      <c r="L130" s="797"/>
    </row>
    <row r="131" spans="1:12" s="966" customFormat="1">
      <c r="A131" s="2336"/>
      <c r="D131" s="2337"/>
      <c r="K131" s="797"/>
      <c r="L131" s="797"/>
    </row>
    <row r="132" spans="1:12" s="966" customFormat="1">
      <c r="A132" s="2336"/>
      <c r="D132" s="2337"/>
      <c r="K132" s="797"/>
      <c r="L132" s="797"/>
    </row>
    <row r="133" spans="1:12" s="966" customFormat="1">
      <c r="A133" s="2336"/>
      <c r="D133" s="2337"/>
      <c r="K133" s="797"/>
      <c r="L133" s="797"/>
    </row>
    <row r="134" spans="1:12" s="2270" customFormat="1">
      <c r="A134" s="2338"/>
      <c r="D134" s="2339"/>
      <c r="K134" s="27"/>
      <c r="L134" s="27"/>
    </row>
    <row r="135" spans="1:12" s="2270" customFormat="1">
      <c r="A135" s="2338"/>
      <c r="D135" s="2339"/>
      <c r="K135" s="27"/>
      <c r="L135" s="27"/>
    </row>
    <row r="136" spans="1:12" s="2270" customFormat="1">
      <c r="A136" s="2338"/>
      <c r="D136" s="2339"/>
      <c r="K136" s="27"/>
      <c r="L136" s="27"/>
    </row>
    <row r="137" spans="1:12" s="2270" customFormat="1">
      <c r="A137" s="2338"/>
      <c r="D137" s="2339"/>
      <c r="K137" s="27"/>
      <c r="L137" s="27"/>
    </row>
    <row r="138" spans="1:12" s="2270" customFormat="1">
      <c r="A138" s="2338"/>
      <c r="D138" s="2339"/>
      <c r="K138" s="27"/>
      <c r="L138" s="27"/>
    </row>
    <row r="139" spans="1:12" s="2270" customFormat="1">
      <c r="A139" s="2338"/>
      <c r="D139" s="2339"/>
      <c r="K139" s="27"/>
      <c r="L139" s="27"/>
    </row>
    <row r="140" spans="1:12" s="2270" customFormat="1">
      <c r="A140" s="2338"/>
      <c r="D140" s="2339"/>
      <c r="K140" s="27"/>
      <c r="L140" s="27"/>
    </row>
    <row r="141" spans="1:12" s="2270" customFormat="1">
      <c r="A141" s="2338"/>
      <c r="D141" s="2339"/>
      <c r="K141" s="27"/>
      <c r="L141" s="27"/>
    </row>
    <row r="142" spans="1:12" s="2270" customFormat="1">
      <c r="A142" s="2338"/>
      <c r="D142" s="2339"/>
      <c r="K142" s="27"/>
      <c r="L142" s="27"/>
    </row>
    <row r="143" spans="1:12" s="2270" customFormat="1">
      <c r="A143" s="2338"/>
      <c r="D143" s="2339"/>
      <c r="K143" s="27"/>
      <c r="L143" s="27"/>
    </row>
    <row r="144" spans="1:12" s="2270" customFormat="1">
      <c r="A144" s="2338"/>
      <c r="D144" s="2339"/>
      <c r="K144" s="27"/>
      <c r="L144" s="27"/>
    </row>
    <row r="145" spans="1:12" s="2270" customFormat="1">
      <c r="A145" s="2338"/>
      <c r="D145" s="2339"/>
      <c r="K145" s="27"/>
      <c r="L145" s="27"/>
    </row>
    <row r="146" spans="1:12" s="2270" customFormat="1">
      <c r="A146" s="2338"/>
      <c r="D146" s="2339"/>
      <c r="K146" s="27"/>
      <c r="L146" s="27"/>
    </row>
    <row r="147" spans="1:12" s="2270" customFormat="1">
      <c r="A147" s="2338"/>
      <c r="D147" s="2339"/>
      <c r="K147" s="27"/>
      <c r="L147" s="27"/>
    </row>
    <row r="148" spans="1:12" s="2270" customFormat="1">
      <c r="A148" s="2338"/>
      <c r="D148" s="2339"/>
      <c r="K148" s="27"/>
      <c r="L148" s="27"/>
    </row>
    <row r="149" spans="1:12" s="2270" customFormat="1">
      <c r="A149" s="2338"/>
      <c r="D149" s="2339"/>
      <c r="K149" s="27"/>
      <c r="L149" s="27"/>
    </row>
    <row r="150" spans="1:12" s="2270" customFormat="1">
      <c r="A150" s="2338"/>
      <c r="D150" s="2339"/>
      <c r="K150" s="27"/>
      <c r="L150" s="27"/>
    </row>
    <row r="151" spans="1:12" s="2270" customFormat="1">
      <c r="A151" s="2338"/>
      <c r="D151" s="2339"/>
      <c r="K151" s="27"/>
      <c r="L151" s="27"/>
    </row>
    <row r="152" spans="1:12" s="2270" customFormat="1">
      <c r="A152" s="2338"/>
      <c r="D152" s="2339"/>
      <c r="K152" s="27"/>
      <c r="L152" s="27"/>
    </row>
    <row r="153" spans="1:12" s="2270" customFormat="1">
      <c r="A153" s="2338"/>
      <c r="D153" s="2339"/>
      <c r="K153" s="27"/>
      <c r="L153" s="27"/>
    </row>
    <row r="154" spans="1:12" s="2270" customFormat="1">
      <c r="A154" s="2338"/>
      <c r="D154" s="2339"/>
      <c r="K154" s="27"/>
      <c r="L154" s="27"/>
    </row>
    <row r="155" spans="1:12" s="2270" customFormat="1">
      <c r="A155" s="2338"/>
      <c r="D155" s="2339"/>
      <c r="K155" s="27"/>
      <c r="L155" s="27"/>
    </row>
    <row r="156" spans="1:12" s="2270" customFormat="1">
      <c r="A156" s="2338"/>
      <c r="D156" s="2339"/>
      <c r="K156" s="27"/>
      <c r="L156" s="27"/>
    </row>
    <row r="157" spans="1:12" s="2270" customFormat="1">
      <c r="A157" s="2338"/>
      <c r="D157" s="2339"/>
      <c r="K157" s="27"/>
      <c r="L157" s="27"/>
    </row>
    <row r="158" spans="1:12" s="2270" customFormat="1">
      <c r="A158" s="2338"/>
      <c r="D158" s="2339"/>
      <c r="K158" s="27"/>
      <c r="L158" s="27"/>
    </row>
    <row r="159" spans="1:12" s="2270" customFormat="1">
      <c r="A159" s="2338"/>
      <c r="D159" s="2339"/>
      <c r="K159" s="27"/>
      <c r="L159" s="27"/>
    </row>
    <row r="160" spans="1:12" s="2270" customFormat="1">
      <c r="A160" s="2338"/>
      <c r="D160" s="2339"/>
      <c r="K160" s="27"/>
      <c r="L160" s="27"/>
    </row>
    <row r="161" spans="1:12" s="2270" customFormat="1">
      <c r="A161" s="2338"/>
      <c r="D161" s="2339"/>
      <c r="K161" s="27"/>
      <c r="L161" s="27"/>
    </row>
    <row r="162" spans="1:12" s="2270" customFormat="1">
      <c r="A162" s="2338"/>
      <c r="D162" s="2339"/>
      <c r="K162" s="27"/>
      <c r="L162" s="27"/>
    </row>
    <row r="163" spans="1:12" s="2270" customFormat="1">
      <c r="A163" s="2338"/>
      <c r="D163" s="2339"/>
      <c r="K163" s="27"/>
      <c r="L163" s="27"/>
    </row>
    <row r="164" spans="1:12" s="2270" customFormat="1">
      <c r="A164" s="2338"/>
      <c r="D164" s="2339"/>
      <c r="K164" s="27"/>
      <c r="L164" s="27"/>
    </row>
    <row r="165" spans="1:12" s="2270" customFormat="1">
      <c r="A165" s="2338"/>
      <c r="D165" s="2339"/>
      <c r="K165" s="27"/>
      <c r="L165" s="27"/>
    </row>
    <row r="166" spans="1:12" s="2270" customFormat="1">
      <c r="A166" s="2338"/>
      <c r="D166" s="2339"/>
      <c r="K166" s="27"/>
      <c r="L166" s="27"/>
    </row>
    <row r="167" spans="1:12" s="2270" customFormat="1">
      <c r="A167" s="2338"/>
      <c r="D167" s="2339"/>
      <c r="K167" s="27"/>
      <c r="L167" s="27"/>
    </row>
    <row r="168" spans="1:12" s="2270" customFormat="1">
      <c r="A168" s="2338"/>
      <c r="D168" s="2339"/>
      <c r="K168" s="27"/>
      <c r="L168" s="27"/>
    </row>
    <row r="169" spans="1:12" s="2270" customFormat="1">
      <c r="A169" s="2338"/>
      <c r="D169" s="2339"/>
      <c r="K169" s="27"/>
      <c r="L169" s="27"/>
    </row>
    <row r="170" spans="1:12" s="2270" customFormat="1">
      <c r="A170" s="2338"/>
      <c r="D170" s="2339"/>
      <c r="K170" s="27"/>
      <c r="L170" s="27"/>
    </row>
    <row r="171" spans="1:12" s="2270" customFormat="1">
      <c r="A171" s="2338"/>
      <c r="D171" s="2339"/>
      <c r="K171" s="27"/>
      <c r="L171" s="27"/>
    </row>
    <row r="172" spans="1:12" s="2270" customFormat="1">
      <c r="A172" s="2338"/>
      <c r="D172" s="2339"/>
      <c r="K172" s="27"/>
      <c r="L172" s="27"/>
    </row>
    <row r="173" spans="1:12" s="2270" customFormat="1">
      <c r="A173" s="2338"/>
      <c r="D173" s="2339"/>
      <c r="K173" s="27"/>
      <c r="L173" s="27"/>
    </row>
    <row r="174" spans="1:12" s="2270"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106" t="s">
        <v>2081</v>
      </c>
      <c r="B1" s="3107"/>
      <c r="C1" s="3107"/>
      <c r="D1" s="3107"/>
      <c r="E1" s="3107"/>
      <c r="F1" s="3107"/>
      <c r="G1" s="3107"/>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2082</v>
      </c>
      <c r="D2" s="2361"/>
      <c r="E2" s="2362"/>
      <c r="F2" s="2282"/>
      <c r="G2" s="2360" t="s">
        <v>2083</v>
      </c>
      <c r="H2" s="2363"/>
      <c r="I2" s="2363"/>
      <c r="J2" s="2363"/>
      <c r="K2" s="2363"/>
      <c r="L2" s="2363"/>
      <c r="M2" s="2363"/>
      <c r="N2" s="2363"/>
      <c r="O2" s="2363"/>
      <c r="P2" s="2363"/>
      <c r="Q2" s="2363"/>
      <c r="R2" s="2363"/>
    </row>
    <row r="3" spans="1:29" ht="27">
      <c r="A3" s="414" t="s">
        <v>2084</v>
      </c>
      <c r="B3" s="1270" t="s">
        <v>2085</v>
      </c>
      <c r="C3" s="2365"/>
      <c r="D3" s="2366"/>
      <c r="E3" s="430" t="s">
        <v>2084</v>
      </c>
      <c r="F3" s="2367" t="s">
        <v>2086</v>
      </c>
      <c r="G3" s="2368"/>
      <c r="H3" s="2363"/>
      <c r="I3" s="2363"/>
      <c r="J3" s="2363"/>
      <c r="K3" s="2363"/>
      <c r="L3" s="2363"/>
      <c r="M3" s="2363"/>
      <c r="N3" s="2363"/>
      <c r="O3" s="2363"/>
      <c r="P3" s="2363"/>
      <c r="Q3" s="2363"/>
      <c r="R3" s="2363"/>
    </row>
    <row r="4" spans="1:29" ht="15">
      <c r="A4" s="430"/>
      <c r="B4" s="1797" t="s">
        <v>2087</v>
      </c>
      <c r="C4" s="2369"/>
      <c r="D4" s="2366"/>
      <c r="E4" s="2370"/>
      <c r="F4" s="42" t="s">
        <v>2088</v>
      </c>
      <c r="G4" s="2371"/>
      <c r="H4" s="2363"/>
      <c r="I4" s="2363"/>
      <c r="J4" s="2363"/>
      <c r="K4" s="2363"/>
      <c r="L4" s="2363"/>
      <c r="M4" s="2363"/>
      <c r="N4" s="2363"/>
      <c r="O4" s="2363"/>
      <c r="P4" s="2363"/>
      <c r="Q4" s="2363"/>
      <c r="R4" s="2363"/>
    </row>
    <row r="5" spans="1:29" ht="15">
      <c r="A5" s="430"/>
      <c r="B5" s="1797" t="s">
        <v>2089</v>
      </c>
      <c r="C5" s="2369"/>
      <c r="D5" s="2366"/>
      <c r="E5" s="2370"/>
      <c r="F5" s="1797" t="s">
        <v>2090</v>
      </c>
      <c r="G5" s="2371"/>
      <c r="H5" s="2363"/>
      <c r="I5" s="2363"/>
      <c r="J5" s="2363"/>
      <c r="K5" s="2363"/>
      <c r="L5" s="2363"/>
      <c r="M5" s="2363"/>
      <c r="N5" s="2363"/>
      <c r="O5" s="2363"/>
      <c r="P5" s="2363"/>
      <c r="Q5" s="2363"/>
      <c r="R5" s="2363"/>
    </row>
    <row r="6" spans="1:29" ht="15">
      <c r="A6" s="430"/>
      <c r="B6" s="1797" t="s">
        <v>2091</v>
      </c>
      <c r="C6" s="2371"/>
      <c r="D6" s="2366"/>
      <c r="E6" s="2370"/>
      <c r="F6" s="1797" t="s">
        <v>2092</v>
      </c>
      <c r="G6" s="2371"/>
      <c r="H6" s="2363"/>
      <c r="I6" s="2363"/>
      <c r="J6" s="2363"/>
      <c r="K6" s="2363"/>
      <c r="L6" s="2363"/>
      <c r="M6" s="2363"/>
      <c r="N6" s="2363"/>
      <c r="O6" s="2363"/>
      <c r="P6" s="2363"/>
      <c r="Q6" s="2363"/>
      <c r="R6" s="2363"/>
    </row>
    <row r="7" spans="1:29" ht="15.75" thickBot="1">
      <c r="A7" s="430"/>
      <c r="B7" s="1797" t="s">
        <v>2090</v>
      </c>
      <c r="C7" s="2371"/>
      <c r="D7" s="2372"/>
      <c r="E7" s="2373"/>
      <c r="F7" s="2374" t="s">
        <v>2093</v>
      </c>
      <c r="G7" s="2375"/>
      <c r="H7" s="2363"/>
      <c r="I7" s="2363"/>
      <c r="J7" s="2363"/>
      <c r="K7" s="2363"/>
      <c r="L7" s="2363"/>
      <c r="M7" s="2363"/>
      <c r="N7" s="2363"/>
      <c r="O7" s="2363"/>
      <c r="P7" s="2363"/>
      <c r="Q7" s="2363"/>
      <c r="R7" s="2363"/>
    </row>
    <row r="8" spans="1:29" ht="15">
      <c r="A8" s="430"/>
      <c r="B8" s="1797" t="s">
        <v>2092</v>
      </c>
      <c r="C8" s="2371"/>
      <c r="D8" s="2372"/>
      <c r="E8" s="2372"/>
      <c r="F8" s="1135"/>
      <c r="G8" s="1135"/>
      <c r="H8" s="2363"/>
      <c r="I8" s="2363"/>
      <c r="J8" s="2363"/>
      <c r="K8" s="2363"/>
      <c r="L8" s="2363"/>
      <c r="M8" s="2363"/>
      <c r="N8" s="2363"/>
      <c r="O8" s="2363"/>
      <c r="P8" s="2363"/>
      <c r="Q8" s="2363"/>
      <c r="R8" s="2363"/>
    </row>
    <row r="9" spans="1:29" ht="15">
      <c r="A9" s="430"/>
      <c r="B9" s="1797" t="s">
        <v>2094</v>
      </c>
      <c r="C9" s="2369"/>
      <c r="D9" s="2366"/>
      <c r="E9" s="2372"/>
      <c r="F9" s="1135"/>
      <c r="G9" s="1135"/>
      <c r="H9" s="2363"/>
      <c r="I9" s="2363"/>
      <c r="J9" s="2363"/>
      <c r="K9" s="2363"/>
      <c r="L9" s="2363"/>
      <c r="M9" s="2363"/>
      <c r="N9" s="2363"/>
      <c r="O9" s="2363"/>
      <c r="P9" s="2363"/>
      <c r="Q9" s="2363"/>
      <c r="R9" s="2363"/>
    </row>
    <row r="10" spans="1:29" s="117" customFormat="1" ht="15.75" thickBot="1">
      <c r="A10" s="2376"/>
      <c r="B10" s="2377" t="s">
        <v>2095</v>
      </c>
      <c r="C10" s="2378"/>
      <c r="D10" s="2366"/>
      <c r="E10" s="2366"/>
      <c r="F10" s="1135"/>
      <c r="G10" s="1135"/>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53"/>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3"/>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2096</v>
      </c>
      <c r="B13" s="2383"/>
      <c r="C13" s="2383"/>
      <c r="D13" s="2390"/>
      <c r="E13" s="2383"/>
      <c r="F13" s="2383"/>
      <c r="G13" s="2383"/>
    </row>
    <row r="14" spans="1:29" ht="15.75" thickBot="1">
      <c r="A14" s="2394"/>
      <c r="B14" s="2395"/>
      <c r="C14" s="2396" t="s">
        <v>2097</v>
      </c>
      <c r="D14" s="2366"/>
      <c r="E14" s="2397"/>
      <c r="F14" s="2397"/>
      <c r="G14" s="2360" t="s">
        <v>2098</v>
      </c>
    </row>
    <row r="15" spans="1:29" ht="27">
      <c r="A15" s="68" t="s">
        <v>2099</v>
      </c>
      <c r="B15" s="1269" t="s">
        <v>2085</v>
      </c>
      <c r="C15" s="2398">
        <f>C3</f>
        <v>0</v>
      </c>
      <c r="D15" s="2366"/>
      <c r="E15" s="2399" t="s">
        <v>2100</v>
      </c>
      <c r="F15" s="1269" t="s">
        <v>2101</v>
      </c>
      <c r="G15" s="134">
        <f>G3</f>
        <v>0</v>
      </c>
    </row>
    <row r="16" spans="1:29" ht="15">
      <c r="A16" s="644"/>
      <c r="B16" s="2400" t="s">
        <v>2087</v>
      </c>
      <c r="C16" s="2401">
        <f>C4</f>
        <v>0</v>
      </c>
      <c r="D16" s="2366"/>
      <c r="E16" s="2402"/>
      <c r="F16" s="2403" t="s">
        <v>2088</v>
      </c>
      <c r="G16" s="135">
        <f>G4</f>
        <v>0</v>
      </c>
    </row>
    <row r="17" spans="1:18" ht="15">
      <c r="A17" s="644"/>
      <c r="B17" s="2400" t="s">
        <v>2089</v>
      </c>
      <c r="C17" s="2401">
        <f>C5</f>
        <v>0</v>
      </c>
      <c r="D17" s="2372"/>
      <c r="E17" s="2402"/>
      <c r="F17" s="2403" t="s">
        <v>2102</v>
      </c>
      <c r="G17" s="1571"/>
    </row>
    <row r="18" spans="1:18" ht="15">
      <c r="A18" s="644"/>
      <c r="B18" s="2403" t="s">
        <v>2091</v>
      </c>
      <c r="C18" s="135">
        <f>C6</f>
        <v>0</v>
      </c>
      <c r="D18" s="2372"/>
      <c r="E18" s="2402"/>
      <c r="F18" s="2403" t="s">
        <v>2093</v>
      </c>
      <c r="G18" s="135">
        <f>G7</f>
        <v>0</v>
      </c>
    </row>
    <row r="19" spans="1:18" ht="15">
      <c r="A19" s="644"/>
      <c r="B19" s="2403" t="s">
        <v>2103</v>
      </c>
      <c r="C19" s="1571"/>
      <c r="D19" s="2366"/>
      <c r="E19" s="2402"/>
      <c r="F19" s="1797" t="s">
        <v>2090</v>
      </c>
      <c r="G19" s="135">
        <f>G5</f>
        <v>0</v>
      </c>
    </row>
    <row r="20" spans="1:18" ht="15">
      <c r="A20" s="644"/>
      <c r="B20" s="2403" t="s">
        <v>2104</v>
      </c>
      <c r="C20" s="2401">
        <f>C9</f>
        <v>0</v>
      </c>
      <c r="D20" s="2372"/>
      <c r="E20" s="2402"/>
      <c r="F20" s="1797" t="s">
        <v>2105</v>
      </c>
      <c r="G20" s="135">
        <f>G6</f>
        <v>0</v>
      </c>
    </row>
    <row r="21" spans="1:18" ht="15">
      <c r="A21" s="644"/>
      <c r="B21" s="1797" t="s">
        <v>2090</v>
      </c>
      <c r="C21" s="135">
        <f>C7</f>
        <v>0</v>
      </c>
      <c r="D21" s="2366"/>
      <c r="E21" s="2402"/>
      <c r="F21" s="2403" t="s">
        <v>2106</v>
      </c>
      <c r="G21" s="2404"/>
    </row>
    <row r="22" spans="1:18" ht="13.5" customHeight="1">
      <c r="A22" s="644"/>
      <c r="B22" s="1797" t="s">
        <v>2092</v>
      </c>
      <c r="C22" s="135">
        <f>C8</f>
        <v>0</v>
      </c>
      <c r="D22" s="2366"/>
      <c r="E22" s="2402"/>
      <c r="F22" s="2403" t="s">
        <v>2095</v>
      </c>
      <c r="G22" s="1571"/>
    </row>
    <row r="23" spans="1:18" s="2363" customFormat="1" ht="15.75" thickBot="1">
      <c r="A23" s="644"/>
      <c r="B23" s="2403" t="s">
        <v>2106</v>
      </c>
      <c r="C23" s="2404"/>
      <c r="D23" s="2391"/>
      <c r="E23" s="2405"/>
      <c r="F23" s="2406" t="s">
        <v>2107</v>
      </c>
      <c r="G23" s="2407"/>
      <c r="H23" s="2391"/>
      <c r="I23" s="2392"/>
      <c r="J23" s="2391"/>
      <c r="K23" s="2391"/>
      <c r="L23" s="2392"/>
      <c r="M23" s="2391"/>
      <c r="N23" s="2391"/>
      <c r="O23" s="2392"/>
      <c r="P23" s="2391"/>
      <c r="Q23" s="2391"/>
      <c r="R23" s="2393"/>
    </row>
    <row r="24" spans="1:18" s="2363" customFormat="1" ht="15.75" thickBot="1">
      <c r="A24" s="2408"/>
      <c r="B24" s="2406" t="s">
        <v>2108</v>
      </c>
      <c r="C24" s="136">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0" customWidth="1"/>
    <col min="2" max="9" width="15.75" style="1740" customWidth="1"/>
    <col min="10" max="16384" width="9" style="1740"/>
  </cols>
  <sheetData>
    <row r="1" spans="1:10" ht="16.5">
      <c r="A1" s="1745" t="s">
        <v>1365</v>
      </c>
      <c r="B1" s="1745">
        <f>SUM(B14:B23)</f>
        <v>178615</v>
      </c>
      <c r="C1" s="1744"/>
      <c r="D1" s="1744"/>
      <c r="E1" s="1744"/>
      <c r="F1" s="1744"/>
      <c r="G1" s="1742"/>
    </row>
    <row r="2" spans="1:10" ht="16.5">
      <c r="A2" s="1745" t="s">
        <v>1353</v>
      </c>
      <c r="B2" s="1745">
        <f>SUM(C14:C23)</f>
        <v>81202</v>
      </c>
      <c r="C2" s="1744"/>
      <c r="D2" s="1744"/>
      <c r="E2" s="1744"/>
      <c r="F2" s="1744"/>
      <c r="G2" s="1742"/>
    </row>
    <row r="3" spans="1:10" ht="16.5">
      <c r="A3" s="1745" t="s">
        <v>1362</v>
      </c>
      <c r="B3" s="1746">
        <f>项目基本情况!D3</f>
        <v>43248</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132651</v>
      </c>
      <c r="C5" s="1745">
        <f ca="1">ROUND(B5*10000/$B$1,0)</f>
        <v>7427</v>
      </c>
      <c r="D5" s="1745">
        <f ca="1">ROUND(B5*10000/$B$2,0)</f>
        <v>16336</v>
      </c>
      <c r="E5" s="1744"/>
      <c r="F5" s="1742"/>
      <c r="G5" s="1742"/>
    </row>
    <row r="6" spans="1:10" ht="16.5">
      <c r="A6" s="1745" t="s">
        <v>1356</v>
      </c>
      <c r="B6" s="1745">
        <f ca="1">SUM(G14:G23)</f>
        <v>132651</v>
      </c>
      <c r="C6" s="1745">
        <f ca="1">ROUND(B6*10000/$B$1,0)</f>
        <v>7427</v>
      </c>
      <c r="D6" s="1745">
        <f ca="1">ROUND(B6*10000/$B$2,0)</f>
        <v>16336</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178615</v>
      </c>
      <c r="C14" s="1743">
        <f>结果表!C118</f>
        <v>81202</v>
      </c>
      <c r="D14" s="1743">
        <f ca="1">结果表!H118</f>
        <v>132651</v>
      </c>
      <c r="E14" s="1743">
        <f ca="1">ROUND(D14*10000/B14,0)</f>
        <v>7427</v>
      </c>
      <c r="F14" s="1743">
        <f ca="1">ROUND(D14*10000/C14,0)</f>
        <v>16336</v>
      </c>
      <c r="G14" s="1743">
        <f ca="1">结果表!D122</f>
        <v>132651</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F22" sqref="F22"/>
    </sheetView>
  </sheetViews>
  <sheetFormatPr defaultColWidth="12.625" defaultRowHeight="21.75" customHeight="1"/>
  <cols>
    <col min="1" max="2" width="12.625" style="2420"/>
    <col min="3" max="4" width="12.625" style="2420" customWidth="1"/>
    <col min="5" max="9" width="12.625" style="2420"/>
    <col min="10" max="11" width="12.625" style="794" customWidth="1"/>
    <col min="12" max="12" width="12.625" style="794"/>
    <col min="13" max="13" width="14.125" style="794" bestFit="1" customWidth="1"/>
    <col min="14" max="26" width="12.625" style="794"/>
    <col min="27" max="35" width="12.625" style="2419"/>
    <col min="36" max="16384" width="12.625" style="2420"/>
  </cols>
  <sheetData>
    <row r="1" spans="1:12" ht="21.75" customHeight="1" thickBot="1">
      <c r="A1" s="2222" t="s">
        <v>2109</v>
      </c>
      <c r="B1" s="2414"/>
      <c r="C1" s="2415"/>
      <c r="D1" s="2414"/>
      <c r="E1" s="2414"/>
      <c r="F1" s="2416" t="s">
        <v>2110</v>
      </c>
      <c r="G1" s="2068" t="s">
        <v>2111</v>
      </c>
      <c r="H1" s="2417" t="str">
        <f>IF(G1="现房","——","估价对象范围")</f>
        <v>估价对象范围</v>
      </c>
      <c r="I1" s="2418" t="s">
        <v>3120</v>
      </c>
    </row>
    <row r="2" spans="1:12" ht="21.75" customHeight="1" thickBot="1">
      <c r="A2" s="3141" t="str">
        <f>项目基本情况!S2</f>
        <v>贵州省遵义市新蒲新区府前路出让国有建设用地使用权及在建建筑物房地产</v>
      </c>
      <c r="B2" s="3142"/>
      <c r="C2" s="3142"/>
      <c r="D2" s="3142"/>
      <c r="E2" s="3142"/>
      <c r="F2" s="3142"/>
      <c r="G2" s="3142"/>
      <c r="H2" s="3142"/>
      <c r="I2" s="3143"/>
    </row>
    <row r="3" spans="1:12" ht="12.75">
      <c r="A3" s="3145" t="s">
        <v>2112</v>
      </c>
      <c r="B3" s="3146"/>
      <c r="C3" s="3146"/>
      <c r="D3" s="3146"/>
      <c r="E3" s="3146"/>
      <c r="F3" s="3146"/>
      <c r="G3" s="3146"/>
      <c r="H3" s="3146"/>
      <c r="I3" s="3146"/>
    </row>
    <row r="4" spans="1:12" ht="14.25">
      <c r="A4" s="2421" t="s">
        <v>2113</v>
      </c>
      <c r="B4" s="2422" t="s">
        <v>2114</v>
      </c>
      <c r="C4" s="2423" t="s">
        <v>3118</v>
      </c>
      <c r="D4" s="2423" t="s">
        <v>3119</v>
      </c>
      <c r="E4" s="3138" t="s">
        <v>2115</v>
      </c>
      <c r="F4" s="3139"/>
      <c r="G4" s="3139"/>
      <c r="H4" s="3139"/>
      <c r="I4" s="3147"/>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2.75">
      <c r="A5" s="3121" t="s">
        <v>2116</v>
      </c>
      <c r="B5" s="3059">
        <v>25</v>
      </c>
      <c r="C5" s="3124"/>
      <c r="D5" s="3144"/>
      <c r="E5" s="139" t="s">
        <v>2117</v>
      </c>
      <c r="F5" s="2425"/>
      <c r="G5" s="2425"/>
      <c r="H5" s="2425"/>
      <c r="I5" s="1833"/>
    </row>
    <row r="6" spans="1:12" ht="12.75">
      <c r="A6" s="3121"/>
      <c r="B6" s="3059"/>
      <c r="C6" s="3125"/>
      <c r="D6" s="3144"/>
      <c r="E6" s="139" t="s">
        <v>2118</v>
      </c>
      <c r="F6" s="2425"/>
      <c r="G6" s="2425"/>
      <c r="H6" s="2425"/>
      <c r="I6" s="1833"/>
    </row>
    <row r="7" spans="1:12" ht="12.75">
      <c r="A7" s="3121"/>
      <c r="B7" s="3059"/>
      <c r="C7" s="3126"/>
      <c r="D7" s="3144"/>
      <c r="E7" s="139" t="s">
        <v>2119</v>
      </c>
      <c r="F7" s="2425"/>
      <c r="G7" s="2425"/>
      <c r="H7" s="2425"/>
      <c r="I7" s="1833"/>
    </row>
    <row r="8" spans="1:12" ht="12.75">
      <c r="A8" s="3121" t="s">
        <v>2120</v>
      </c>
      <c r="B8" s="3059">
        <v>15</v>
      </c>
      <c r="C8" s="3124"/>
      <c r="D8" s="3144"/>
      <c r="E8" s="139" t="s">
        <v>2121</v>
      </c>
      <c r="F8" s="2425"/>
      <c r="G8" s="2425"/>
      <c r="H8" s="2425"/>
      <c r="I8" s="1833"/>
    </row>
    <row r="9" spans="1:12" ht="12.75">
      <c r="A9" s="3121"/>
      <c r="B9" s="3059"/>
      <c r="C9" s="3126"/>
      <c r="D9" s="3144"/>
      <c r="E9" s="139" t="s">
        <v>2122</v>
      </c>
      <c r="F9" s="2425"/>
      <c r="G9" s="2425"/>
      <c r="H9" s="2425"/>
      <c r="I9" s="1833"/>
    </row>
    <row r="10" spans="1:12" ht="12.75">
      <c r="A10" s="3121" t="s">
        <v>2123</v>
      </c>
      <c r="B10" s="3059">
        <v>15</v>
      </c>
      <c r="C10" s="3124"/>
      <c r="D10" s="3144"/>
      <c r="E10" s="139" t="s">
        <v>2124</v>
      </c>
      <c r="F10" s="2425"/>
      <c r="G10" s="2425"/>
      <c r="H10" s="2425"/>
      <c r="I10" s="1833"/>
    </row>
    <row r="11" spans="1:12" ht="12.75">
      <c r="A11" s="3121"/>
      <c r="B11" s="3059"/>
      <c r="C11" s="3126"/>
      <c r="D11" s="3144"/>
      <c r="E11" s="139" t="s">
        <v>2125</v>
      </c>
      <c r="F11" s="2425"/>
      <c r="G11" s="2425"/>
      <c r="H11" s="2425"/>
      <c r="I11" s="1833"/>
    </row>
    <row r="12" spans="1:12" ht="12.75">
      <c r="A12" s="3121" t="s">
        <v>2126</v>
      </c>
      <c r="B12" s="3059">
        <v>15</v>
      </c>
      <c r="C12" s="3124"/>
      <c r="D12" s="3144"/>
      <c r="E12" s="139" t="s">
        <v>2127</v>
      </c>
      <c r="F12" s="2425"/>
      <c r="G12" s="2425"/>
      <c r="H12" s="2425"/>
      <c r="I12" s="1833"/>
    </row>
    <row r="13" spans="1:12" ht="12.75">
      <c r="A13" s="3121"/>
      <c r="B13" s="3059"/>
      <c r="C13" s="3126"/>
      <c r="D13" s="3144"/>
      <c r="E13" s="139" t="s">
        <v>2128</v>
      </c>
      <c r="F13" s="2425"/>
      <c r="G13" s="2425"/>
      <c r="H13" s="2425"/>
      <c r="I13" s="1833"/>
    </row>
    <row r="14" spans="1:12" ht="12.75">
      <c r="A14" s="3121" t="s">
        <v>2129</v>
      </c>
      <c r="B14" s="3059">
        <v>30</v>
      </c>
      <c r="C14" s="3124">
        <v>5</v>
      </c>
      <c r="D14" s="3144">
        <v>5</v>
      </c>
      <c r="E14" s="139" t="s">
        <v>2130</v>
      </c>
      <c r="F14" s="2425"/>
      <c r="G14" s="2425"/>
      <c r="H14" s="2425"/>
      <c r="I14" s="1833"/>
    </row>
    <row r="15" spans="1:12" ht="12.75">
      <c r="A15" s="3121"/>
      <c r="B15" s="3059"/>
      <c r="C15" s="3125"/>
      <c r="D15" s="3144"/>
      <c r="E15" s="139" t="s">
        <v>2131</v>
      </c>
      <c r="F15" s="2425"/>
      <c r="G15" s="2425"/>
      <c r="H15" s="2425"/>
      <c r="I15" s="1833"/>
    </row>
    <row r="16" spans="1:12" ht="12.75">
      <c r="A16" s="3121"/>
      <c r="B16" s="3059"/>
      <c r="C16" s="3126"/>
      <c r="D16" s="3144"/>
      <c r="E16" s="139" t="s">
        <v>2132</v>
      </c>
      <c r="F16" s="2425"/>
      <c r="G16" s="2425"/>
      <c r="H16" s="2425"/>
      <c r="I16" s="1833"/>
    </row>
    <row r="17" spans="1:35" ht="15">
      <c r="A17" s="2426" t="s">
        <v>2133</v>
      </c>
      <c r="B17" s="64"/>
      <c r="C17" s="140">
        <f>SUM(C5:C16)</f>
        <v>5</v>
      </c>
      <c r="D17" s="140">
        <f>SUM(D5:D16)</f>
        <v>5</v>
      </c>
      <c r="E17" s="137"/>
      <c r="F17" s="137"/>
      <c r="G17" s="137"/>
      <c r="H17" s="137"/>
      <c r="I17" s="137"/>
      <c r="K17" s="2424"/>
      <c r="L17" s="2427" t="s">
        <v>2134</v>
      </c>
      <c r="M17" s="2427" t="s">
        <v>2135</v>
      </c>
    </row>
    <row r="18" spans="1:35" ht="15.75" thickBot="1">
      <c r="A18" s="2428" t="s">
        <v>2136</v>
      </c>
      <c r="B18" s="2429"/>
      <c r="C18" s="141">
        <f>ROUND(C17/SUM(C17:D17),2)</f>
        <v>0.5</v>
      </c>
      <c r="D18" s="141">
        <f>1-C18</f>
        <v>0.5</v>
      </c>
      <c r="E18" s="137"/>
      <c r="F18" s="137"/>
      <c r="G18" s="137"/>
      <c r="H18" s="137"/>
      <c r="I18" s="137"/>
      <c r="K18" s="2424" t="s">
        <v>2137</v>
      </c>
      <c r="L18" s="2424">
        <f>IF(C1="",'数据-汇总表'!E3,SUMIF(项目类型,C1,'数据-汇总表'!E17:E26)+SUMIF(项目类型,C1,'数据-汇总表'!I17:I26))</f>
        <v>178615</v>
      </c>
      <c r="M18" s="2424">
        <f>IF(C1="",'数据-汇总表'!E3,SUMIF(项目类型,C1,'数据-汇总表'!E17:E26))</f>
        <v>178615</v>
      </c>
    </row>
    <row r="19" spans="1:35" ht="15">
      <c r="A19" s="2430" t="s">
        <v>2138</v>
      </c>
      <c r="B19" s="2431" t="s">
        <v>2139</v>
      </c>
      <c r="C19" s="142">
        <f ca="1">SUMIF(INDIRECT("'"&amp;C4&amp;"'"&amp;"!A:A"),结果表!B19,INDIRECT("'"&amp;C4&amp;"'"&amp;"!B:B"))</f>
        <v>131664</v>
      </c>
      <c r="D19" s="143">
        <f ca="1">SUMIF(INDIRECT("'"&amp;D4&amp;"'"&amp;"!A:A"),结果表!B19,INDIRECT("'"&amp;D4&amp;"'"&amp;"!B:B"))</f>
        <v>133637</v>
      </c>
      <c r="E19" s="2430" t="s">
        <v>2140</v>
      </c>
      <c r="F19" s="2431" t="s">
        <v>2139</v>
      </c>
      <c r="G19" s="144">
        <f ca="1">ROUND(C19*$C$18+D19*$D$18,0)</f>
        <v>132651</v>
      </c>
      <c r="H19" s="2432" t="s">
        <v>2141</v>
      </c>
      <c r="I19" s="137"/>
      <c r="K19" s="2424" t="s">
        <v>2142</v>
      </c>
      <c r="L19" s="2424">
        <f>IF(C1="",'数据-汇总表'!D3,SUMIF(项目类型,C1,'数据-汇总表'!D17:D26)+SUMIF(项目类型,C1,'数据-汇总表'!H17:H27))</f>
        <v>81202</v>
      </c>
      <c r="M19" s="2424">
        <f>IF(C1="",'数据-汇总表'!D3,SUMIF(项目类型,C1,'数据-汇总表'!D17:D26))</f>
        <v>81202</v>
      </c>
    </row>
    <row r="20" spans="1:35" ht="15">
      <c r="A20" s="2433"/>
      <c r="B20" s="1249" t="s">
        <v>2143</v>
      </c>
      <c r="C20" s="145">
        <f ca="1">SUMIF(INDIRECT("'"&amp;C4&amp;"'"&amp;"!A:A"),结果表!B20,INDIRECT("'"&amp;C4&amp;"'"&amp;"!B:B"))</f>
        <v>7371</v>
      </c>
      <c r="D20" s="146">
        <f ca="1">SUMIF(INDIRECT("'"&amp;D4&amp;"'"&amp;"!A:A"),结果表!B20,INDIRECT("'"&amp;D4&amp;"'"&amp;"!B:B"))</f>
        <v>7482</v>
      </c>
      <c r="E20" s="2433"/>
      <c r="F20" s="1249" t="s">
        <v>2143</v>
      </c>
      <c r="G20" s="147">
        <f ca="1">ROUND(C20*$C$18+D20*$D$18,0)</f>
        <v>7427</v>
      </c>
      <c r="H20" s="982" t="s">
        <v>2144</v>
      </c>
      <c r="I20" s="137"/>
    </row>
    <row r="21" spans="1:35" ht="15" customHeight="1" thickBot="1">
      <c r="A21" s="1002"/>
      <c r="B21" s="2434" t="s">
        <v>2145</v>
      </c>
      <c r="C21" s="788">
        <f ca="1">ROUND(C19*10000/L19,0)</f>
        <v>16214</v>
      </c>
      <c r="D21" s="789">
        <f ca="1">ROUND(D19*10000/L19,0)</f>
        <v>16457</v>
      </c>
      <c r="E21" s="1002"/>
      <c r="F21" s="2434" t="s">
        <v>2145</v>
      </c>
      <c r="G21" s="148">
        <f ca="1">ROUND(G19*10000/L19,0)</f>
        <v>16336</v>
      </c>
      <c r="H21" s="2435" t="s">
        <v>2144</v>
      </c>
      <c r="I21" s="137"/>
    </row>
    <row r="22" spans="1:35" ht="15" thickBot="1">
      <c r="A22" s="2277" t="s">
        <v>2146</v>
      </c>
      <c r="B22" s="2436"/>
      <c r="C22" s="2437"/>
      <c r="D22" s="790">
        <f ca="1">IF(C19&lt;D19,D19/C19-1,C19/D19-1)</f>
        <v>1.498511362255428E-2</v>
      </c>
      <c r="E22" s="137"/>
      <c r="F22" s="137"/>
      <c r="G22" s="137"/>
      <c r="H22" s="137"/>
      <c r="I22" s="137"/>
    </row>
    <row r="23" spans="1:35" ht="13.5" thickBot="1">
      <c r="A23" s="2414"/>
      <c r="B23" s="2414"/>
      <c r="C23" s="2414"/>
      <c r="D23" s="2414"/>
      <c r="E23" s="137"/>
      <c r="F23" s="137"/>
      <c r="G23" s="137"/>
      <c r="H23" s="137"/>
      <c r="I23" s="137"/>
    </row>
    <row r="24" spans="1:35" ht="14.25">
      <c r="A24" s="3115" t="s">
        <v>2147</v>
      </c>
      <c r="B24" s="2431" t="s">
        <v>2139</v>
      </c>
      <c r="C24" s="144">
        <f>IF(B30=0,0,D30)</f>
        <v>0</v>
      </c>
      <c r="D24" s="2438"/>
      <c r="E24" s="137"/>
      <c r="F24" s="137"/>
      <c r="G24" s="137"/>
      <c r="H24" s="137"/>
      <c r="I24" s="137"/>
    </row>
    <row r="25" spans="1:35" ht="14.25">
      <c r="A25" s="3116"/>
      <c r="B25" s="1249" t="s">
        <v>2143</v>
      </c>
      <c r="C25" s="149">
        <f>IF(B30=0,0,C30)</f>
        <v>0</v>
      </c>
      <c r="D25" s="2439"/>
      <c r="E25" s="137"/>
      <c r="F25" s="137"/>
      <c r="G25" s="137"/>
      <c r="H25" s="137"/>
      <c r="I25" s="137"/>
    </row>
    <row r="26" spans="1:35" ht="13.5" customHeight="1">
      <c r="A26" s="2440" t="s">
        <v>2148</v>
      </c>
      <c r="B26" s="150" t="s">
        <v>2149</v>
      </c>
      <c r="C26" s="150" t="s">
        <v>2150</v>
      </c>
      <c r="D26" s="151" t="s">
        <v>2151</v>
      </c>
      <c r="E26" s="137"/>
      <c r="F26" s="137"/>
      <c r="G26" s="137"/>
      <c r="H26" s="137"/>
      <c r="I26" s="137"/>
    </row>
    <row r="27" spans="1:35" ht="14.25">
      <c r="A27" s="2440"/>
      <c r="B27" s="150">
        <v>0</v>
      </c>
      <c r="C27" s="150">
        <v>0</v>
      </c>
      <c r="D27" s="151">
        <f>ROUND(C27*B27/10000,0)</f>
        <v>0</v>
      </c>
      <c r="E27" s="137"/>
      <c r="F27" s="137"/>
      <c r="G27" s="137"/>
      <c r="H27" s="137"/>
      <c r="I27" s="137"/>
    </row>
    <row r="28" spans="1:35" ht="14.25">
      <c r="A28" s="2440"/>
      <c r="B28" s="150"/>
      <c r="C28" s="150"/>
      <c r="D28" s="151"/>
      <c r="E28" s="137"/>
      <c r="F28" s="137"/>
      <c r="G28" s="137"/>
      <c r="H28" s="137"/>
      <c r="I28" s="137"/>
    </row>
    <row r="29" spans="1:35" ht="14.25">
      <c r="A29" s="2440"/>
      <c r="B29" s="150"/>
      <c r="C29" s="150"/>
      <c r="D29" s="151"/>
      <c r="E29" s="137"/>
      <c r="F29" s="137"/>
      <c r="G29" s="137"/>
      <c r="H29" s="137"/>
      <c r="I29" s="137"/>
    </row>
    <row r="30" spans="1:35" ht="14.25">
      <c r="A30" s="150" t="s">
        <v>2152</v>
      </c>
      <c r="B30" s="150"/>
      <c r="C30" s="150"/>
      <c r="D30" s="150"/>
      <c r="E30" s="2923" t="s">
        <v>3025</v>
      </c>
      <c r="F30" s="137"/>
      <c r="G30" s="137"/>
      <c r="H30" s="137"/>
      <c r="I30" s="137"/>
    </row>
    <row r="31" spans="1:35" s="2442" customFormat="1" ht="15" thickBot="1">
      <c r="A31" s="2441"/>
      <c r="B31" s="2441"/>
      <c r="C31" s="2441"/>
      <c r="D31" s="2441"/>
      <c r="E31" s="137"/>
      <c r="F31" s="137"/>
      <c r="G31" s="137"/>
      <c r="H31" s="137"/>
      <c r="I31" s="137"/>
      <c r="J31" s="794"/>
      <c r="K31" s="794"/>
      <c r="L31" s="794"/>
      <c r="M31" s="794"/>
      <c r="N31" s="794"/>
      <c r="O31" s="794"/>
      <c r="P31" s="794"/>
      <c r="Q31" s="794"/>
      <c r="R31" s="794"/>
      <c r="S31" s="794"/>
      <c r="T31" s="794"/>
      <c r="U31" s="794"/>
      <c r="V31" s="794"/>
      <c r="W31" s="794"/>
      <c r="X31" s="794"/>
      <c r="Y31" s="794"/>
      <c r="Z31" s="794"/>
      <c r="AA31" s="2419"/>
      <c r="AB31" s="2419"/>
      <c r="AC31" s="2419"/>
      <c r="AD31" s="2419"/>
      <c r="AE31" s="2419"/>
      <c r="AF31" s="2419"/>
      <c r="AG31" s="2419"/>
      <c r="AH31" s="2419"/>
      <c r="AI31" s="2419"/>
    </row>
    <row r="32" spans="1:35" ht="15.75" thickBot="1">
      <c r="A32" s="2443" t="s">
        <v>2153</v>
      </c>
      <c r="B32" s="2444"/>
      <c r="C32" s="152">
        <f ca="1">IF(D32="总价",G19-C24,G20-C25)</f>
        <v>132651</v>
      </c>
      <c r="D32" s="2445" t="s">
        <v>2154</v>
      </c>
      <c r="E32" s="137"/>
      <c r="F32" s="137"/>
      <c r="G32" s="137"/>
      <c r="H32" s="137"/>
      <c r="I32" s="137"/>
    </row>
    <row r="33" spans="1:15" ht="15">
      <c r="A33" s="959" t="s">
        <v>2155</v>
      </c>
      <c r="B33" s="2446"/>
      <c r="C33" s="2447" t="s">
        <v>3126</v>
      </c>
      <c r="D33" s="2448" t="s">
        <v>3118</v>
      </c>
      <c r="E33" s="2449" t="s">
        <v>2156</v>
      </c>
      <c r="F33" s="2450" t="str">
        <f>IF(D32="楼面单价","取值（单价）","取值（总价）")</f>
        <v>取值（总价）</v>
      </c>
      <c r="G33" s="137"/>
      <c r="H33" s="137"/>
      <c r="I33" s="137"/>
    </row>
    <row r="34" spans="1:15" ht="15">
      <c r="A34" s="2451"/>
      <c r="B34" s="2452" t="s">
        <v>2157</v>
      </c>
      <c r="C34" s="156">
        <f ca="1">IF(C33="自定义",F34,C32-C35)</f>
        <v>20561</v>
      </c>
      <c r="D34" s="1057">
        <f ca="1">IF(C33="自定义",ROUND(C34/C32,3),IF(C33="收益比率",SUMIF(INDIRECT("'"&amp;D33&amp;"'"&amp;"!b:b"),"土地收益比率",INDIRECT("'"&amp;D33&amp;"'"&amp;"!c:c")),SUMIF(INDIRECT("'"&amp;D33&amp;"'"&amp;"!b:b"),"土地成本比率",INDIRECT("'"&amp;D33&amp;"'"&amp;"!c:c"))))</f>
        <v>0.15500000000000003</v>
      </c>
      <c r="E34" s="2453" t="s">
        <v>2158</v>
      </c>
      <c r="F34" s="1738"/>
      <c r="G34" s="137"/>
      <c r="H34" s="137"/>
      <c r="I34" s="137"/>
    </row>
    <row r="35" spans="1:15" ht="15.75" thickBot="1">
      <c r="A35" s="2454"/>
      <c r="B35" s="2455" t="s">
        <v>2159</v>
      </c>
      <c r="C35" s="1443">
        <f ca="1">IF(C33="自定义",F35,ROUND(C32*D35,0))</f>
        <v>112090</v>
      </c>
      <c r="D35" s="1444">
        <f ca="1">IF(C33="自定义",ROUND(C35/C32,3),IF(C33="收益比率",SUMIF(INDIRECT("'"&amp;D33&amp;"'"&amp;"!b:b"),"建筑物收益比率",INDIRECT("'"&amp;D33&amp;"'"&amp;"!c:c")),SUMIF(INDIRECT("'"&amp;D33&amp;"'"&amp;"!b:b"),"建筑物成本比率",INDIRECT("'"&amp;D33&amp;"'"&amp;"!c:c"))))</f>
        <v>0.84499999999999997</v>
      </c>
      <c r="E35" s="2456" t="s">
        <v>2160</v>
      </c>
      <c r="F35" s="162"/>
      <c r="G35" s="137"/>
      <c r="H35" s="137"/>
      <c r="I35" s="137"/>
    </row>
    <row r="36" spans="1:15" ht="15.75" thickBot="1">
      <c r="A36" s="3133" t="s">
        <v>2161</v>
      </c>
      <c r="B36" s="2457" t="s">
        <v>2162</v>
      </c>
      <c r="C36" s="153"/>
      <c r="D36" s="2458"/>
      <c r="E36" s="2459"/>
      <c r="F36" s="2460"/>
      <c r="G36" s="137"/>
      <c r="H36" s="137"/>
      <c r="I36" s="137"/>
    </row>
    <row r="37" spans="1:15" ht="15.75" thickBot="1">
      <c r="A37" s="3134"/>
      <c r="B37" s="2263" t="s">
        <v>2163</v>
      </c>
      <c r="C37" s="155"/>
      <c r="D37" s="1394"/>
      <c r="E37" s="1394"/>
      <c r="F37" s="2460"/>
      <c r="G37" s="137"/>
      <c r="H37" s="137"/>
      <c r="I37" s="137"/>
    </row>
    <row r="38" spans="1:15" ht="15.75" thickBot="1">
      <c r="A38" s="3135"/>
      <c r="B38" s="2461" t="s">
        <v>2164</v>
      </c>
      <c r="C38" s="726"/>
      <c r="D38" s="2462" t="s">
        <v>2165</v>
      </c>
      <c r="E38" s="1394"/>
      <c r="F38" s="2460"/>
      <c r="G38" s="137"/>
      <c r="H38" s="137"/>
      <c r="I38" s="137"/>
    </row>
    <row r="39" spans="1:15" ht="15">
      <c r="A39" s="2433" t="s">
        <v>2166</v>
      </c>
      <c r="B39" s="2463" t="s">
        <v>2167</v>
      </c>
      <c r="C39" s="2464" t="s">
        <v>2168</v>
      </c>
      <c r="D39" s="2464" t="s">
        <v>2169</v>
      </c>
      <c r="E39" s="2465" t="s">
        <v>2170</v>
      </c>
      <c r="F39" s="2460"/>
      <c r="G39" s="137"/>
      <c r="H39" s="137"/>
      <c r="I39" s="137"/>
    </row>
    <row r="40" spans="1:15" ht="14.25">
      <c r="A40" s="2466" t="s">
        <v>2171</v>
      </c>
      <c r="B40" s="157"/>
      <c r="C40" s="158"/>
      <c r="D40" s="158"/>
      <c r="E40" s="159"/>
      <c r="F40" s="2460"/>
      <c r="G40" s="137"/>
      <c r="H40" s="137"/>
      <c r="I40" s="137"/>
    </row>
    <row r="41" spans="1:15" ht="14.25">
      <c r="A41" s="2466" t="s">
        <v>2172</v>
      </c>
      <c r="B41" s="157"/>
      <c r="C41" s="158"/>
      <c r="D41" s="158"/>
      <c r="E41" s="159"/>
      <c r="F41" s="2460"/>
      <c r="G41" s="137"/>
      <c r="H41" s="137"/>
      <c r="I41" s="137"/>
    </row>
    <row r="42" spans="1:15" ht="15" thickBot="1">
      <c r="A42" s="2467"/>
      <c r="B42" s="160"/>
      <c r="C42" s="161"/>
      <c r="D42" s="161"/>
      <c r="E42" s="162"/>
      <c r="F42" s="2460"/>
      <c r="G42" s="137"/>
      <c r="H42" s="137"/>
      <c r="I42" s="137"/>
    </row>
    <row r="43" spans="1:15" ht="12.75">
      <c r="A43" s="2162"/>
      <c r="B43" s="2162"/>
      <c r="C43" s="2162"/>
      <c r="D43" s="2162"/>
      <c r="E43" s="2162"/>
      <c r="F43" s="2468"/>
      <c r="G43" s="2468"/>
      <c r="H43" s="2468"/>
      <c r="I43" s="2469"/>
    </row>
    <row r="44" spans="1:15" ht="18.75">
      <c r="A44" s="2470" t="s">
        <v>2173</v>
      </c>
      <c r="B44" s="2471"/>
      <c r="C44" s="2471"/>
      <c r="D44" s="2472"/>
      <c r="E44" s="2472"/>
      <c r="F44" s="2473"/>
      <c r="G44" s="2473"/>
      <c r="H44" s="2473"/>
      <c r="I44" s="2473"/>
      <c r="J44" s="2474" t="s">
        <v>2174</v>
      </c>
      <c r="K44" s="2475"/>
      <c r="L44" s="2475"/>
      <c r="M44" s="2475"/>
      <c r="N44" s="2475"/>
      <c r="O44" s="2475"/>
    </row>
    <row r="45" spans="1:15" ht="14.25" customHeight="1" thickBot="1">
      <c r="A45" s="3112" t="s">
        <v>2175</v>
      </c>
      <c r="B45" s="3113"/>
      <c r="C45" s="3114"/>
      <c r="D45" s="163">
        <f ca="1">ROUND(H101*F45,0)</f>
        <v>132651</v>
      </c>
      <c r="E45" s="164" t="s">
        <v>2176</v>
      </c>
      <c r="F45" s="165">
        <v>1</v>
      </c>
      <c r="G45" s="166" t="s">
        <v>2177</v>
      </c>
      <c r="H45" s="137"/>
      <c r="I45" s="137"/>
      <c r="J45" s="3172" t="s">
        <v>2178</v>
      </c>
      <c r="K45" s="3172"/>
      <c r="L45" s="3172"/>
      <c r="M45" s="3172"/>
      <c r="N45" s="3172"/>
      <c r="O45" s="3172"/>
    </row>
    <row r="46" spans="1:15" ht="14.25" customHeight="1">
      <c r="A46" s="3109" t="s">
        <v>2179</v>
      </c>
      <c r="B46" s="3110"/>
      <c r="C46" s="3110"/>
      <c r="D46" s="3110"/>
      <c r="E46" s="3110"/>
      <c r="F46" s="3110"/>
      <c r="G46" s="3111"/>
      <c r="H46" s="2476"/>
      <c r="I46" s="167"/>
      <c r="J46" s="1811">
        <v>1</v>
      </c>
      <c r="K46" s="3172" t="s">
        <v>2180</v>
      </c>
      <c r="L46" s="3172"/>
      <c r="M46" s="3192"/>
      <c r="N46" s="3192"/>
      <c r="O46" s="3192"/>
    </row>
    <row r="47" spans="1:15" ht="12" customHeight="1">
      <c r="A47" s="168" t="s">
        <v>2181</v>
      </c>
      <c r="B47" s="169"/>
      <c r="C47" s="170"/>
      <c r="D47" s="171" t="s">
        <v>2182</v>
      </c>
      <c r="E47" s="24" t="s">
        <v>2183</v>
      </c>
      <c r="F47" s="172" t="s">
        <v>2184</v>
      </c>
      <c r="G47" s="173" t="s">
        <v>2185</v>
      </c>
      <c r="H47" s="2476"/>
      <c r="I47" s="167"/>
      <c r="J47" s="1811">
        <v>2</v>
      </c>
      <c r="K47" s="3172" t="s">
        <v>2186</v>
      </c>
      <c r="L47" s="3172"/>
      <c r="M47" s="3193">
        <f>'数据-取费表'!B2</f>
        <v>43248</v>
      </c>
      <c r="N47" s="3193"/>
      <c r="O47" s="3193"/>
    </row>
    <row r="48" spans="1:15" ht="25.5">
      <c r="A48" s="3140" t="s">
        <v>2187</v>
      </c>
      <c r="B48" s="3123"/>
      <c r="C48" s="3123"/>
      <c r="D48" s="139">
        <f ca="1">IF(H48="情况1",0,IF(H48="情况2",D52,IF(H48="情况3",D53,IF(H48="情况4",D54))))</f>
        <v>7075</v>
      </c>
      <c r="E48" s="1800" t="str">
        <f>IF(H48="情况4","(销售额-原购置价)×税（费）率","销售额×税（费）率")</f>
        <v>销售额×税（费）率</v>
      </c>
      <c r="F48" s="174">
        <f>IF(H48="情况1","免征",'数据-取费表'!B41)</f>
        <v>5.6000000000000001E-2</v>
      </c>
      <c r="G48" s="2477" t="s">
        <v>2188</v>
      </c>
      <c r="H48" s="3015" t="s">
        <v>3225</v>
      </c>
      <c r="I48" s="2476"/>
      <c r="J48" s="1811">
        <v>3</v>
      </c>
      <c r="K48" s="3172" t="s">
        <v>2189</v>
      </c>
      <c r="L48" s="3172"/>
      <c r="M48" s="3194">
        <f ca="1">H101</f>
        <v>132651</v>
      </c>
      <c r="N48" s="3194"/>
      <c r="O48" s="3194"/>
    </row>
    <row r="49" spans="1:35" ht="25.5" customHeight="1">
      <c r="A49" s="175" t="s">
        <v>2190</v>
      </c>
      <c r="B49" s="3108" t="s">
        <v>2191</v>
      </c>
      <c r="C49" s="3108"/>
      <c r="D49" s="176">
        <v>0</v>
      </c>
      <c r="E49" s="23" t="s">
        <v>2192</v>
      </c>
      <c r="F49" s="28" t="s">
        <v>34</v>
      </c>
      <c r="G49" s="3178"/>
      <c r="H49" s="137"/>
      <c r="I49" s="2479"/>
      <c r="J49" s="1811">
        <v>4</v>
      </c>
      <c r="K49" s="3172" t="str">
        <f>IF(项目基本情况!E8="房地产抵押价值","房地产抵押价值","抵押担保权已注销时的房地产抵押价值")</f>
        <v>房地产抵押价值</v>
      </c>
      <c r="L49" s="3172"/>
      <c r="M49" s="3194">
        <f ca="1">IF(项目基本情况!E8="房地产抵押价值",H107,H109)</f>
        <v>132651</v>
      </c>
      <c r="N49" s="3194"/>
      <c r="O49" s="3194"/>
    </row>
    <row r="50" spans="1:35" ht="25.5" customHeight="1">
      <c r="A50" s="177"/>
      <c r="B50" s="3108" t="s">
        <v>2193</v>
      </c>
      <c r="C50" s="3108"/>
      <c r="D50" s="178"/>
      <c r="E50" s="31"/>
      <c r="F50" s="179"/>
      <c r="G50" s="3179"/>
      <c r="H50" s="137"/>
      <c r="I50" s="2479"/>
      <c r="J50" s="3172" t="s">
        <v>2194</v>
      </c>
      <c r="K50" s="3172"/>
      <c r="L50" s="3172"/>
      <c r="M50" s="3172"/>
      <c r="N50" s="3172"/>
      <c r="O50" s="3172"/>
    </row>
    <row r="51" spans="1:35" ht="12" customHeight="1">
      <c r="A51" s="180"/>
      <c r="B51" s="3108" t="s">
        <v>2195</v>
      </c>
      <c r="C51" s="3108"/>
      <c r="D51" s="181"/>
      <c r="E51" s="30"/>
      <c r="F51" s="179"/>
      <c r="G51" s="3180"/>
      <c r="H51" s="137"/>
      <c r="I51" s="2479"/>
      <c r="J51" s="2480" t="s">
        <v>2196</v>
      </c>
      <c r="K51" s="3172" t="s">
        <v>2197</v>
      </c>
      <c r="L51" s="3172"/>
      <c r="M51" s="2480" t="s">
        <v>2198</v>
      </c>
      <c r="N51" s="2480" t="s">
        <v>2199</v>
      </c>
      <c r="O51" s="2480" t="s">
        <v>2200</v>
      </c>
    </row>
    <row r="52" spans="1:35" ht="24" customHeight="1">
      <c r="A52" s="182" t="s">
        <v>2201</v>
      </c>
      <c r="B52" s="3108" t="s">
        <v>2202</v>
      </c>
      <c r="C52" s="3108"/>
      <c r="D52" s="181">
        <f ca="1">ROUND(D45*'数据-取费表'!B41/(1+'数据-取费表'!C42),0)</f>
        <v>7075</v>
      </c>
      <c r="E52" s="11" t="s">
        <v>2203</v>
      </c>
      <c r="F52" s="183">
        <f>'数据-取费表'!B41</f>
        <v>5.6000000000000001E-2</v>
      </c>
      <c r="G52" s="2481"/>
      <c r="H52" s="137"/>
      <c r="I52" s="2479"/>
      <c r="J52" s="1811">
        <v>1</v>
      </c>
      <c r="K52" s="3173" t="s">
        <v>2204</v>
      </c>
      <c r="L52" s="3173"/>
      <c r="M52" s="1753">
        <f ca="1">D48</f>
        <v>7075</v>
      </c>
      <c r="N52" s="1811" t="str">
        <f>E48</f>
        <v>销售额×税（费）率</v>
      </c>
      <c r="O52" s="1754">
        <f>F48</f>
        <v>5.6000000000000001E-2</v>
      </c>
    </row>
    <row r="53" spans="1:35" ht="12" customHeight="1">
      <c r="A53" s="182" t="s">
        <v>2205</v>
      </c>
      <c r="B53" s="3131" t="s">
        <v>2206</v>
      </c>
      <c r="C53" s="3132"/>
      <c r="D53" s="181">
        <f ca="1">ROUND(D45*'数据-取费表'!B41/(1+'数据-取费表'!C42),0)</f>
        <v>7075</v>
      </c>
      <c r="E53" s="11" t="s">
        <v>2203</v>
      </c>
      <c r="F53" s="183">
        <f>'数据-取费表'!B41</f>
        <v>5.6000000000000001E-2</v>
      </c>
      <c r="G53" s="2481"/>
      <c r="H53" s="137"/>
      <c r="I53" s="2479"/>
      <c r="J53" s="1811">
        <v>2</v>
      </c>
      <c r="K53" s="3173" t="s">
        <v>2207</v>
      </c>
      <c r="L53" s="3173"/>
      <c r="M53" s="1753">
        <f t="shared" ref="M53:O54" ca="1" si="0">D55</f>
        <v>66</v>
      </c>
      <c r="N53" s="1811" t="str">
        <f t="shared" si="0"/>
        <v>销售额×税（费）率</v>
      </c>
      <c r="O53" s="1754">
        <f t="shared" si="0"/>
        <v>5.0000000000000001E-4</v>
      </c>
    </row>
    <row r="54" spans="1:35" ht="12" customHeight="1">
      <c r="A54" s="182" t="s">
        <v>2208</v>
      </c>
      <c r="B54" s="3131" t="s">
        <v>2209</v>
      </c>
      <c r="C54" s="3132"/>
      <c r="D54" s="181">
        <f ca="1">C68</f>
        <v>7075</v>
      </c>
      <c r="E54" s="30" t="s">
        <v>2210</v>
      </c>
      <c r="F54" s="183">
        <f>'数据-取费表'!B41</f>
        <v>5.6000000000000001E-2</v>
      </c>
      <c r="G54" s="2481"/>
      <c r="H54" s="2482"/>
      <c r="I54" s="2479"/>
      <c r="J54" s="1811">
        <v>3</v>
      </c>
      <c r="K54" s="3173" t="s">
        <v>2211</v>
      </c>
      <c r="L54" s="3173"/>
      <c r="M54" s="1753">
        <f t="shared" ca="1" si="0"/>
        <v>75080</v>
      </c>
      <c r="N54" s="1811" t="str">
        <f t="shared" si="0"/>
        <v>增值额×税（费）率</v>
      </c>
      <c r="O54" s="1755" t="str">
        <f t="shared" si="0"/>
        <v>——</v>
      </c>
    </row>
    <row r="55" spans="1:35" ht="24" customHeight="1">
      <c r="A55" s="3122" t="s">
        <v>2212</v>
      </c>
      <c r="B55" s="3123"/>
      <c r="C55" s="3123"/>
      <c r="D55" s="184">
        <f ca="1">IF(H55="个人住宅",0,ROUND(D45*I55,0))</f>
        <v>66</v>
      </c>
      <c r="E55" s="11" t="s">
        <v>2213</v>
      </c>
      <c r="F55" s="183">
        <f>IF(H55="正常",I55,"免征")</f>
        <v>5.0000000000000001E-4</v>
      </c>
      <c r="G55" s="2481"/>
      <c r="H55" s="2478" t="s">
        <v>2214</v>
      </c>
      <c r="I55" s="185">
        <f>'数据-取费表'!B49</f>
        <v>5.0000000000000001E-4</v>
      </c>
      <c r="J55" s="1811" t="str">
        <f>IF(H59="非个人房产","",4)</f>
        <v/>
      </c>
      <c r="K55" s="3173" t="str">
        <f>IF(H59="非个人房产","——","个人所得税")</f>
        <v>——</v>
      </c>
      <c r="L55" s="3173"/>
      <c r="M55" s="1756" t="str">
        <f>D59</f>
        <v>——</v>
      </c>
      <c r="N55" s="1809" t="str">
        <f>E59</f>
        <v>——</v>
      </c>
      <c r="O55" s="1757" t="str">
        <f>F59</f>
        <v>——</v>
      </c>
    </row>
    <row r="56" spans="1:35" ht="24.75">
      <c r="A56" s="3122" t="s">
        <v>2215</v>
      </c>
      <c r="B56" s="3123"/>
      <c r="C56" s="3123"/>
      <c r="D56" s="184">
        <f ca="1">IF(H56="个人住宅",D57,D58)</f>
        <v>75080</v>
      </c>
      <c r="E56" s="11" t="s">
        <v>2216</v>
      </c>
      <c r="F56" s="183" t="str">
        <f>IF(H56="正常",F58,"免征")</f>
        <v>——</v>
      </c>
      <c r="G56" s="2483" t="s">
        <v>2217</v>
      </c>
      <c r="H56" s="2484" t="s">
        <v>2214</v>
      </c>
      <c r="I56" s="2485"/>
      <c r="J56" s="1811" t="str">
        <f>IF(项目基本情况!K6="上海银行",IF(J55="",4,J55+1),"")</f>
        <v/>
      </c>
      <c r="K56" s="3196" t="str">
        <f>IF(项目基本情况!K6="上海银行","其他处置费用","")</f>
        <v/>
      </c>
      <c r="L56" s="3197"/>
      <c r="M56" s="1753" t="str">
        <f>IF(项目基本情况!K6="上海银行",M69,"")</f>
        <v/>
      </c>
      <c r="N56" s="3199" t="str">
        <f>IF(项目基本情况!K6="上海银行","包含处置中涉及的律师、诉讼、拍卖、评估等费用","")</f>
        <v/>
      </c>
      <c r="O56" s="3200"/>
    </row>
    <row r="57" spans="1:35" ht="12.75">
      <c r="A57" s="182" t="s">
        <v>2190</v>
      </c>
      <c r="B57" s="3138" t="s">
        <v>2218</v>
      </c>
      <c r="C57" s="3147"/>
      <c r="D57" s="186">
        <v>0</v>
      </c>
      <c r="E57" s="23" t="s">
        <v>2192</v>
      </c>
      <c r="F57" s="154"/>
      <c r="G57" s="2481"/>
      <c r="H57" s="2485"/>
      <c r="I57" s="2485"/>
      <c r="J57" s="3173">
        <f>IF(AND(J55="",J56=""),4,IF(项目基本情况!K6="上海银行",结果表!J56+1,结果表!J55+1))</f>
        <v>4</v>
      </c>
      <c r="K57" s="3173" t="s">
        <v>2219</v>
      </c>
      <c r="L57" s="2486" t="s">
        <v>2220</v>
      </c>
      <c r="M57" s="1758"/>
      <c r="N57" s="1759">
        <f ca="1">SUMIF(M52:M56,"&lt;9e307")</f>
        <v>82221</v>
      </c>
      <c r="O57" s="2487"/>
      <c r="P57" s="1752">
        <f ca="1">N57/M49</f>
        <v>0.61982947735034033</v>
      </c>
    </row>
    <row r="58" spans="1:35" ht="24.75">
      <c r="A58" s="182" t="s">
        <v>2201</v>
      </c>
      <c r="B58" s="3138" t="s">
        <v>2221</v>
      </c>
      <c r="C58" s="3139"/>
      <c r="D58" s="184">
        <f ca="1">IF(H58="转让取得",C81,C97)</f>
        <v>75080</v>
      </c>
      <c r="E58" s="11" t="s">
        <v>2216</v>
      </c>
      <c r="F58" s="24" t="s">
        <v>34</v>
      </c>
      <c r="G58" s="2481"/>
      <c r="H58" s="2484" t="s">
        <v>2222</v>
      </c>
      <c r="I58" s="2485"/>
      <c r="J58" s="3173"/>
      <c r="K58" s="3173"/>
      <c r="L58" s="2486" t="s">
        <v>2223</v>
      </c>
      <c r="M58" s="1760"/>
      <c r="N58" s="2488" t="str">
        <f ca="1">NUMBERSTRING(INT(N57*10000),2)&amp;"元整"</f>
        <v>捌亿贰仟贰佰贰拾壹万元整</v>
      </c>
      <c r="O58" s="2489"/>
    </row>
    <row r="59" spans="1:35" ht="24.75" thickBot="1">
      <c r="A59" s="3176" t="s">
        <v>2224</v>
      </c>
      <c r="B59" s="3177"/>
      <c r="C59" s="3177"/>
      <c r="D59" s="187" t="str">
        <f>IF(H59="非个人房产","——",IF(H59="个人住宅",0,ROUND(D45*I59,0)))</f>
        <v>——</v>
      </c>
      <c r="E59" s="188" t="str">
        <f>IF(H59="非个人房产","——","销售额×税（费）率")</f>
        <v>——</v>
      </c>
      <c r="F59" s="189" t="str">
        <f>IF(H59="非个人房产","——",IF(H59="个人住宅","免征",I59))</f>
        <v>——</v>
      </c>
      <c r="G59" s="2490" t="s">
        <v>2217</v>
      </c>
      <c r="H59" s="2484" t="s">
        <v>2225</v>
      </c>
      <c r="I59" s="190">
        <v>0.01</v>
      </c>
      <c r="J59" s="3174">
        <f>J57+1</f>
        <v>5</v>
      </c>
      <c r="K59" s="3173" t="s">
        <v>2226</v>
      </c>
      <c r="L59" s="1811" t="s">
        <v>2220</v>
      </c>
      <c r="M59" s="1761"/>
      <c r="N59" s="1762">
        <f ca="1">M49-N57</f>
        <v>50430</v>
      </c>
      <c r="O59" s="2491"/>
    </row>
    <row r="60" spans="1:35" ht="12" customHeight="1">
      <c r="A60" s="2492"/>
      <c r="B60" s="2414"/>
      <c r="C60" s="2414"/>
      <c r="D60" s="2414"/>
      <c r="E60" s="2163"/>
      <c r="F60" s="2485"/>
      <c r="G60" s="2485"/>
      <c r="H60" s="2493"/>
      <c r="I60" s="137"/>
      <c r="J60" s="3175"/>
      <c r="K60" s="3173"/>
      <c r="L60" s="2486" t="s">
        <v>2223</v>
      </c>
      <c r="M60" s="1760"/>
      <c r="N60" s="2488" t="str">
        <f ca="1">NUMBERSTRING(INT(N59*10000),2)&amp;"元整"</f>
        <v>伍亿零肆佰叁拾万元整</v>
      </c>
      <c r="O60" s="2489"/>
    </row>
    <row r="61" spans="1:35" ht="13.5" thickBot="1">
      <c r="A61" s="3120" t="s">
        <v>2227</v>
      </c>
      <c r="B61" s="3120"/>
      <c r="C61" s="3120"/>
      <c r="D61" s="3120"/>
      <c r="E61" s="3120"/>
      <c r="F61" s="2485"/>
      <c r="G61" s="2485"/>
      <c r="H61" s="2493"/>
      <c r="I61" s="137"/>
      <c r="J61" s="1811">
        <f>J59+1</f>
        <v>6</v>
      </c>
      <c r="K61" s="3173" t="s">
        <v>2228</v>
      </c>
      <c r="L61" s="3173"/>
      <c r="M61" s="1763"/>
      <c r="N61" s="1764">
        <f ca="1">ROUND(N59*10000/'数据-汇总表'!E3,0)</f>
        <v>2823</v>
      </c>
      <c r="O61" s="2494"/>
    </row>
    <row r="62" spans="1:35" ht="12.75">
      <c r="A62" s="3136" t="s">
        <v>2229</v>
      </c>
      <c r="B62" s="3137"/>
      <c r="C62" s="1803"/>
      <c r="D62" s="1803" t="s">
        <v>2230</v>
      </c>
      <c r="E62" s="191" t="s">
        <v>2231</v>
      </c>
      <c r="F62" s="2485"/>
      <c r="G62" s="2485"/>
      <c r="H62" s="2493"/>
      <c r="I62" s="137"/>
    </row>
    <row r="63" spans="1:35" ht="12.75">
      <c r="A63" s="202" t="s">
        <v>775</v>
      </c>
      <c r="B63" s="192" t="s">
        <v>2232</v>
      </c>
      <c r="C63" s="193">
        <f ca="1">ROUND((C64+C65)/(1+'数据-取费表'!C42),0)</f>
        <v>126334</v>
      </c>
      <c r="D63" s="194"/>
      <c r="E63" s="195"/>
      <c r="F63" s="2485"/>
      <c r="G63" s="2485"/>
      <c r="H63" s="2493"/>
      <c r="I63" s="137"/>
      <c r="J63" s="3198" t="s">
        <v>2233</v>
      </c>
      <c r="K63" s="2495" t="s">
        <v>2234</v>
      </c>
      <c r="L63" s="1751">
        <f ca="1">IF(M49&gt;10000,M49*0.5%,IF(AND(M49&gt;1000,M49&lt;=10000),M49*1%,IF(AND(M49&gt;100,M49&lt;=1000),M49*3%,IF(AND(M49&gt;10,M49&lt;=100),M49*5%,M49*8%))))</f>
        <v>663.255</v>
      </c>
      <c r="M63" s="24">
        <f ca="1">ROUND(L63,1)</f>
        <v>663.3</v>
      </c>
      <c r="Z63" s="2419"/>
      <c r="AI63" s="2420"/>
    </row>
    <row r="64" spans="1:35" ht="14.25" customHeight="1">
      <c r="A64" s="196" t="s">
        <v>770</v>
      </c>
      <c r="B64" s="197" t="s">
        <v>2235</v>
      </c>
      <c r="C64" s="198">
        <f ca="1">D45</f>
        <v>132651</v>
      </c>
      <c r="D64" s="199" t="s">
        <v>32</v>
      </c>
      <c r="E64" s="200"/>
      <c r="F64" s="2485"/>
      <c r="G64" s="2485"/>
      <c r="H64" s="2493"/>
      <c r="I64" s="137"/>
      <c r="J64" s="3198"/>
      <c r="K64" s="2495" t="s">
        <v>2236</v>
      </c>
      <c r="L64" s="1751">
        <f ca="1">IF(M49&gt;2000,M49*0.5%,IF(AND(M49&gt;1000,M49&lt;=2000),M49*0.6%,IF(AND(M49&gt;500,M49&lt;=1000),M49*0.7%,IF(AND(M49&gt;200,M49&lt;=500),M49*0.8%,IF(AND(M49&gt;100,M49&lt;=200),M49*0.9%,IF(AND(M49&gt;50,M49&lt;=100),M49*1%,IF(AND(M49&gt;20,M49&lt;=50),M49*1.5%,IF(AND(M49&gt;10,M49&lt;=20),M49*2%,IF(AND(M49&gt;1,M49&lt;=10),M49*2.5%)))))))))</f>
        <v>663.255</v>
      </c>
      <c r="M64" s="24">
        <f t="shared" ref="M64:M65" ca="1" si="1">ROUND(L64,1)</f>
        <v>663.3</v>
      </c>
      <c r="N64" s="137" t="s">
        <v>2237</v>
      </c>
      <c r="Z64" s="2419"/>
      <c r="AI64" s="2420"/>
    </row>
    <row r="65" spans="1:35" ht="14.25" customHeight="1">
      <c r="A65" s="196" t="s">
        <v>771</v>
      </c>
      <c r="B65" s="197" t="s">
        <v>2238</v>
      </c>
      <c r="C65" s="201"/>
      <c r="D65" s="199"/>
      <c r="E65" s="200"/>
      <c r="F65" s="2485"/>
      <c r="G65" s="2485"/>
      <c r="H65" s="2493"/>
      <c r="I65" s="137"/>
      <c r="J65" s="3198"/>
      <c r="K65" s="2495" t="s">
        <v>2239</v>
      </c>
      <c r="L65" s="1751">
        <f ca="1">IF(M49&gt;1000,M49*0.1%,IF(AND(M49&gt;500,M49&lt;=1000),M49*0.5%,IF(AND(M49&gt;50,M49&lt;=500),M49*1%,IF(AND(M49&gt;1,M49&lt;=50),M49*1.5%))))</f>
        <v>132.65100000000001</v>
      </c>
      <c r="M65" s="24">
        <f t="shared" ca="1" si="1"/>
        <v>132.69999999999999</v>
      </c>
      <c r="N65" s="137" t="s">
        <v>2237</v>
      </c>
      <c r="Z65" s="2419"/>
      <c r="AI65" s="2420"/>
    </row>
    <row r="66" spans="1:35" ht="14.25" customHeight="1">
      <c r="A66" s="202" t="s">
        <v>772</v>
      </c>
      <c r="B66" s="203" t="s">
        <v>2240</v>
      </c>
      <c r="C66" s="204"/>
      <c r="D66" s="205" t="s">
        <v>32</v>
      </c>
      <c r="E66" s="1775" t="s">
        <v>1371</v>
      </c>
      <c r="F66" s="2485"/>
      <c r="G66" s="2485"/>
      <c r="H66" s="2493"/>
      <c r="I66" s="137"/>
      <c r="J66" s="3198"/>
      <c r="K66" s="2495" t="s">
        <v>2241</v>
      </c>
      <c r="L66" s="1751">
        <f ca="1">M49*0.5%</f>
        <v>663.255</v>
      </c>
      <c r="M66" s="24">
        <f ca="1">IF(L66&gt;0.5,0.5,ROUND(L66,0))</f>
        <v>0.5</v>
      </c>
      <c r="N66" s="137" t="s">
        <v>2242</v>
      </c>
      <c r="Z66" s="2419"/>
      <c r="AI66" s="2420"/>
    </row>
    <row r="67" spans="1:35" ht="14.25" customHeight="1">
      <c r="A67" s="202" t="s">
        <v>773</v>
      </c>
      <c r="B67" s="203" t="s">
        <v>2243</v>
      </c>
      <c r="C67" s="206">
        <f ca="1">C63-C66</f>
        <v>126334</v>
      </c>
      <c r="D67" s="199" t="s">
        <v>32</v>
      </c>
      <c r="E67" s="200"/>
      <c r="F67" s="2485"/>
      <c r="G67" s="2485"/>
      <c r="H67" s="2493"/>
      <c r="I67" s="137"/>
      <c r="J67" s="3198"/>
      <c r="K67" s="2495" t="s">
        <v>2244</v>
      </c>
      <c r="L67" s="1751">
        <f ca="1">IF(M49&gt;=10000,(8.25+(M49-10000)*0.01%),IF(AND(M49&gt;=8000,M49&lt;10000),(7.85+(M49-8000)*0.02%),IF(AND(M49&gt;=5000,M49&lt;8000),(6.65+(M49-5000)*0.04%),IF(AND(M49&gt;=2000,M49&lt;5000),(4.25+(PM49-2000)*0.08%),IF(AND(M49&gt;=1000,M49&lt;2000),(2.75+(M49-1000)*0.15%),IF(AND(M49&gt;=100,M49&lt;1000),(0.5+(M49-100)*0.25%),IF(AND(M49&gt;0,M49&lt;100),M49*0.5%)))))))</f>
        <v>20.5151</v>
      </c>
      <c r="M67" s="24">
        <f ca="1">ROUND(L67*0.9,1)</f>
        <v>18.5</v>
      </c>
      <c r="Z67" s="2419"/>
      <c r="AI67" s="2420"/>
    </row>
    <row r="68" spans="1:35" ht="14.25" customHeight="1" thickBot="1">
      <c r="A68" s="207" t="s">
        <v>774</v>
      </c>
      <c r="B68" s="208" t="s">
        <v>2245</v>
      </c>
      <c r="C68" s="209">
        <f ca="1">IF(C67&lt;=0,0,ROUND(C67*D68,0))</f>
        <v>7075</v>
      </c>
      <c r="D68" s="210">
        <f>'数据-取费表'!B41</f>
        <v>5.6000000000000001E-2</v>
      </c>
      <c r="E68" s="211"/>
      <c r="F68" s="2485"/>
      <c r="G68" s="2485"/>
      <c r="H68" s="2493"/>
      <c r="I68" s="137"/>
      <c r="J68" s="3198"/>
      <c r="K68" s="2495" t="s">
        <v>2246</v>
      </c>
      <c r="L68" s="1751">
        <f ca="1">IF(M49&gt;10000,M49*0.5%,IF(AND(M49&gt;5000,M49&lt;=10000),M49*1%,IF(AND(M49&gt;1000,M49&lt;=5000),M49*2%,IF(AND(M49&gt;200,M49&lt;=1000),M49*3%,M49*5%))))</f>
        <v>663.255</v>
      </c>
      <c r="M68" s="24">
        <f ca="1">ROUND(L68,1)</f>
        <v>663.3</v>
      </c>
      <c r="Z68" s="2419"/>
      <c r="AI68" s="2420"/>
    </row>
    <row r="69" spans="1:35" s="2442" customFormat="1" ht="16.5" customHeight="1">
      <c r="A69" s="2496"/>
      <c r="B69" s="2497"/>
      <c r="C69" s="2498"/>
      <c r="D69" s="2499"/>
      <c r="E69" s="2500"/>
      <c r="F69" s="2163"/>
      <c r="G69" s="2163"/>
      <c r="H69" s="2162"/>
      <c r="I69" s="2414"/>
      <c r="J69" s="3198"/>
      <c r="K69" s="2495" t="s">
        <v>2247</v>
      </c>
      <c r="L69" s="2501"/>
      <c r="M69" s="24">
        <f ca="1">ROUND(SUM(M63:M68),0)</f>
        <v>2142</v>
      </c>
      <c r="N69" s="1752">
        <f ca="1">M69/M49</f>
        <v>1.6147635524798153E-2</v>
      </c>
      <c r="O69" s="794"/>
      <c r="P69" s="794"/>
      <c r="Q69" s="794"/>
      <c r="R69" s="794"/>
      <c r="S69" s="794"/>
      <c r="T69" s="794"/>
      <c r="U69" s="794"/>
      <c r="V69" s="794"/>
      <c r="W69" s="794"/>
      <c r="X69" s="794"/>
      <c r="Y69" s="794"/>
      <c r="Z69" s="2419"/>
      <c r="AA69" s="2419"/>
      <c r="AB69" s="2419"/>
      <c r="AC69" s="2419"/>
      <c r="AD69" s="2419"/>
      <c r="AE69" s="2419"/>
      <c r="AF69" s="2419"/>
      <c r="AG69" s="2419"/>
      <c r="AH69" s="2419"/>
    </row>
    <row r="70" spans="1:35" s="2503" customFormat="1" ht="15" thickBot="1">
      <c r="A70" s="3157" t="s">
        <v>2248</v>
      </c>
      <c r="B70" s="3158"/>
      <c r="C70" s="3158"/>
      <c r="D70" s="3158"/>
      <c r="E70" s="3158"/>
      <c r="F70" s="3158"/>
      <c r="G70" s="3158"/>
      <c r="H70" s="3158"/>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36" t="s">
        <v>2229</v>
      </c>
      <c r="B71" s="3137"/>
      <c r="C71" s="1803"/>
      <c r="D71" s="1803" t="s">
        <v>2230</v>
      </c>
      <c r="E71" s="212" t="s">
        <v>2231</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2" t="s">
        <v>775</v>
      </c>
      <c r="B72" s="203" t="s">
        <v>2249</v>
      </c>
      <c r="C72" s="206">
        <f ca="1">ROUND(D45/(1+'数据-取费表'!C42),0)</f>
        <v>126334</v>
      </c>
      <c r="D72" s="199" t="s">
        <v>32</v>
      </c>
      <c r="E72" s="1802"/>
      <c r="F72" s="1796"/>
      <c r="G72" s="1796"/>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2" t="s">
        <v>772</v>
      </c>
      <c r="B73" s="172" t="s">
        <v>2250</v>
      </c>
      <c r="C73" s="206">
        <f ca="1">C74+C78</f>
        <v>758</v>
      </c>
      <c r="D73" s="199" t="s">
        <v>32</v>
      </c>
      <c r="E73" s="1802"/>
      <c r="F73" s="1796"/>
      <c r="G73" s="1796"/>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6" t="s">
        <v>770</v>
      </c>
      <c r="B74" s="197" t="s">
        <v>2251</v>
      </c>
      <c r="C74" s="199">
        <f>ROUND(IF(G77="2016年5月1日后购买",C75/(1+'数据-取费表'!C42)+C76+C77,C75+C76+C77),0)</f>
        <v>0</v>
      </c>
      <c r="D74" s="199" t="s">
        <v>32</v>
      </c>
      <c r="E74" s="1802"/>
      <c r="F74" s="1796"/>
      <c r="G74" s="1796"/>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6" t="s">
        <v>776</v>
      </c>
      <c r="B75" s="197" t="s">
        <v>2252</v>
      </c>
      <c r="C75" s="217"/>
      <c r="D75" s="199" t="s">
        <v>32</v>
      </c>
      <c r="E75" s="218" t="s">
        <v>2253</v>
      </c>
      <c r="F75" s="2507" t="s">
        <v>2254</v>
      </c>
      <c r="G75" s="218" t="s">
        <v>2255</v>
      </c>
      <c r="H75" s="219"/>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6" t="s">
        <v>777</v>
      </c>
      <c r="B76" s="220" t="s">
        <v>2256</v>
      </c>
      <c r="C76" s="199">
        <f>IF(F75="购房发票",ROUND(C75*H75*D76,0),0)</f>
        <v>0</v>
      </c>
      <c r="D76" s="221">
        <v>0.05</v>
      </c>
      <c r="E76" s="3131" t="s">
        <v>2257</v>
      </c>
      <c r="F76" s="3108"/>
      <c r="G76" s="3108"/>
      <c r="H76" s="3156"/>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6" t="s">
        <v>778</v>
      </c>
      <c r="B77" s="197" t="s">
        <v>2258</v>
      </c>
      <c r="C77" s="199">
        <f>ROUND(IF(G77="个人住宅",0,IF(G77="2016年5月1日前购买",C75*D77,C75*D77/(1+'数据-取费表'!C42))),0)</f>
        <v>0</v>
      </c>
      <c r="D77" s="222">
        <f>'数据-取费表'!B48+'数据-取费表'!B49</f>
        <v>3.0499999999999999E-2</v>
      </c>
      <c r="E77" s="15" t="s">
        <v>2259</v>
      </c>
      <c r="F77" s="223"/>
      <c r="G77" s="2509" t="s">
        <v>2260</v>
      </c>
      <c r="H77" s="1807"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6" t="s">
        <v>771</v>
      </c>
      <c r="B78" s="197" t="s">
        <v>2261</v>
      </c>
      <c r="C78" s="224">
        <f ca="1">ROUND(D45*D78/(1+'数据-取费表'!C42),0)</f>
        <v>758</v>
      </c>
      <c r="D78" s="225">
        <f>'数据-取费表'!B43</f>
        <v>6.000000000000001E-3</v>
      </c>
      <c r="E78" s="3117" t="s">
        <v>2262</v>
      </c>
      <c r="F78" s="3118"/>
      <c r="G78" s="3118"/>
      <c r="H78" s="3127"/>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3" t="s">
        <v>2263</v>
      </c>
      <c r="C79" s="206">
        <f ca="1">C72-C73</f>
        <v>125576</v>
      </c>
      <c r="D79" s="199" t="s">
        <v>32</v>
      </c>
      <c r="E79" s="1802"/>
      <c r="F79" s="1796"/>
      <c r="G79" s="1796"/>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3" t="s">
        <v>2264</v>
      </c>
      <c r="C80" s="226">
        <f ca="1">IF(C79&lt;=0,0,C79/C73)</f>
        <v>165.66754617414247</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8" t="s">
        <v>2265</v>
      </c>
      <c r="C81" s="227">
        <f ca="1">ROUND(IF(C79&lt;=0,0,IF(C80&gt;=200%,C79*60%-C73*35%,IF(C80&gt;=100%,C79*50%-C73*15%,IF(C80&gt;=50%,C79*40%-C73*5%,IF(C80&lt;50%,C79*30%,0))))),0)</f>
        <v>75080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2"/>
      <c r="B82" s="733"/>
      <c r="C82" s="7"/>
      <c r="D82" s="7"/>
      <c r="E82" s="733"/>
      <c r="F82" s="733"/>
      <c r="G82" s="733"/>
      <c r="H82" s="734"/>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57" t="s">
        <v>2266</v>
      </c>
      <c r="B83" s="3158"/>
      <c r="C83" s="3158"/>
      <c r="D83" s="3158"/>
      <c r="E83" s="3158"/>
      <c r="F83" s="3158"/>
      <c r="G83" s="3158"/>
      <c r="H83" s="3158"/>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36" t="s">
        <v>2229</v>
      </c>
      <c r="B84" s="3137"/>
      <c r="C84" s="1803"/>
      <c r="D84" s="1803" t="s">
        <v>2230</v>
      </c>
      <c r="E84" s="212" t="s">
        <v>2231</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2" t="s">
        <v>775</v>
      </c>
      <c r="B85" s="203" t="s">
        <v>2249</v>
      </c>
      <c r="C85" s="206">
        <f ca="1">ROUND(D45/(1+'数据-取费表'!C42),0)</f>
        <v>126334</v>
      </c>
      <c r="D85" s="199" t="s">
        <v>32</v>
      </c>
      <c r="E85" s="1802"/>
      <c r="F85" s="1796"/>
      <c r="G85" s="1796"/>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2" t="s">
        <v>772</v>
      </c>
      <c r="B86" s="172" t="s">
        <v>2250</v>
      </c>
      <c r="C86" s="206">
        <f ca="1">IF(H88="仅含出让金",C87+C90+C91+C92+C93+C94,C87+C91+C92+C93+C94)</f>
        <v>758</v>
      </c>
      <c r="D86" s="234"/>
      <c r="E86" s="1802"/>
      <c r="F86" s="1796"/>
      <c r="G86" s="1796"/>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6" t="s">
        <v>770</v>
      </c>
      <c r="B87" s="197" t="s">
        <v>2267</v>
      </c>
      <c r="C87" s="224">
        <f>C88+C89</f>
        <v>0</v>
      </c>
      <c r="D87" s="225"/>
      <c r="E87" s="1798"/>
      <c r="F87" s="1799"/>
      <c r="G87" s="1799"/>
      <c r="H87" s="1801"/>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6" t="s">
        <v>776</v>
      </c>
      <c r="B88" s="197" t="s">
        <v>2268</v>
      </c>
      <c r="C88" s="235"/>
      <c r="D88" s="225"/>
      <c r="E88" s="236" t="s">
        <v>2269</v>
      </c>
      <c r="F88" s="1799"/>
      <c r="G88" s="237" t="s">
        <v>2270</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6" t="s">
        <v>777</v>
      </c>
      <c r="B89" s="197" t="s">
        <v>2258</v>
      </c>
      <c r="C89" s="224">
        <f>ROUND(C88*D89,0)</f>
        <v>0</v>
      </c>
      <c r="D89" s="225">
        <f>'数据-取费表'!B48+'数据-取费表'!B49</f>
        <v>3.0499999999999999E-2</v>
      </c>
      <c r="E89" s="236" t="s">
        <v>2271</v>
      </c>
      <c r="F89" s="1799"/>
      <c r="G89" s="1799"/>
      <c r="H89" s="1801"/>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6" t="s">
        <v>771</v>
      </c>
      <c r="B90" s="197" t="s">
        <v>2272</v>
      </c>
      <c r="C90" s="235"/>
      <c r="D90" s="225"/>
      <c r="E90" s="236" t="str">
        <f>IF(H88="-","土地取得成本中已包含该笔费用"," ")</f>
        <v xml:space="preserve"> </v>
      </c>
      <c r="F90" s="1799"/>
      <c r="G90" s="1799"/>
      <c r="H90" s="1801"/>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6" t="s">
        <v>2273</v>
      </c>
      <c r="B91" s="197" t="s">
        <v>2274</v>
      </c>
      <c r="C91" s="224">
        <f>IF(H91="——",成本法!C33,I91)</f>
        <v>0</v>
      </c>
      <c r="D91" s="225"/>
      <c r="E91" s="3117" t="s">
        <v>2275</v>
      </c>
      <c r="F91" s="3118"/>
      <c r="G91" s="3118"/>
      <c r="H91" s="2514" t="s">
        <v>2276</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6" t="s">
        <v>2277</v>
      </c>
      <c r="B92" s="197" t="s">
        <v>2278</v>
      </c>
      <c r="C92" s="224">
        <f>ROUND((C87+C90+C91)*D92,0)</f>
        <v>0</v>
      </c>
      <c r="D92" s="225">
        <v>0.1</v>
      </c>
      <c r="E92" s="3117" t="s">
        <v>2279</v>
      </c>
      <c r="F92" s="3118"/>
      <c r="G92" s="3118"/>
      <c r="H92" s="3127"/>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6" t="s">
        <v>2280</v>
      </c>
      <c r="B93" s="197" t="s">
        <v>2261</v>
      </c>
      <c r="C93" s="224">
        <f ca="1">ROUND(D45*D93/(1+'数据-取费表'!C42),0)</f>
        <v>758</v>
      </c>
      <c r="D93" s="225">
        <f>'数据-取费表'!B43</f>
        <v>6.000000000000001E-3</v>
      </c>
      <c r="E93" s="3117" t="s">
        <v>2262</v>
      </c>
      <c r="F93" s="3118"/>
      <c r="G93" s="3118"/>
      <c r="H93" s="3127"/>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6" t="s">
        <v>2281</v>
      </c>
      <c r="B94" s="197" t="s">
        <v>2282</v>
      </c>
      <c r="C94" s="235">
        <f>ROUND((C87+C90+C91)*D94,0)</f>
        <v>0</v>
      </c>
      <c r="D94" s="225">
        <v>0.2</v>
      </c>
      <c r="E94" s="3128" t="s">
        <v>2283</v>
      </c>
      <c r="F94" s="3129"/>
      <c r="G94" s="3129"/>
      <c r="H94" s="3130"/>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3" t="s">
        <v>2263</v>
      </c>
      <c r="C95" s="206">
        <f ca="1">ROUND(C85-C86,0)</f>
        <v>125576</v>
      </c>
      <c r="D95" s="199" t="s">
        <v>32</v>
      </c>
      <c r="E95" s="1802"/>
      <c r="F95" s="1796"/>
      <c r="G95" s="1796"/>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3" t="s">
        <v>2264</v>
      </c>
      <c r="C96" s="226">
        <f ca="1">IF(C95&lt;=0,0,C95/C86)</f>
        <v>165.66754617414247</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8" t="s">
        <v>2265</v>
      </c>
      <c r="C97" s="227">
        <f ca="1">ROUND(IF(C95&lt;=0,0,IF(C96&gt;=200%,C95*60%-C86*35%,IF(C96&gt;=100%,C95*50%-C86*15%,IF(C96&gt;=50%,C95*40%-C86*5%,IF(C96&lt;50%,C95*30%,0))))),0)</f>
        <v>75080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3"/>
      <c r="F98" s="2163"/>
      <c r="G98" s="2163"/>
      <c r="H98" s="2162"/>
      <c r="I98" s="137"/>
    </row>
    <row r="99" spans="1:35" ht="21.75" customHeight="1" thickBot="1">
      <c r="A99" s="2470" t="s">
        <v>2284</v>
      </c>
      <c r="B99" s="2414"/>
      <c r="C99" s="2414"/>
      <c r="D99" s="2414"/>
      <c r="E99" s="2163"/>
      <c r="F99" s="2163"/>
      <c r="G99" s="2163"/>
      <c r="H99" s="2162"/>
      <c r="I99" s="137"/>
    </row>
    <row r="100" spans="1:35" ht="18.75" customHeight="1">
      <c r="A100" s="3102" t="s">
        <v>2285</v>
      </c>
      <c r="B100" s="3103"/>
      <c r="C100" s="3103"/>
      <c r="D100" s="3119"/>
      <c r="E100" s="3103" t="s">
        <v>2286</v>
      </c>
      <c r="F100" s="3103"/>
      <c r="G100" s="3103"/>
      <c r="H100" s="3119"/>
      <c r="I100" s="137"/>
    </row>
    <row r="101" spans="1:35" ht="18.75" customHeight="1">
      <c r="A101" s="3181" t="s">
        <v>2287</v>
      </c>
      <c r="B101" s="3182"/>
      <c r="C101" s="735" t="str">
        <f>C4</f>
        <v>成本法</v>
      </c>
      <c r="D101" s="736" t="str">
        <f>D4</f>
        <v>假设开发法</v>
      </c>
      <c r="E101" s="3195" t="s">
        <v>2288</v>
      </c>
      <c r="F101" s="3149"/>
      <c r="G101" s="2516" t="s">
        <v>2289</v>
      </c>
      <c r="H101" s="1047">
        <f ca="1">H118</f>
        <v>132651</v>
      </c>
      <c r="I101" s="137"/>
    </row>
    <row r="102" spans="1:35" ht="18.75" customHeight="1">
      <c r="A102" s="3151" t="s">
        <v>2290</v>
      </c>
      <c r="B102" s="2516" t="s">
        <v>2289</v>
      </c>
      <c r="C102" s="735">
        <f ca="1">C19</f>
        <v>131664</v>
      </c>
      <c r="D102" s="736">
        <f ca="1">D19</f>
        <v>133637</v>
      </c>
      <c r="E102" s="3195"/>
      <c r="F102" s="3149"/>
      <c r="G102" s="2516" t="s">
        <v>2291</v>
      </c>
      <c r="H102" s="370">
        <f ca="1">I118</f>
        <v>7427</v>
      </c>
      <c r="I102" s="137"/>
    </row>
    <row r="103" spans="1:35" ht="42.75" customHeight="1">
      <c r="A103" s="3151"/>
      <c r="B103" s="2516" t="s">
        <v>2291</v>
      </c>
      <c r="C103" s="737">
        <f ca="1">C20</f>
        <v>7371</v>
      </c>
      <c r="D103" s="738">
        <f ca="1">D20</f>
        <v>7482</v>
      </c>
      <c r="E103" s="3190" t="s">
        <v>2292</v>
      </c>
      <c r="F103" s="3191"/>
      <c r="G103" s="2517" t="s">
        <v>2293</v>
      </c>
      <c r="H103" s="1047">
        <f>IF(D36="正常操作",H104+H105+H106,H105+H106)</f>
        <v>0</v>
      </c>
      <c r="I103" s="137"/>
    </row>
    <row r="104" spans="1:35" ht="18.75" customHeight="1">
      <c r="A104" s="3151" t="s">
        <v>2294</v>
      </c>
      <c r="B104" s="2518" t="s">
        <v>2289</v>
      </c>
      <c r="C104" s="739">
        <f ca="1">H118</f>
        <v>132651</v>
      </c>
      <c r="D104" s="740"/>
      <c r="E104" s="2263" t="s">
        <v>2295</v>
      </c>
      <c r="F104" s="2255"/>
      <c r="G104" s="2517" t="s">
        <v>2293</v>
      </c>
      <c r="H104" s="1048">
        <f>IF(D36="同一抵押权人同一抵押物续贷",C36&amp;"（未扣减，详见特别提示）",C36)</f>
        <v>0</v>
      </c>
      <c r="I104" s="137"/>
    </row>
    <row r="105" spans="1:35" ht="18.75" customHeight="1" thickBot="1">
      <c r="A105" s="3152"/>
      <c r="B105" s="2519" t="s">
        <v>2291</v>
      </c>
      <c r="C105" s="741">
        <f ca="1">I118</f>
        <v>7427</v>
      </c>
      <c r="D105" s="742"/>
      <c r="E105" s="2263" t="s">
        <v>2296</v>
      </c>
      <c r="F105" s="2255"/>
      <c r="G105" s="2517" t="s">
        <v>2293</v>
      </c>
      <c r="H105" s="1048">
        <f>C37</f>
        <v>0</v>
      </c>
      <c r="I105" s="137"/>
    </row>
    <row r="106" spans="1:35" ht="18.75" customHeight="1">
      <c r="A106" s="2414" t="s">
        <v>2297</v>
      </c>
      <c r="B106" s="2414"/>
      <c r="C106" s="2414"/>
      <c r="D106" s="2414"/>
      <c r="E106" s="2520" t="s">
        <v>2298</v>
      </c>
      <c r="F106" s="2255"/>
      <c r="G106" s="2517" t="s">
        <v>2293</v>
      </c>
      <c r="H106" s="1048">
        <f>C38</f>
        <v>0</v>
      </c>
      <c r="I106" s="137"/>
    </row>
    <row r="107" spans="1:35" ht="18.75" customHeight="1">
      <c r="A107" s="137"/>
      <c r="B107" s="137"/>
      <c r="C107" s="137"/>
      <c r="D107" s="137"/>
      <c r="E107" s="3148" t="str">
        <f>IF(项目基本情况!E8="已注销","——","3.房地产抵押价值")</f>
        <v>3.房地产抵押价值</v>
      </c>
      <c r="F107" s="3149"/>
      <c r="G107" s="2516" t="s">
        <v>2289</v>
      </c>
      <c r="H107" s="1047">
        <f ca="1">IF(E107="——","——",H101-H103)</f>
        <v>132651</v>
      </c>
      <c r="I107" s="137"/>
    </row>
    <row r="108" spans="1:35" ht="18.75" customHeight="1">
      <c r="A108" s="137"/>
      <c r="B108" s="137"/>
      <c r="C108" s="137"/>
      <c r="D108" s="137"/>
      <c r="E108" s="3148"/>
      <c r="F108" s="3149"/>
      <c r="G108" s="2516" t="s">
        <v>2291</v>
      </c>
      <c r="H108" s="370">
        <f ca="1">ROUND(H107*10000/'数据-汇总表'!E3,0)</f>
        <v>7427</v>
      </c>
      <c r="I108" s="137"/>
    </row>
    <row r="109" spans="1:35" ht="18.75" customHeight="1">
      <c r="A109" s="137"/>
      <c r="B109" s="137"/>
      <c r="C109" s="137"/>
      <c r="D109" s="137"/>
      <c r="E109" s="3148" t="str">
        <f>IF(项目基本情况!E8="已注销及未注销","4.抵押担保权已注销时的房地产抵押价值",IF(项目基本情况!E8="已注销","3.抵押担保权已注销时的房地产抵押价值","——"))</f>
        <v>——</v>
      </c>
      <c r="F109" s="3149"/>
      <c r="G109" s="2516" t="s">
        <v>2289</v>
      </c>
      <c r="H109" s="347" t="str">
        <f>IF(E109="——","——",H101-H105-H106)</f>
        <v>——</v>
      </c>
      <c r="I109" s="137"/>
    </row>
    <row r="110" spans="1:35" ht="18.75" customHeight="1">
      <c r="A110" s="137"/>
      <c r="B110" s="137"/>
      <c r="C110" s="137"/>
      <c r="D110" s="137"/>
      <c r="E110" s="3148"/>
      <c r="F110" s="3149"/>
      <c r="G110" s="2516" t="s">
        <v>2291</v>
      </c>
      <c r="H110" s="370" t="str">
        <f>IF(H109="——","——",ROUND(H109*10000/'数据-汇总表'!E3,0))</f>
        <v>——</v>
      </c>
      <c r="I110" s="137"/>
    </row>
    <row r="111" spans="1:35" ht="18.75" customHeight="1">
      <c r="A111" s="137"/>
      <c r="B111" s="137"/>
      <c r="C111" s="137"/>
      <c r="D111" s="137"/>
      <c r="E111" s="3183" t="str">
        <f>IF(项目基本情况!E9="抵押净值",IF(OR(项目基本情况!E8="已注销",项目基本情况!E8="房地产抵押价值"),"4.抵押净值","5.抵押净值"),"——")</f>
        <v>——</v>
      </c>
      <c r="F111" s="3184"/>
      <c r="G111" s="2516" t="s">
        <v>2289</v>
      </c>
      <c r="H111" s="1047" t="str">
        <f>IF(E111="——","——",N59)</f>
        <v>——</v>
      </c>
      <c r="I111" s="137"/>
    </row>
    <row r="112" spans="1:35" ht="18.75" customHeight="1" thickBot="1">
      <c r="A112" s="137"/>
      <c r="B112" s="137"/>
      <c r="C112" s="137"/>
      <c r="D112" s="137"/>
      <c r="E112" s="3185"/>
      <c r="F112" s="3186"/>
      <c r="G112" s="2521" t="s">
        <v>2291</v>
      </c>
      <c r="H112" s="789" t="str">
        <f>IF(E111="——","——",N61)</f>
        <v>——</v>
      </c>
      <c r="I112" s="137"/>
    </row>
    <row r="113" spans="1:11" ht="18.75" customHeight="1">
      <c r="A113" s="137"/>
      <c r="B113" s="137"/>
      <c r="C113" s="137"/>
      <c r="D113" s="137"/>
      <c r="E113" s="3153" t="s">
        <v>2297</v>
      </c>
      <c r="F113" s="3153"/>
      <c r="G113" s="3153"/>
      <c r="H113" s="3153"/>
      <c r="I113" s="137"/>
    </row>
    <row r="114" spans="1:11" ht="3.75" customHeight="1">
      <c r="A114" s="2414"/>
      <c r="B114" s="2414"/>
      <c r="C114" s="2414"/>
      <c r="D114" s="2414"/>
      <c r="E114" s="2492"/>
      <c r="F114" s="2492"/>
      <c r="G114" s="2492"/>
      <c r="H114" s="2492"/>
      <c r="I114" s="2414"/>
    </row>
    <row r="115" spans="1:11" ht="18.75" customHeight="1">
      <c r="A115" s="3166" t="s">
        <v>2299</v>
      </c>
      <c r="B115" s="3167"/>
      <c r="C115" s="3167"/>
      <c r="D115" s="3167"/>
      <c r="E115" s="3167"/>
      <c r="F115" s="3167"/>
      <c r="G115" s="3167"/>
      <c r="H115" s="3167"/>
      <c r="I115" s="3168"/>
    </row>
    <row r="116" spans="1:11" ht="27" customHeight="1">
      <c r="A116" s="3059" t="s">
        <v>2300</v>
      </c>
      <c r="B116" s="3154" t="s">
        <v>2301</v>
      </c>
      <c r="C116" s="3154" t="s">
        <v>3127</v>
      </c>
      <c r="D116" s="3170" t="s">
        <v>2302</v>
      </c>
      <c r="E116" s="3171"/>
      <c r="F116" s="3162" t="s">
        <v>2303</v>
      </c>
      <c r="G116" s="3162"/>
      <c r="H116" s="3059" t="s">
        <v>2304</v>
      </c>
      <c r="I116" s="3059"/>
    </row>
    <row r="117" spans="1:11" ht="18.75" customHeight="1">
      <c r="A117" s="3059"/>
      <c r="B117" s="3155"/>
      <c r="C117" s="3155"/>
      <c r="D117" s="1797" t="s">
        <v>2305</v>
      </c>
      <c r="E117" s="1797" t="s">
        <v>2306</v>
      </c>
      <c r="F117" s="1797" t="s">
        <v>2305</v>
      </c>
      <c r="G117" s="1797" t="s">
        <v>2307</v>
      </c>
      <c r="H117" s="1797" t="s">
        <v>2305</v>
      </c>
      <c r="I117" s="1797" t="s">
        <v>2307</v>
      </c>
    </row>
    <row r="118" spans="1:11" ht="24.75" customHeight="1">
      <c r="A118" s="2522" t="str">
        <f>项目基本情况!S2</f>
        <v>贵州省遵义市新蒲新区府前路出让国有建设用地使用权及在建建筑物房地产</v>
      </c>
      <c r="B118" s="1797">
        <f>M18</f>
        <v>178615</v>
      </c>
      <c r="C118" s="1797">
        <f>M19</f>
        <v>81202</v>
      </c>
      <c r="D118" s="1797">
        <f ca="1">ROUND(IF(D32="总价",C34,E118*B118/10000),0)</f>
        <v>20561</v>
      </c>
      <c r="E118" s="1797">
        <f ca="1">ROUND(IF(C33="自定义",IF(D32="楼面单价",C34,D118*10000/B118),I118-G118),0)</f>
        <v>1151</v>
      </c>
      <c r="F118" s="1797">
        <f ca="1">ROUND(IF(D32="总价",C35,G118*B118/10000),0)</f>
        <v>112090</v>
      </c>
      <c r="G118" s="1797">
        <f ca="1">ROUND(IF(D32="楼面单价",C35,F118*10000/B118),0)</f>
        <v>6276</v>
      </c>
      <c r="H118" s="1797">
        <f ca="1">ROUND(IF(D32="总价",C32,I118*B118/10000),0)</f>
        <v>132651</v>
      </c>
      <c r="I118" s="1797">
        <f ca="1">ROUND(IF(D32="楼面单价",C32,H118*10000/B118),0)</f>
        <v>7427</v>
      </c>
    </row>
    <row r="119" spans="1:11" ht="18.75" customHeight="1">
      <c r="A119" s="3059" t="s">
        <v>2308</v>
      </c>
      <c r="B119" s="3059"/>
      <c r="C119" s="3059"/>
      <c r="D119" s="3159" t="str">
        <f ca="1">NUMBERSTRING(INT(D118*10000),2)&amp;"元整"</f>
        <v>贰亿零伍佰陆拾壹万元整</v>
      </c>
      <c r="E119" s="3161"/>
      <c r="F119" s="3159" t="str">
        <f ca="1">NUMBERSTRING(INT(F118*10000),2)&amp;"元整"</f>
        <v>壹拾壹亿贰仟零玖拾万元整</v>
      </c>
      <c r="G119" s="3161"/>
      <c r="H119" s="3159" t="str">
        <f ca="1">NUMBERSTRING(INT(H118*10000),2)&amp;"元整"</f>
        <v>壹拾叁亿贰仟陆佰伍拾壹万元整</v>
      </c>
      <c r="I119" s="3161"/>
    </row>
    <row r="120" spans="1:11" ht="18.75" customHeight="1">
      <c r="A120" s="3187" t="str">
        <f>IF(项目基本情况!B9="房地产市场价值","",MID(E103,3,LEN(E103)-2))</f>
        <v>估价师知悉的法定优先受偿款</v>
      </c>
      <c r="B120" s="3188"/>
      <c r="C120" s="3189"/>
      <c r="D120" s="3187">
        <f>H103</f>
        <v>0</v>
      </c>
      <c r="E120" s="3188"/>
      <c r="F120" s="3188"/>
      <c r="G120" s="3188"/>
      <c r="H120" s="3188"/>
      <c r="I120" s="3189"/>
      <c r="K120" s="2419" t="str">
        <f>IF(D120=0,"故，本次评估不存在"&amp;A120,"故，本次评估"&amp;A120&amp;"为人民币"&amp;D120&amp;"万元整。")</f>
        <v>故，本次评估不存在估价师知悉的法定优先受偿款</v>
      </c>
    </row>
    <row r="121" spans="1:11" ht="18.75" customHeight="1">
      <c r="A121" s="3163" t="s">
        <v>2308</v>
      </c>
      <c r="B121" s="3164"/>
      <c r="C121" s="3165"/>
      <c r="D121" s="3159" t="str">
        <f>IF(D120=0,"零元整",NUMBERSTRING(INT(D120*10000),2)&amp;"元整")</f>
        <v>零元整</v>
      </c>
      <c r="E121" s="3160"/>
      <c r="F121" s="3160"/>
      <c r="G121" s="3160"/>
      <c r="H121" s="3160"/>
      <c r="I121" s="3161"/>
    </row>
    <row r="122" spans="1:11" ht="18.75" customHeight="1">
      <c r="A122" s="3150" t="str">
        <f>IF(项目基本情况!B9="房地产市场价值","",MID(E107,3,LEN(E107)-2))</f>
        <v>房地产抵押价值</v>
      </c>
      <c r="B122" s="3150"/>
      <c r="C122" s="3150"/>
      <c r="D122" s="3187">
        <f ca="1">H107</f>
        <v>132651</v>
      </c>
      <c r="E122" s="3188"/>
      <c r="F122" s="3188"/>
      <c r="G122" s="3188"/>
      <c r="H122" s="3188"/>
      <c r="I122" s="3189"/>
    </row>
    <row r="123" spans="1:11" ht="18.75" customHeight="1">
      <c r="A123" s="3059" t="s">
        <v>2308</v>
      </c>
      <c r="B123" s="3059"/>
      <c r="C123" s="3059"/>
      <c r="D123" s="3159" t="str">
        <f ca="1">NUMBERSTRING(INT(D122*10000),2)&amp;"元整"</f>
        <v>壹拾叁亿贰仟陆佰伍拾壹万元整</v>
      </c>
      <c r="E123" s="3160"/>
      <c r="F123" s="3160"/>
      <c r="G123" s="3160"/>
      <c r="H123" s="3160"/>
      <c r="I123" s="3161"/>
    </row>
    <row r="124" spans="1:11" ht="18.75" customHeight="1">
      <c r="A124" s="3150" t="str">
        <f>IF(项目基本情况!B9="房地产市场价值","",MID(E109,3,LEN(E109)-2))</f>
        <v/>
      </c>
      <c r="B124" s="3150"/>
      <c r="C124" s="3150"/>
      <c r="D124" s="3187" t="str">
        <f>H109</f>
        <v>——</v>
      </c>
      <c r="E124" s="3188"/>
      <c r="F124" s="3188"/>
      <c r="G124" s="3188"/>
      <c r="H124" s="3188"/>
      <c r="I124" s="3189"/>
    </row>
    <row r="125" spans="1:11" ht="18.75" customHeight="1">
      <c r="A125" s="3059" t="s">
        <v>2308</v>
      </c>
      <c r="B125" s="3059"/>
      <c r="C125" s="3059"/>
      <c r="D125" s="3159" t="e">
        <f>NUMBERSTRING(INT(D124*10000),2)&amp;"元整"</f>
        <v>#VALUE!</v>
      </c>
      <c r="E125" s="3160"/>
      <c r="F125" s="3160"/>
      <c r="G125" s="3160"/>
      <c r="H125" s="3160"/>
      <c r="I125" s="3161"/>
    </row>
    <row r="126" spans="1:11" ht="18.75" customHeight="1">
      <c r="A126" s="3150" t="str">
        <f>IF(项目基本情况!B9="房地产市场价值","",MID(E111,3,LEN(E111)-2))</f>
        <v/>
      </c>
      <c r="B126" s="3150"/>
      <c r="C126" s="3150"/>
      <c r="D126" s="3187" t="str">
        <f>H111</f>
        <v>——</v>
      </c>
      <c r="E126" s="3188"/>
      <c r="F126" s="3188"/>
      <c r="G126" s="3188"/>
      <c r="H126" s="3188"/>
      <c r="I126" s="3189"/>
    </row>
    <row r="127" spans="1:11" ht="18.75" customHeight="1">
      <c r="A127" s="3059" t="s">
        <v>2308</v>
      </c>
      <c r="B127" s="3059"/>
      <c r="C127" s="3059"/>
      <c r="D127" s="3159" t="e">
        <f>NUMBERSTRING(INT(D126*10000),2)&amp;"元整"</f>
        <v>#VALUE!</v>
      </c>
      <c r="E127" s="3160"/>
      <c r="F127" s="3160"/>
      <c r="G127" s="3160"/>
      <c r="H127" s="3160"/>
      <c r="I127" s="3161"/>
    </row>
    <row r="128" spans="1:11" ht="21.75" customHeight="1">
      <c r="A128" s="3169" t="s">
        <v>2309</v>
      </c>
      <c r="B128" s="3169"/>
      <c r="C128" s="3169"/>
      <c r="D128" s="3169"/>
      <c r="E128" s="3169"/>
      <c r="F128" s="3169"/>
      <c r="G128" s="3169"/>
      <c r="H128" s="3169"/>
      <c r="I128" s="3169"/>
    </row>
    <row r="129" spans="1:35" ht="21.75" customHeight="1">
      <c r="A129" s="2523" t="s">
        <v>2310</v>
      </c>
      <c r="B129" s="2524"/>
      <c r="C129" s="2525" t="s">
        <v>2311</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4"/>
    </row>
    <row r="135" spans="1:35" ht="21.75" customHeight="1">
      <c r="A135" s="794"/>
      <c r="B135" s="794"/>
      <c r="C135" s="794"/>
      <c r="D135" s="794"/>
      <c r="E135" s="794"/>
      <c r="F135" s="2539" t="s">
        <v>2312</v>
      </c>
      <c r="G135" s="2540"/>
      <c r="H135" s="2540"/>
      <c r="I135" s="2541" t="s">
        <v>2313</v>
      </c>
    </row>
    <row r="136" spans="1:35" ht="21.75" customHeight="1">
      <c r="A136" s="794"/>
      <c r="B136" s="2542" t="s">
        <v>2314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0"/>
      <c r="C138" s="2540"/>
      <c r="D138" s="2540"/>
      <c r="E138" s="2540"/>
      <c r="F138" s="2540"/>
      <c r="G138" s="2540"/>
      <c r="H138" s="2540"/>
      <c r="I138" s="2541" t="s">
        <v>2315</v>
      </c>
    </row>
    <row r="139" spans="1:35" ht="21.75" customHeight="1">
      <c r="A139" s="794"/>
      <c r="B139" s="2542" t="s">
        <v>2316</v>
      </c>
      <c r="C139" s="794"/>
      <c r="D139" s="794"/>
      <c r="E139" s="794"/>
      <c r="F139" s="794"/>
      <c r="G139" s="794"/>
      <c r="H139" s="794"/>
      <c r="I139" s="794"/>
    </row>
    <row r="140" spans="1:35" ht="21.75" customHeight="1">
      <c r="A140" s="794"/>
      <c r="B140" s="2542"/>
      <c r="C140" s="794"/>
      <c r="D140" s="794"/>
      <c r="E140" s="794"/>
      <c r="F140" s="794"/>
      <c r="G140" s="794"/>
      <c r="H140" s="794"/>
      <c r="I140" s="794"/>
    </row>
    <row r="141" spans="1:35" ht="21.75" customHeight="1">
      <c r="A141" s="794"/>
      <c r="B141" s="2540"/>
      <c r="C141" s="2540"/>
      <c r="D141" s="2540"/>
      <c r="E141" s="2540"/>
      <c r="F141" s="2540"/>
      <c r="G141" s="2540"/>
      <c r="H141" s="2540"/>
      <c r="I141" s="2541" t="s">
        <v>2315</v>
      </c>
    </row>
    <row r="142" spans="1:35" ht="21.75" customHeight="1">
      <c r="A142" s="794"/>
      <c r="B142" s="2542"/>
      <c r="C142" s="2543"/>
      <c r="D142" s="2544"/>
      <c r="E142" s="2544"/>
      <c r="F142" s="2336"/>
      <c r="G142" s="794"/>
      <c r="H142" s="794"/>
      <c r="I142" s="794"/>
    </row>
    <row r="143" spans="1:35" s="138" customFormat="1" ht="21.75" customHeight="1">
      <c r="A143" s="794"/>
      <c r="B143" s="2542"/>
      <c r="C143" s="2543"/>
      <c r="D143" s="2544"/>
      <c r="E143" s="2544"/>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9"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9"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9"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9"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9"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9"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9"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9"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9"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9"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9"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9"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9"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9"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9"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9"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9"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9"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9"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9"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9"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9"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9"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9"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9"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9"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9"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9"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9"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9"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9"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9"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9"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9"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9"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9"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9"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9"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9"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9"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9"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9"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9"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9"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9"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9"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9"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9"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9"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9"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9"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9"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9"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9"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9"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9"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9"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9"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9"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9"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9"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9"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9"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9"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9"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9"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9"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9"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9"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9"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9"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9"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9"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9"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9"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9"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9"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9"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9"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9"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9"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9"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9"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9"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9"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9"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9"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9"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9"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9"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9"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9"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9"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9"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9"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9"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9"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9"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9"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9"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9"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9"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9"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9"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I44" sqref="I44"/>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2317</v>
      </c>
      <c r="B1" s="1939"/>
      <c r="C1" s="241"/>
      <c r="D1" s="241"/>
      <c r="E1" s="241"/>
      <c r="F1" s="241"/>
      <c r="G1" s="1381">
        <f>MATCH(B1,'数据-取费表'!A6:A16,0)+5</f>
        <v>10</v>
      </c>
    </row>
    <row r="2" spans="1:9" s="243" customFormat="1" ht="18" customHeight="1">
      <c r="A2" s="244" t="s">
        <v>2318</v>
      </c>
      <c r="B2" s="245">
        <f ca="1">IF(D2="——",C52,C52-E2)</f>
        <v>131664</v>
      </c>
      <c r="C2" s="242" t="s">
        <v>2319</v>
      </c>
      <c r="D2" s="2545" t="s">
        <v>70</v>
      </c>
      <c r="E2" s="1442" t="e">
        <f ca="1">SUMIF(INDIRECT("'"&amp;G2&amp;"'"&amp;"!A:A"),"承租人权益价值",INDIRECT("'"&amp;G2&amp;"'"&amp;"!c:c"))</f>
        <v>#REF!</v>
      </c>
      <c r="F2" s="2546" t="s">
        <v>2319</v>
      </c>
      <c r="G2" s="2547"/>
    </row>
    <row r="3" spans="1:9" s="243" customFormat="1" ht="18" customHeight="1" thickBot="1">
      <c r="A3" s="246" t="s">
        <v>2320</v>
      </c>
      <c r="B3" s="247">
        <f ca="1">ROUND(B2*10000/(IF(B1="",'数据-汇总表'!E3,INDIRECT("'数据-取费表'!k"&amp;$G$1))),0)</f>
        <v>7371</v>
      </c>
      <c r="C3" s="242" t="s">
        <v>2321</v>
      </c>
      <c r="D3" s="242"/>
      <c r="E3" s="242"/>
      <c r="F3" s="242"/>
      <c r="G3" s="242"/>
    </row>
    <row r="4" spans="1:9" s="251" customFormat="1" ht="15.75">
      <c r="A4" s="248" t="s">
        <v>2322</v>
      </c>
      <c r="B4" s="249"/>
      <c r="C4" s="249"/>
      <c r="D4" s="249"/>
      <c r="E4" s="249"/>
      <c r="F4" s="249"/>
      <c r="G4" s="250"/>
    </row>
    <row r="5" spans="1:9" s="257" customFormat="1" ht="13.5" customHeight="1">
      <c r="A5" s="298" t="s">
        <v>2323</v>
      </c>
      <c r="B5" s="253" t="s">
        <v>2324</v>
      </c>
      <c r="C5" s="254">
        <f>C6+C7+C8</f>
        <v>15909</v>
      </c>
      <c r="D5" s="254" t="s">
        <v>2325</v>
      </c>
      <c r="E5" s="255" t="s">
        <v>2326</v>
      </c>
      <c r="F5" s="255" t="s">
        <v>2327</v>
      </c>
      <c r="G5" s="256"/>
    </row>
    <row r="6" spans="1:9" s="257" customFormat="1" ht="13.5" customHeight="1">
      <c r="A6" s="951" t="s">
        <v>2328</v>
      </c>
      <c r="B6" s="258" t="s">
        <v>2329</v>
      </c>
      <c r="C6" s="259">
        <f>'土地比较法-住宅、综合'!F66</f>
        <v>15438</v>
      </c>
      <c r="D6" s="260"/>
      <c r="E6" s="261"/>
      <c r="F6" s="261"/>
      <c r="G6" s="262"/>
    </row>
    <row r="7" spans="1:9" s="257" customFormat="1" ht="13.5" customHeight="1">
      <c r="A7" s="951" t="s">
        <v>2330</v>
      </c>
      <c r="B7" s="258" t="s">
        <v>2331</v>
      </c>
      <c r="C7" s="263">
        <f>ROUND(C6*F7,0)</f>
        <v>471</v>
      </c>
      <c r="D7" s="263"/>
      <c r="E7" s="261"/>
      <c r="F7" s="264">
        <f>'数据-取费表'!B48+'数据-取费表'!B49</f>
        <v>3.0499999999999999E-2</v>
      </c>
      <c r="G7" s="262"/>
    </row>
    <row r="8" spans="1:9" s="266" customFormat="1">
      <c r="A8" s="951" t="s">
        <v>2332</v>
      </c>
      <c r="B8" s="258" t="s">
        <v>2333</v>
      </c>
      <c r="C8" s="263">
        <f>IF(G8="已包含在土地购买价格中","0",IF(B1="",'数据-取费表'!B29,IF(G9="全部缴纳",C9+C10,H9)))</f>
        <v>0</v>
      </c>
      <c r="D8" s="265"/>
      <c r="E8" s="263"/>
      <c r="F8" s="264"/>
      <c r="G8" s="2548"/>
    </row>
    <row r="9" spans="1:9" s="257" customFormat="1" ht="13.5" customHeight="1">
      <c r="A9" s="952" t="s">
        <v>800</v>
      </c>
      <c r="B9" s="267" t="s">
        <v>2334</v>
      </c>
      <c r="C9" s="268">
        <f ca="1">ROUND(D9*E9/10000,0)</f>
        <v>0</v>
      </c>
      <c r="D9" s="1034">
        <f ca="1">IF(B1="",'数据-汇总表'!E5,IF(INDIRECT("'数据-取费表'!c"&amp;$G$1)="住宅",INDIRECT("'数据-取费表'!k"&amp;$G$1),0))</f>
        <v>0</v>
      </c>
      <c r="E9" s="268">
        <f>'数据-取费表'!B27</f>
        <v>0</v>
      </c>
      <c r="F9" s="264"/>
      <c r="G9" s="2549"/>
      <c r="H9" s="1392"/>
      <c r="I9" s="2550" t="s">
        <v>2335</v>
      </c>
    </row>
    <row r="10" spans="1:9" s="257" customFormat="1" ht="13.5" customHeight="1">
      <c r="A10" s="952" t="s">
        <v>801</v>
      </c>
      <c r="B10" s="267" t="s">
        <v>2336</v>
      </c>
      <c r="C10" s="268">
        <f ca="1">ROUND(D10*E10/10000,0)</f>
        <v>714</v>
      </c>
      <c r="D10" s="1034">
        <f ca="1">IF(B1="",'数据-汇总表'!E6,IF(INDIRECT("'数据-取费表'!c"&amp;$G$1)="住宅",INDIRECT("'数据-取费表'!s"&amp;$G$1),INDIRECT("'数据-取费表'!k"&amp;$G$1)+INDIRECT("'数据-取费表'!s"&amp;$G$1)))</f>
        <v>178615</v>
      </c>
      <c r="E10" s="268">
        <f>'数据-取费表'!B28</f>
        <v>40</v>
      </c>
      <c r="F10" s="264"/>
      <c r="G10" s="269"/>
    </row>
    <row r="11" spans="1:9" s="257" customFormat="1" ht="13.5" hidden="1" customHeight="1">
      <c r="A11" s="270" t="s">
        <v>7</v>
      </c>
      <c r="B11" s="258" t="s">
        <v>2337</v>
      </c>
      <c r="C11" s="254"/>
      <c r="D11" s="1036"/>
      <c r="E11" s="261"/>
      <c r="F11" s="261"/>
      <c r="G11" s="262"/>
    </row>
    <row r="12" spans="1:9" s="257" customFormat="1" ht="13.5" hidden="1" customHeight="1">
      <c r="A12" s="270" t="s">
        <v>8</v>
      </c>
      <c r="B12" s="258" t="s">
        <v>2338</v>
      </c>
      <c r="C12" s="254">
        <v>0</v>
      </c>
      <c r="D12" s="1036"/>
      <c r="E12" s="271"/>
      <c r="F12" s="264">
        <v>3.0499999999999999E-2</v>
      </c>
      <c r="G12" s="262"/>
    </row>
    <row r="13" spans="1:9" s="257" customFormat="1" ht="13.5" hidden="1" customHeight="1">
      <c r="A13" s="270" t="s">
        <v>9</v>
      </c>
      <c r="B13" s="258" t="s">
        <v>2339</v>
      </c>
      <c r="C13" s="254"/>
      <c r="D13" s="1036"/>
      <c r="E13" s="261"/>
      <c r="F13" s="261"/>
      <c r="G13" s="262"/>
    </row>
    <row r="14" spans="1:9" s="257" customFormat="1" ht="13.5" hidden="1" customHeight="1">
      <c r="A14" s="270" t="s">
        <v>10</v>
      </c>
      <c r="B14" s="258" t="s">
        <v>2340</v>
      </c>
      <c r="C14" s="254"/>
      <c r="D14" s="1036"/>
      <c r="E14" s="261"/>
      <c r="F14" s="261"/>
      <c r="G14" s="262" t="s">
        <v>2341</v>
      </c>
    </row>
    <row r="15" spans="1:9" s="257" customFormat="1" ht="13.5" hidden="1" customHeight="1">
      <c r="A15" s="270" t="s">
        <v>11</v>
      </c>
      <c r="B15" s="258" t="s">
        <v>2342</v>
      </c>
      <c r="C15" s="263"/>
      <c r="D15" s="1036"/>
      <c r="E15" s="261"/>
      <c r="F15" s="261"/>
      <c r="G15" s="262" t="s">
        <v>2343</v>
      </c>
    </row>
    <row r="16" spans="1:9" s="257" customFormat="1" ht="13.5" hidden="1" customHeight="1">
      <c r="A16" s="270" t="s">
        <v>12</v>
      </c>
      <c r="B16" s="258" t="s">
        <v>2340</v>
      </c>
      <c r="C16" s="263"/>
      <c r="D16" s="1036"/>
      <c r="E16" s="261"/>
      <c r="F16" s="261"/>
      <c r="G16" s="262"/>
    </row>
    <row r="17" spans="1:7" s="257" customFormat="1" ht="13.5" hidden="1" customHeight="1">
      <c r="A17" s="270" t="s">
        <v>13</v>
      </c>
      <c r="B17" s="258" t="s">
        <v>2344</v>
      </c>
      <c r="C17" s="272"/>
      <c r="D17" s="1037"/>
      <c r="E17" s="272"/>
      <c r="F17" s="272"/>
      <c r="G17" s="262" t="s">
        <v>2343</v>
      </c>
    </row>
    <row r="18" spans="1:7" s="257" customFormat="1" ht="13.5" hidden="1" customHeight="1">
      <c r="A18" s="270" t="s">
        <v>14</v>
      </c>
      <c r="B18" s="258" t="s">
        <v>2345</v>
      </c>
      <c r="C18" s="263">
        <v>0</v>
      </c>
      <c r="D18" s="1036"/>
      <c r="E18" s="261"/>
      <c r="F18" s="264">
        <v>3.0499999999999999E-2</v>
      </c>
      <c r="G18" s="262" t="s">
        <v>2346</v>
      </c>
    </row>
    <row r="19" spans="1:7" s="266" customFormat="1" ht="13.5" customHeight="1">
      <c r="A19" s="298" t="s">
        <v>2347</v>
      </c>
      <c r="B19" s="253" t="s">
        <v>2348</v>
      </c>
      <c r="C19" s="254" t="str">
        <f>IF(G19="已包含在土地取得成本中","0",ROUND(D19*E19/10000,0))</f>
        <v>0</v>
      </c>
      <c r="D19" s="1038">
        <f ca="1">D9+D10</f>
        <v>178615</v>
      </c>
      <c r="E19" s="254">
        <f>'数据-取费表'!B31</f>
        <v>200</v>
      </c>
      <c r="F19" s="274"/>
      <c r="G19" s="3014" t="s">
        <v>3224</v>
      </c>
    </row>
    <row r="20" spans="1:7" s="257" customFormat="1" ht="13.5" customHeight="1">
      <c r="A20" s="298" t="s">
        <v>2349</v>
      </c>
      <c r="B20" s="253" t="s">
        <v>2350</v>
      </c>
      <c r="C20" s="275">
        <f>ROUND((C5+C19)*F20,0)</f>
        <v>239</v>
      </c>
      <c r="D20" s="275"/>
      <c r="E20" s="275"/>
      <c r="F20" s="276">
        <f>'数据-取费表'!B37</f>
        <v>1.4999999999999999E-2</v>
      </c>
      <c r="G20" s="277" t="s">
        <v>2351</v>
      </c>
    </row>
    <row r="21" spans="1:7" s="257" customFormat="1" ht="13.5" customHeight="1">
      <c r="A21" s="298" t="s">
        <v>2352</v>
      </c>
      <c r="B21" s="253" t="s">
        <v>2353</v>
      </c>
      <c r="C21" s="278">
        <f>F21</f>
        <v>0.02</v>
      </c>
      <c r="D21" s="279" t="s">
        <v>2354</v>
      </c>
      <c r="E21" s="275"/>
      <c r="F21" s="276">
        <f>'数据-取费表'!B38</f>
        <v>0.02</v>
      </c>
      <c r="G21" s="277" t="s">
        <v>2355</v>
      </c>
    </row>
    <row r="22" spans="1:7" s="257" customFormat="1" ht="13.5" customHeight="1">
      <c r="A22" s="298" t="s">
        <v>2356</v>
      </c>
      <c r="B22" s="253" t="s">
        <v>2357</v>
      </c>
      <c r="C22" s="1356">
        <f ca="1">ROUND(SUM(C23:C25),0)</f>
        <v>1477</v>
      </c>
      <c r="D22" s="278">
        <f ca="1">C26</f>
        <v>8.9999999999999998E-4</v>
      </c>
      <c r="E22" s="279" t="s">
        <v>2354</v>
      </c>
      <c r="F22" s="280">
        <f ca="1">'数据-取费表'!B40</f>
        <v>4.7500000000000001E-2</v>
      </c>
      <c r="G22" s="277" t="str">
        <f>IF('数据-取费表'!B22&lt;=1,"单利计息","复利计息")</f>
        <v>复利计息</v>
      </c>
    </row>
    <row r="23" spans="1:7" s="257" customFormat="1" ht="13.5" customHeight="1">
      <c r="A23" s="953" t="s">
        <v>2358</v>
      </c>
      <c r="B23" s="258" t="s">
        <v>2359</v>
      </c>
      <c r="C23" s="1357">
        <f ca="1">ROUND(IF('数据-取费表'!B22&lt;=1,C5*F22*'数据-取费表'!B23,C5*(POWER((1+F22),'数据-取费表'!B23)-1)),0)</f>
        <v>1466</v>
      </c>
      <c r="D23" s="281"/>
      <c r="E23" s="281"/>
      <c r="F23" s="282"/>
      <c r="G23" s="283" t="s">
        <v>2360</v>
      </c>
    </row>
    <row r="24" spans="1:7" s="257" customFormat="1" ht="13.5" customHeight="1">
      <c r="A24" s="953" t="s">
        <v>2361</v>
      </c>
      <c r="B24" s="258" t="s">
        <v>2362</v>
      </c>
      <c r="C24" s="1357">
        <f ca="1">ROUND(IF('数据-取费表'!B22&lt;=1,C19*F22*('数据-取费表'!B19/2+'数据-取费表'!B21),C19*(POWER((1+F22),('数据-取费表'!B19/2+'数据-取费表'!B21))-1)),0)</f>
        <v>0</v>
      </c>
      <c r="D24" s="281"/>
      <c r="E24" s="281"/>
      <c r="F24" s="282"/>
      <c r="G24" s="283" t="s">
        <v>2363</v>
      </c>
    </row>
    <row r="25" spans="1:7" s="257" customFormat="1" ht="24">
      <c r="A25" s="953" t="s">
        <v>2364</v>
      </c>
      <c r="B25" s="258" t="s">
        <v>2365</v>
      </c>
      <c r="C25" s="1357">
        <f ca="1">ROUND(IF('数据-取费表'!B22&lt;=1,C20*F22*'数据-取费表'!B23/2,C20*(POWER((1+F22),'数据-取费表'!B23/2)-1)),0)</f>
        <v>11</v>
      </c>
      <c r="D25" s="281"/>
      <c r="E25" s="284"/>
      <c r="F25" s="282"/>
      <c r="G25" s="285" t="s">
        <v>2366</v>
      </c>
    </row>
    <row r="26" spans="1:7" s="257" customFormat="1">
      <c r="A26" s="953" t="s">
        <v>795</v>
      </c>
      <c r="B26" s="258" t="s">
        <v>2367</v>
      </c>
      <c r="C26" s="281">
        <f ca="1">ROUND(IF('数据-取费表'!B22&lt;=1,F21*F22*'数据-取费表'!B23/2,F21*(POWER((1+F22),'数据-取费表'!B23/2)-1)),4)</f>
        <v>8.9999999999999998E-4</v>
      </c>
      <c r="D26" s="281"/>
      <c r="E26" s="284"/>
      <c r="F26" s="282"/>
      <c r="G26" s="286"/>
    </row>
    <row r="27" spans="1:7" s="257" customFormat="1" ht="24.75">
      <c r="A27" s="298" t="s">
        <v>2368</v>
      </c>
      <c r="B27" s="287" t="s">
        <v>2369</v>
      </c>
      <c r="C27" s="288">
        <f ca="1">C28</f>
        <v>1227</v>
      </c>
      <c r="D27" s="278">
        <f ca="1">C29</f>
        <v>1.5E-3</v>
      </c>
      <c r="E27" s="279" t="s">
        <v>2370</v>
      </c>
      <c r="F27" s="289">
        <f ca="1">IF(B1="",'数据-取费表'!Q16,INDIRECT("'数据-取费表'!q"&amp;$G$1))</f>
        <v>0.08</v>
      </c>
      <c r="G27" s="290" t="s">
        <v>2371</v>
      </c>
    </row>
    <row r="28" spans="1:7" s="257" customFormat="1" ht="13.5" customHeight="1">
      <c r="A28" s="953" t="s">
        <v>791</v>
      </c>
      <c r="B28" s="291" t="s">
        <v>2372</v>
      </c>
      <c r="C28" s="292">
        <f ca="1">ROUND((C5+C19+C20)*F27*'数据-取费表'!B21/'数据-取费表'!B20,0)</f>
        <v>1227</v>
      </c>
      <c r="D28" s="278"/>
      <c r="E28" s="279"/>
      <c r="F28" s="289"/>
      <c r="G28" s="290"/>
    </row>
    <row r="29" spans="1:7" s="257" customFormat="1" ht="13.5" customHeight="1">
      <c r="A29" s="953" t="s">
        <v>792</v>
      </c>
      <c r="B29" s="291" t="s">
        <v>2373</v>
      </c>
      <c r="C29" s="281">
        <f ca="1">ROUND(C21*F27*'数据-取费表'!B21/'数据-取费表'!B20,4)</f>
        <v>1.5E-3</v>
      </c>
      <c r="D29" s="278"/>
      <c r="E29" s="279"/>
      <c r="F29" s="289"/>
      <c r="G29" s="290"/>
    </row>
    <row r="30" spans="1:7" s="257" customFormat="1" ht="13.5" customHeight="1">
      <c r="A30" s="298" t="s">
        <v>2374</v>
      </c>
      <c r="B30" s="253" t="s">
        <v>2375</v>
      </c>
      <c r="C30" s="278">
        <f>ROUND(F30/(1+'数据-取费表'!C42),4)</f>
        <v>5.33E-2</v>
      </c>
      <c r="D30" s="279" t="s">
        <v>2370</v>
      </c>
      <c r="E30" s="284"/>
      <c r="F30" s="280">
        <f>'数据-取费表'!B41</f>
        <v>5.6000000000000001E-2</v>
      </c>
      <c r="G30" s="277" t="s">
        <v>2376</v>
      </c>
    </row>
    <row r="31" spans="1:7" ht="16.5" customHeight="1">
      <c r="A31" s="252">
        <v>1</v>
      </c>
      <c r="B31" s="253" t="s">
        <v>2377</v>
      </c>
      <c r="C31" s="254">
        <f ca="1">ROUND((C5+C19+C20+C22+C27)/(1-C21-D22-D27-C30),0)</f>
        <v>20396</v>
      </c>
      <c r="D31" s="273"/>
      <c r="E31" s="254"/>
      <c r="F31" s="293"/>
      <c r="G31" s="277" t="s">
        <v>2378</v>
      </c>
    </row>
    <row r="32" spans="1:7" s="251" customFormat="1" ht="15.75">
      <c r="A32" s="295" t="s">
        <v>2379</v>
      </c>
      <c r="B32" s="296"/>
      <c r="C32" s="296"/>
      <c r="D32" s="296"/>
      <c r="E32" s="296"/>
      <c r="F32" s="296"/>
      <c r="G32" s="297"/>
    </row>
    <row r="33" spans="1:7" s="257" customFormat="1" ht="13.5" customHeight="1">
      <c r="A33" s="298" t="s">
        <v>782</v>
      </c>
      <c r="B33" s="253" t="s">
        <v>2380</v>
      </c>
      <c r="C33" s="299">
        <f ca="1">SUM(C34:C38)</f>
        <v>90051</v>
      </c>
      <c r="D33" s="275"/>
      <c r="E33" s="255"/>
      <c r="F33" s="284"/>
      <c r="G33" s="277"/>
    </row>
    <row r="34" spans="1:7" s="301" customFormat="1" ht="13.5" customHeight="1">
      <c r="A34" s="953" t="s">
        <v>791</v>
      </c>
      <c r="B34" s="258" t="s">
        <v>2381</v>
      </c>
      <c r="C34" s="263">
        <f ca="1">IF(B1="",IF(F34=100%,'数据-取费表'!M16,'数据-取费表'!O16),IF(F34=100%,INDIRECT("'数据-取费表'!m"&amp;$G$1)+INDIRECT("'数据-取费表'!t"&amp;$G$1),INDIRECT("'数据-取费表'!o"&amp;$G$1)+INDIRECT("'数据-取费表'!aq"&amp;$G$1)))</f>
        <v>82925</v>
      </c>
      <c r="D34" s="260"/>
      <c r="E34" s="263"/>
      <c r="F34" s="300">
        <f ca="1">IF('数据-取费表'!B24=0,1,IF(B1="",'数据-取费表'!N16,INDIRECT("'数据-取费表'!n"&amp;$G$1)))</f>
        <v>0.95</v>
      </c>
      <c r="G34" s="262" t="s">
        <v>2382</v>
      </c>
    </row>
    <row r="35" spans="1:7" ht="13.5" customHeight="1">
      <c r="A35" s="953" t="s">
        <v>796</v>
      </c>
      <c r="B35" s="258" t="s">
        <v>2383</v>
      </c>
      <c r="C35" s="263">
        <f ca="1">ROUND(C34*F35,0)</f>
        <v>2488</v>
      </c>
      <c r="D35" s="263"/>
      <c r="E35" s="263"/>
      <c r="F35" s="302">
        <f>'数据-取费表'!B33</f>
        <v>0.03</v>
      </c>
      <c r="G35" s="262" t="s">
        <v>2384</v>
      </c>
    </row>
    <row r="36" spans="1:7" ht="24">
      <c r="A36" s="953" t="s">
        <v>797</v>
      </c>
      <c r="B36" s="258" t="s">
        <v>2385</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2386</v>
      </c>
    </row>
    <row r="37" spans="1:7" s="301" customFormat="1" ht="13.5" customHeight="1">
      <c r="A37" s="953" t="s">
        <v>798</v>
      </c>
      <c r="B37" s="258" t="s">
        <v>2387</v>
      </c>
      <c r="C37" s="292">
        <f ca="1">ROUND(E37*D37*F34/10000,0)</f>
        <v>3394</v>
      </c>
      <c r="D37" s="260">
        <f ca="1">D19</f>
        <v>178615</v>
      </c>
      <c r="E37" s="292">
        <f>'数据-取费表'!B35</f>
        <v>200</v>
      </c>
      <c r="F37" s="302"/>
      <c r="G37" s="304" t="s">
        <v>2388</v>
      </c>
    </row>
    <row r="38" spans="1:7" ht="13.5" customHeight="1">
      <c r="A38" s="953" t="s">
        <v>799</v>
      </c>
      <c r="B38" s="258" t="s">
        <v>2389</v>
      </c>
      <c r="C38" s="263">
        <f ca="1">ROUND(C34*F38,0)</f>
        <v>1244</v>
      </c>
      <c r="D38" s="263"/>
      <c r="E38" s="263"/>
      <c r="F38" s="302">
        <f>'数据-取费表'!B36</f>
        <v>1.4999999999999999E-2</v>
      </c>
      <c r="G38" s="262" t="s">
        <v>2384</v>
      </c>
    </row>
    <row r="39" spans="1:7" s="257" customFormat="1" ht="13.5" customHeight="1">
      <c r="A39" s="298" t="s">
        <v>2390</v>
      </c>
      <c r="B39" s="253" t="s">
        <v>2391</v>
      </c>
      <c r="C39" s="275">
        <f ca="1">ROUND(C33*F20,0)</f>
        <v>1351</v>
      </c>
      <c r="D39" s="275"/>
      <c r="E39" s="275"/>
      <c r="F39" s="276"/>
      <c r="G39" s="277" t="s">
        <v>2392</v>
      </c>
    </row>
    <row r="40" spans="1:7" s="257" customFormat="1" ht="13.5" customHeight="1">
      <c r="A40" s="298" t="s">
        <v>2393</v>
      </c>
      <c r="B40" s="253" t="s">
        <v>2394</v>
      </c>
      <c r="C40" s="1730">
        <f>F21</f>
        <v>0.02</v>
      </c>
      <c r="D40" s="279" t="s">
        <v>2395</v>
      </c>
      <c r="E40" s="275"/>
      <c r="F40" s="276"/>
      <c r="G40" s="277" t="s">
        <v>2396</v>
      </c>
    </row>
    <row r="41" spans="1:7" s="257" customFormat="1" ht="13.5" customHeight="1">
      <c r="A41" s="298" t="s">
        <v>2397</v>
      </c>
      <c r="B41" s="253" t="s">
        <v>2398</v>
      </c>
      <c r="C41" s="275">
        <f ca="1">ROUND(SUM(C42:C43),0)</f>
        <v>4120</v>
      </c>
      <c r="D41" s="278">
        <f ca="1">C44</f>
        <v>8.9999999999999998E-4</v>
      </c>
      <c r="E41" s="279" t="s">
        <v>2395</v>
      </c>
      <c r="F41" s="280"/>
      <c r="G41" s="277" t="str">
        <f>IF('数据-取费表'!B22&lt;=1,"单利计息","复利计息")</f>
        <v>复利计息</v>
      </c>
    </row>
    <row r="42" spans="1:7" ht="13.5" customHeight="1">
      <c r="A42" s="953" t="s">
        <v>791</v>
      </c>
      <c r="B42" s="258" t="s">
        <v>2399</v>
      </c>
      <c r="C42" s="281">
        <f ca="1">ROUND(IF('数据-取费表'!B22&lt;=1,C33*F22*'数据-取费表'!B21/2,C33*(POWER((1+F22),'数据-取费表'!B21/2)-1)),0)</f>
        <v>4059</v>
      </c>
      <c r="D42" s="281"/>
      <c r="E42" s="281"/>
      <c r="F42" s="282"/>
      <c r="G42" s="3201" t="s">
        <v>2400</v>
      </c>
    </row>
    <row r="43" spans="1:7" ht="13.5" customHeight="1">
      <c r="A43" s="953" t="s">
        <v>792</v>
      </c>
      <c r="B43" s="258" t="s">
        <v>2401</v>
      </c>
      <c r="C43" s="281">
        <f ca="1">ROUND(IF('数据-取费表'!B22&lt;=1,C39*F22*'数据-取费表'!B21/2,C39*(POWER((1+F22),'数据-取费表'!B21/2)-1)),0)</f>
        <v>61</v>
      </c>
      <c r="D43" s="281"/>
      <c r="E43" s="281"/>
      <c r="F43" s="282"/>
      <c r="G43" s="3202"/>
    </row>
    <row r="44" spans="1:7" ht="13.5" customHeight="1">
      <c r="A44" s="953" t="s">
        <v>793</v>
      </c>
      <c r="B44" s="258" t="s">
        <v>2402</v>
      </c>
      <c r="C44" s="281">
        <f ca="1">ROUND(IF('数据-取费表'!B22&lt;=1,C40*F22*'数据-取费表'!B21/2,C40*(POWER((1+F22),'数据-取费表'!B21/2)-1)),4)</f>
        <v>8.9999999999999998E-4</v>
      </c>
      <c r="D44" s="281"/>
      <c r="E44" s="281"/>
      <c r="F44" s="282"/>
      <c r="G44" s="3203"/>
    </row>
    <row r="45" spans="1:7" s="257" customFormat="1" ht="13.5" customHeight="1">
      <c r="A45" s="298" t="s">
        <v>2403</v>
      </c>
      <c r="B45" s="287" t="s">
        <v>2369</v>
      </c>
      <c r="C45" s="288">
        <f ca="1">C46</f>
        <v>7312</v>
      </c>
      <c r="D45" s="278">
        <f ca="1">C47</f>
        <v>1.6000000000000001E-3</v>
      </c>
      <c r="E45" s="279" t="s">
        <v>2395</v>
      </c>
      <c r="F45" s="289"/>
      <c r="G45" s="290" t="s">
        <v>2404</v>
      </c>
    </row>
    <row r="46" spans="1:7" s="257" customFormat="1" ht="13.5" customHeight="1">
      <c r="A46" s="953" t="s">
        <v>791</v>
      </c>
      <c r="B46" s="291" t="s">
        <v>2405</v>
      </c>
      <c r="C46" s="292">
        <f ca="1">ROUND((C33+C39)*F27,0)</f>
        <v>7312</v>
      </c>
      <c r="D46" s="306"/>
      <c r="E46" s="279"/>
      <c r="F46" s="289"/>
      <c r="G46" s="290"/>
    </row>
    <row r="47" spans="1:7" s="257" customFormat="1" ht="13.5" customHeight="1">
      <c r="A47" s="953" t="s">
        <v>792</v>
      </c>
      <c r="B47" s="291" t="s">
        <v>2406</v>
      </c>
      <c r="C47" s="281">
        <f ca="1">ROUND(C40*F27,4)</f>
        <v>1.6000000000000001E-3</v>
      </c>
      <c r="D47" s="306"/>
      <c r="E47" s="279"/>
      <c r="F47" s="289"/>
      <c r="G47" s="290"/>
    </row>
    <row r="48" spans="1:7" s="257" customFormat="1" ht="13.5" customHeight="1">
      <c r="A48" s="298" t="s">
        <v>2368</v>
      </c>
      <c r="B48" s="253" t="s">
        <v>2407</v>
      </c>
      <c r="C48" s="1730">
        <f>ROUND(F30/(1+'数据-取费表'!C42),4)</f>
        <v>5.33E-2</v>
      </c>
      <c r="D48" s="279" t="s">
        <v>2395</v>
      </c>
      <c r="E48" s="275"/>
      <c r="F48" s="280"/>
      <c r="G48" s="277" t="s">
        <v>2408</v>
      </c>
    </row>
    <row r="49" spans="1:7" ht="16.5" customHeight="1">
      <c r="A49" s="298" t="s">
        <v>2374</v>
      </c>
      <c r="B49" s="253" t="s">
        <v>2409</v>
      </c>
      <c r="C49" s="275">
        <f ca="1">ROUND((C33+C39+C41+C45)/(1-C40-D41-D45-C48),0)</f>
        <v>111268</v>
      </c>
      <c r="D49" s="275"/>
      <c r="E49" s="275"/>
      <c r="F49" s="307"/>
      <c r="G49" s="277" t="s">
        <v>2410</v>
      </c>
    </row>
    <row r="50" spans="1:7" s="301" customFormat="1" ht="24">
      <c r="A50" s="298" t="s">
        <v>2411</v>
      </c>
      <c r="B50" s="253" t="s">
        <v>2412</v>
      </c>
      <c r="C50" s="275"/>
      <c r="D50" s="275"/>
      <c r="E50" s="275"/>
      <c r="F50" s="307">
        <f>IF('数据-取费表'!B24=0,'数据-取费表'!N16,1)</f>
        <v>1</v>
      </c>
      <c r="G50" s="290" t="s">
        <v>2413</v>
      </c>
    </row>
    <row r="51" spans="1:7" ht="16.5" customHeight="1">
      <c r="A51" s="298" t="s">
        <v>2414</v>
      </c>
      <c r="B51" s="253" t="s">
        <v>2415</v>
      </c>
      <c r="C51" s="275">
        <f ca="1">ROUND(C49*F50,0)</f>
        <v>111268</v>
      </c>
      <c r="D51" s="275"/>
      <c r="E51" s="275"/>
      <c r="F51" s="307"/>
      <c r="G51" s="277" t="s">
        <v>2416</v>
      </c>
    </row>
    <row r="52" spans="1:7" s="251" customFormat="1" ht="16.5" thickBot="1">
      <c r="A52" s="308" t="s">
        <v>2417</v>
      </c>
      <c r="B52" s="309"/>
      <c r="C52" s="310">
        <f ca="1">C31+C51</f>
        <v>131664</v>
      </c>
      <c r="D52" s="309"/>
      <c r="E52" s="309"/>
      <c r="F52" s="309"/>
      <c r="G52" s="311"/>
    </row>
    <row r="55" spans="1:7" ht="15">
      <c r="B55" s="313" t="s">
        <v>2418</v>
      </c>
      <c r="C55" s="314"/>
    </row>
    <row r="56" spans="1:7">
      <c r="B56" s="316" t="s">
        <v>1513</v>
      </c>
      <c r="C56" s="318">
        <f ca="1">1-C57</f>
        <v>0.15500000000000003</v>
      </c>
    </row>
    <row r="57" spans="1:7">
      <c r="B57" s="316" t="s">
        <v>1514</v>
      </c>
      <c r="C57" s="317">
        <f ca="1">ROUND(C51/C52,3)</f>
        <v>0.84499999999999997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2317</v>
      </c>
      <c r="B1" s="1939"/>
      <c r="C1" s="2551" t="s">
        <v>2419</v>
      </c>
      <c r="D1" s="241"/>
      <c r="E1" s="241"/>
      <c r="F1" s="241"/>
      <c r="G1" s="1381">
        <f>MATCH(B1,'数据-取费表'!A6:A16,0)+5</f>
        <v>10</v>
      </c>
      <c r="H1" s="1284" t="str">
        <f>IF(ISERROR(FIND("住宅",B1)),"非住宅","住宅")</f>
        <v>非住宅</v>
      </c>
    </row>
    <row r="2" spans="1:8" s="243" customFormat="1" ht="18" customHeight="1">
      <c r="A2" s="244" t="s">
        <v>2318</v>
      </c>
      <c r="B2" s="245">
        <f ca="1">ROUND(IF(D2="——",C52/10000,C52/10000-E2),0)</f>
        <v>122925</v>
      </c>
      <c r="C2" s="242" t="s">
        <v>2319</v>
      </c>
      <c r="D2" s="2545" t="s">
        <v>70</v>
      </c>
      <c r="E2" s="1442" t="e">
        <f ca="1">SUMIF(INDIRECT("'"&amp;G2&amp;"'"&amp;"!A:A"),"承租人权益价值",INDIRECT("'"&amp;G2&amp;"'"&amp;"!c:c"))</f>
        <v>#REF!</v>
      </c>
      <c r="F2" s="2546" t="s">
        <v>2319</v>
      </c>
      <c r="G2" s="2547"/>
    </row>
    <row r="3" spans="1:8" s="243" customFormat="1" ht="18" customHeight="1" thickBot="1">
      <c r="A3" s="246" t="s">
        <v>2320</v>
      </c>
      <c r="B3" s="247">
        <f ca="1">ROUND(B2*10000/(IF(B1="",'数据-汇总表'!E3,INDIRECT("'数据-取费表'!k"&amp;$G$1))),0)</f>
        <v>6882</v>
      </c>
      <c r="C3" s="242" t="s">
        <v>2321</v>
      </c>
      <c r="D3" s="242"/>
      <c r="E3" s="242"/>
      <c r="F3" s="242"/>
      <c r="G3" s="242"/>
    </row>
    <row r="4" spans="1:8" s="251" customFormat="1" ht="15.75">
      <c r="A4" s="248" t="s">
        <v>2322</v>
      </c>
      <c r="B4" s="249"/>
      <c r="C4" s="249"/>
      <c r="D4" s="249"/>
      <c r="E4" s="249"/>
      <c r="F4" s="249"/>
      <c r="G4" s="250"/>
    </row>
    <row r="5" spans="1:8" s="257" customFormat="1" ht="13.5" customHeight="1">
      <c r="A5" s="298" t="s">
        <v>2323</v>
      </c>
      <c r="B5" s="253" t="s">
        <v>2324</v>
      </c>
      <c r="C5" s="254">
        <f ca="1">C6+C7+C8</f>
        <v>7144600</v>
      </c>
      <c r="D5" s="254" t="s">
        <v>2325</v>
      </c>
      <c r="E5" s="255" t="s">
        <v>2326</v>
      </c>
      <c r="F5" s="255" t="s">
        <v>2327</v>
      </c>
      <c r="G5" s="256"/>
    </row>
    <row r="6" spans="1:8" s="257" customFormat="1" ht="13.5" customHeight="1">
      <c r="A6" s="951" t="s">
        <v>2328</v>
      </c>
      <c r="B6" s="258" t="s">
        <v>2329</v>
      </c>
      <c r="C6" s="259"/>
      <c r="D6" s="260"/>
      <c r="E6" s="261"/>
      <c r="F6" s="261"/>
      <c r="G6" s="262"/>
    </row>
    <row r="7" spans="1:8" s="257" customFormat="1" ht="13.5" customHeight="1">
      <c r="A7" s="951" t="s">
        <v>2330</v>
      </c>
      <c r="B7" s="258" t="s">
        <v>2331</v>
      </c>
      <c r="C7" s="263">
        <f>ROUND(C6*F7,0)</f>
        <v>0</v>
      </c>
      <c r="D7" s="263"/>
      <c r="E7" s="261"/>
      <c r="F7" s="264">
        <f>'数据-取费表'!B48+'数据-取费表'!B49</f>
        <v>3.0499999999999999E-2</v>
      </c>
      <c r="G7" s="262"/>
    </row>
    <row r="8" spans="1:8" s="266" customFormat="1">
      <c r="A8" s="951" t="s">
        <v>2332</v>
      </c>
      <c r="B8" s="258" t="s">
        <v>2333</v>
      </c>
      <c r="C8" s="263">
        <f ca="1">IF(G8="已包含在土地购买价格中",0,C9+C10)</f>
        <v>7144600</v>
      </c>
      <c r="D8" s="265"/>
      <c r="E8" s="263"/>
      <c r="F8" s="264"/>
      <c r="G8" s="2548"/>
    </row>
    <row r="9" spans="1:8" s="257" customFormat="1" ht="13.5" customHeight="1">
      <c r="A9" s="952" t="s">
        <v>800</v>
      </c>
      <c r="B9" s="267" t="s">
        <v>2334</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2336</v>
      </c>
      <c r="C10" s="268">
        <f ca="1">ROUND(D10*E10,0)</f>
        <v>7144600</v>
      </c>
      <c r="D10" s="1034">
        <f ca="1">IF(B1="",'数据-汇总表'!E6,IF(INDIRECT("'数据-取费表'!c"&amp;$G$1)="住宅",INDIRECT("'数据-取费表'!s"&amp;$G$1),INDIRECT("'数据-取费表'!k"&amp;$G$1)+INDIRECT("'数据-取费表'!s"&amp;$G$1)))</f>
        <v>178615</v>
      </c>
      <c r="E10" s="268">
        <f>'数据-取费表'!B28</f>
        <v>40</v>
      </c>
      <c r="F10" s="264"/>
      <c r="G10" s="269"/>
    </row>
    <row r="11" spans="1:8" s="257" customFormat="1" ht="13.5" hidden="1" customHeight="1">
      <c r="A11" s="270" t="s">
        <v>7</v>
      </c>
      <c r="B11" s="258" t="s">
        <v>2337</v>
      </c>
      <c r="C11" s="254"/>
      <c r="D11" s="1036"/>
      <c r="E11" s="261"/>
      <c r="F11" s="261"/>
      <c r="G11" s="262"/>
    </row>
    <row r="12" spans="1:8" s="257" customFormat="1" ht="13.5" hidden="1" customHeight="1">
      <c r="A12" s="270" t="s">
        <v>8</v>
      </c>
      <c r="B12" s="258" t="s">
        <v>2420</v>
      </c>
      <c r="C12" s="254">
        <v>0</v>
      </c>
      <c r="D12" s="1036"/>
      <c r="E12" s="271"/>
      <c r="F12" s="264">
        <v>3.0499999999999999E-2</v>
      </c>
      <c r="G12" s="262"/>
    </row>
    <row r="13" spans="1:8" s="257" customFormat="1" ht="13.5" hidden="1" customHeight="1">
      <c r="A13" s="270" t="s">
        <v>9</v>
      </c>
      <c r="B13" s="258" t="s">
        <v>2421</v>
      </c>
      <c r="C13" s="254"/>
      <c r="D13" s="1036"/>
      <c r="E13" s="261"/>
      <c r="F13" s="261"/>
      <c r="G13" s="262"/>
    </row>
    <row r="14" spans="1:8" s="257" customFormat="1" ht="13.5" hidden="1" customHeight="1">
      <c r="A14" s="270" t="s">
        <v>10</v>
      </c>
      <c r="B14" s="258" t="s">
        <v>2333</v>
      </c>
      <c r="C14" s="254"/>
      <c r="D14" s="1036"/>
      <c r="E14" s="261"/>
      <c r="F14" s="261"/>
      <c r="G14" s="262" t="s">
        <v>2422</v>
      </c>
    </row>
    <row r="15" spans="1:8" s="257" customFormat="1" ht="13.5" hidden="1" customHeight="1">
      <c r="A15" s="270" t="s">
        <v>11</v>
      </c>
      <c r="B15" s="258" t="s">
        <v>2423</v>
      </c>
      <c r="C15" s="263"/>
      <c r="D15" s="1036"/>
      <c r="E15" s="261"/>
      <c r="F15" s="261"/>
      <c r="G15" s="262" t="s">
        <v>2424</v>
      </c>
    </row>
    <row r="16" spans="1:8" s="257" customFormat="1" ht="13.5" hidden="1" customHeight="1">
      <c r="A16" s="270" t="s">
        <v>12</v>
      </c>
      <c r="B16" s="258" t="s">
        <v>2333</v>
      </c>
      <c r="C16" s="263"/>
      <c r="D16" s="1036"/>
      <c r="E16" s="261"/>
      <c r="F16" s="261"/>
      <c r="G16" s="262"/>
    </row>
    <row r="17" spans="1:7" s="257" customFormat="1" ht="13.5" hidden="1" customHeight="1">
      <c r="A17" s="270" t="s">
        <v>13</v>
      </c>
      <c r="B17" s="258" t="s">
        <v>2425</v>
      </c>
      <c r="C17" s="272"/>
      <c r="D17" s="1037"/>
      <c r="E17" s="272"/>
      <c r="F17" s="272"/>
      <c r="G17" s="262" t="s">
        <v>2424</v>
      </c>
    </row>
    <row r="18" spans="1:7" s="257" customFormat="1" ht="13.5" hidden="1" customHeight="1">
      <c r="A18" s="270" t="s">
        <v>14</v>
      </c>
      <c r="B18" s="258" t="s">
        <v>2426</v>
      </c>
      <c r="C18" s="263">
        <v>0</v>
      </c>
      <c r="D18" s="1036"/>
      <c r="E18" s="261"/>
      <c r="F18" s="264">
        <v>3.0499999999999999E-2</v>
      </c>
      <c r="G18" s="262" t="s">
        <v>2427</v>
      </c>
    </row>
    <row r="19" spans="1:7" s="266" customFormat="1" ht="13.5" customHeight="1">
      <c r="A19" s="298" t="s">
        <v>2428</v>
      </c>
      <c r="B19" s="253" t="s">
        <v>2429</v>
      </c>
      <c r="C19" s="254">
        <f ca="1">IF(G19="已包含在土地取得成本中","0",ROUND(D19*E19,0))</f>
        <v>35723000</v>
      </c>
      <c r="D19" s="1038">
        <f ca="1">D9+D10</f>
        <v>178615</v>
      </c>
      <c r="E19" s="254">
        <f>'数据-取费表'!B31</f>
        <v>200</v>
      </c>
      <c r="F19" s="274"/>
      <c r="G19" s="2548"/>
    </row>
    <row r="20" spans="1:7" s="257" customFormat="1" ht="13.5" customHeight="1">
      <c r="A20" s="298" t="s">
        <v>2430</v>
      </c>
      <c r="B20" s="253" t="s">
        <v>2431</v>
      </c>
      <c r="C20" s="275">
        <f ca="1">ROUND((C5+C19)*F20,0)</f>
        <v>643014</v>
      </c>
      <c r="D20" s="275"/>
      <c r="E20" s="275"/>
      <c r="F20" s="276">
        <f>'数据-取费表'!B37</f>
        <v>1.4999999999999999E-2</v>
      </c>
      <c r="G20" s="277" t="s">
        <v>2432</v>
      </c>
    </row>
    <row r="21" spans="1:7" s="257" customFormat="1" ht="13.5" customHeight="1">
      <c r="A21" s="298" t="s">
        <v>2433</v>
      </c>
      <c r="B21" s="253" t="s">
        <v>2434</v>
      </c>
      <c r="C21" s="278">
        <f>F21</f>
        <v>0.02</v>
      </c>
      <c r="D21" s="279" t="s">
        <v>2435</v>
      </c>
      <c r="E21" s="275"/>
      <c r="F21" s="276">
        <f>'数据-取费表'!B38</f>
        <v>0.02</v>
      </c>
      <c r="G21" s="277" t="s">
        <v>2436</v>
      </c>
    </row>
    <row r="22" spans="1:7" s="257" customFormat="1" ht="13.5" customHeight="1">
      <c r="A22" s="298" t="s">
        <v>2437</v>
      </c>
      <c r="B22" s="253" t="s">
        <v>2438</v>
      </c>
      <c r="C22" s="1382">
        <f ca="1">ROUND(SUM(C23:C25),0)</f>
        <v>4199685</v>
      </c>
      <c r="D22" s="278">
        <f ca="1">C26</f>
        <v>1E-3</v>
      </c>
      <c r="E22" s="279" t="s">
        <v>2435</v>
      </c>
      <c r="F22" s="280">
        <f ca="1">'数据-取费表'!B40</f>
        <v>4.7500000000000001E-2</v>
      </c>
      <c r="G22" s="277" t="str">
        <f>IF('数据-取费表'!B22&lt;=1,"单利计息","复利计息")</f>
        <v>复利计息</v>
      </c>
    </row>
    <row r="23" spans="1:7" s="257" customFormat="1" ht="13.5" customHeight="1">
      <c r="A23" s="953" t="s">
        <v>2328</v>
      </c>
      <c r="B23" s="258" t="s">
        <v>2439</v>
      </c>
      <c r="C23" s="1383">
        <f ca="1">ROUND(IF('数据-取费表'!B22&lt;=1,C5*F22*'数据-取费表'!B22,C5*(POWER((1+F22),'数据-取费表'!B22)-1)),0)</f>
        <v>694857</v>
      </c>
      <c r="D23" s="281"/>
      <c r="E23" s="281"/>
      <c r="F23" s="282"/>
      <c r="G23" s="283" t="s">
        <v>2440</v>
      </c>
    </row>
    <row r="24" spans="1:7" s="257" customFormat="1" ht="13.5" customHeight="1">
      <c r="A24" s="953" t="s">
        <v>2330</v>
      </c>
      <c r="B24" s="258" t="s">
        <v>2441</v>
      </c>
      <c r="C24" s="1383">
        <f ca="1">ROUND(IF('数据-取费表'!B22&lt;=1,C19*F22*('数据-取费表'!B19/2+'数据-取费表'!B20),C19*(POWER((1+F22),('数据-取费表'!B19/2+'数据-取费表'!B20))-1)),0)</f>
        <v>3474285</v>
      </c>
      <c r="D24" s="281"/>
      <c r="E24" s="281"/>
      <c r="F24" s="282"/>
      <c r="G24" s="283" t="s">
        <v>2442</v>
      </c>
    </row>
    <row r="25" spans="1:7" s="257" customFormat="1" ht="24">
      <c r="A25" s="953" t="s">
        <v>2332</v>
      </c>
      <c r="B25" s="258" t="s">
        <v>2443</v>
      </c>
      <c r="C25" s="1383">
        <f ca="1">ROUND(IF('数据-取费表'!B22&lt;=1,C20*F22*'数据-取费表'!B22/2,C20*(POWER((1+F22),'数据-取费表'!B22/2)-1)),0)</f>
        <v>30543</v>
      </c>
      <c r="D25" s="281"/>
      <c r="E25" s="284"/>
      <c r="F25" s="282"/>
      <c r="G25" s="285" t="s">
        <v>2444</v>
      </c>
    </row>
    <row r="26" spans="1:7" s="257" customFormat="1">
      <c r="A26" s="953" t="s">
        <v>795</v>
      </c>
      <c r="B26" s="258" t="s">
        <v>2367</v>
      </c>
      <c r="C26" s="281">
        <f ca="1">ROUND(IF('数据-取费表'!B22&lt;=1,F21*F22*'数据-取费表'!B22/2,F21*(POWER((1+F22),'数据-取费表'!B22/2)-1)),4)</f>
        <v>1E-3</v>
      </c>
      <c r="D26" s="281"/>
      <c r="E26" s="284"/>
      <c r="F26" s="282"/>
      <c r="G26" s="286"/>
    </row>
    <row r="27" spans="1:7" s="257" customFormat="1" ht="24.75">
      <c r="A27" s="298" t="s">
        <v>2368</v>
      </c>
      <c r="B27" s="287" t="s">
        <v>2369</v>
      </c>
      <c r="C27" s="288">
        <f ca="1">C28</f>
        <v>3480849</v>
      </c>
      <c r="D27" s="278">
        <f ca="1">C29</f>
        <v>1.6000000000000001E-3</v>
      </c>
      <c r="E27" s="279" t="s">
        <v>2370</v>
      </c>
      <c r="F27" s="289">
        <f ca="1">IF(B1="",'数据-取费表'!Q16,INDIRECT("'数据-取费表'!q"&amp;$G$1))</f>
        <v>0.08</v>
      </c>
      <c r="G27" s="290" t="s">
        <v>2371</v>
      </c>
    </row>
    <row r="28" spans="1:7" s="257" customFormat="1" ht="13.5" customHeight="1">
      <c r="A28" s="953" t="s">
        <v>791</v>
      </c>
      <c r="B28" s="291" t="s">
        <v>2372</v>
      </c>
      <c r="C28" s="292">
        <f ca="1">ROUND((C5+C19+C20)*F27,0)</f>
        <v>3480849</v>
      </c>
      <c r="D28" s="278"/>
      <c r="E28" s="279"/>
      <c r="F28" s="289"/>
      <c r="G28" s="290"/>
    </row>
    <row r="29" spans="1:7" s="257" customFormat="1" ht="13.5" customHeight="1">
      <c r="A29" s="953" t="s">
        <v>792</v>
      </c>
      <c r="B29" s="291" t="s">
        <v>2373</v>
      </c>
      <c r="C29" s="281">
        <f ca="1">ROUND(C21*F27,4)</f>
        <v>1.6000000000000001E-3</v>
      </c>
      <c r="D29" s="278"/>
      <c r="E29" s="279"/>
      <c r="F29" s="289"/>
      <c r="G29" s="290"/>
    </row>
    <row r="30" spans="1:7" s="257" customFormat="1" ht="13.5" customHeight="1">
      <c r="A30" s="298" t="s">
        <v>2374</v>
      </c>
      <c r="B30" s="253" t="s">
        <v>2375</v>
      </c>
      <c r="C30" s="278">
        <f>ROUND(F30/(1+'数据-取费表'!C42),4)</f>
        <v>5.33E-2</v>
      </c>
      <c r="D30" s="279" t="s">
        <v>2370</v>
      </c>
      <c r="E30" s="284"/>
      <c r="F30" s="280">
        <f>'数据-取费表'!B41</f>
        <v>5.6000000000000001E-2</v>
      </c>
      <c r="G30" s="277" t="s">
        <v>2376</v>
      </c>
    </row>
    <row r="31" spans="1:7" ht="16.5" customHeight="1">
      <c r="A31" s="252">
        <v>1</v>
      </c>
      <c r="B31" s="253" t="s">
        <v>2377</v>
      </c>
      <c r="C31" s="254">
        <f ca="1">ROUND((C5+C19+C20+C22+C27)/(1-C21-D22-D27-C30),0)</f>
        <v>55395680</v>
      </c>
      <c r="D31" s="273"/>
      <c r="E31" s="254"/>
      <c r="F31" s="293"/>
      <c r="G31" s="277" t="s">
        <v>2378</v>
      </c>
    </row>
    <row r="32" spans="1:7" s="251" customFormat="1" ht="15.75">
      <c r="A32" s="295" t="s">
        <v>2445</v>
      </c>
      <c r="B32" s="296"/>
      <c r="C32" s="296"/>
      <c r="D32" s="296"/>
      <c r="E32" s="296"/>
      <c r="F32" s="296"/>
      <c r="G32" s="297"/>
    </row>
    <row r="33" spans="1:7" s="257" customFormat="1" ht="13.5" customHeight="1">
      <c r="A33" s="298" t="s">
        <v>782</v>
      </c>
      <c r="B33" s="253" t="s">
        <v>2446</v>
      </c>
      <c r="C33" s="299">
        <f ca="1">SUM(C34:C38)</f>
        <v>947877375</v>
      </c>
      <c r="D33" s="275"/>
      <c r="E33" s="255"/>
      <c r="F33" s="284"/>
      <c r="G33" s="277"/>
    </row>
    <row r="34" spans="1:7" s="301" customFormat="1" ht="13.5" customHeight="1">
      <c r="A34" s="953" t="s">
        <v>791</v>
      </c>
      <c r="B34" s="258" t="s">
        <v>2381</v>
      </c>
      <c r="C34" s="263">
        <f ca="1">ROUND(IF(B1="",SUMPRODUCT('数据-取费表'!K6:K14,'数据-取费表'!L6:L14),INDIRECT("'数据-取费表'!l"&amp;$G$1)*INDIRECT("'数据-取费表'!k"&amp;$G$1)+'数据-取费表'!L14*INDIRECT("'数据-取费表'!S"&amp;$G$1)),0)</f>
        <v>872875000</v>
      </c>
      <c r="D34" s="260"/>
      <c r="E34" s="263"/>
      <c r="F34" s="300"/>
      <c r="G34" s="262"/>
    </row>
    <row r="35" spans="1:7" ht="13.5" customHeight="1">
      <c r="A35" s="953" t="s">
        <v>796</v>
      </c>
      <c r="B35" s="258" t="s">
        <v>2383</v>
      </c>
      <c r="C35" s="263">
        <f ca="1">ROUND(C34*F35,0)</f>
        <v>26186250</v>
      </c>
      <c r="D35" s="263"/>
      <c r="E35" s="263"/>
      <c r="F35" s="302">
        <f>'数据-取费表'!B33</f>
        <v>0.03</v>
      </c>
      <c r="G35" s="262" t="s">
        <v>2384</v>
      </c>
    </row>
    <row r="36" spans="1:7" ht="24">
      <c r="A36" s="953" t="s">
        <v>797</v>
      </c>
      <c r="B36" s="258" t="s">
        <v>2385</v>
      </c>
      <c r="C36" s="263">
        <f ca="1">ROUND(IF(B1="",SUM('数据-取费表'!AP6:AP13)*F36,IF(INDIRECT("'数据-取费表'!c"&amp;$G$1)="住宅",INDIRECT("'数据-取费表'!k"&amp;$G$1)*INDIRECT("'数据-取费表'!l"&amp;$G$1)*F36,0)),0)</f>
        <v>0</v>
      </c>
      <c r="D36" s="263"/>
      <c r="E36" s="263"/>
      <c r="F36" s="302">
        <f>'数据-取费表'!B34</f>
        <v>0</v>
      </c>
      <c r="G36" s="303" t="s">
        <v>2386</v>
      </c>
    </row>
    <row r="37" spans="1:7" s="301" customFormat="1" ht="13.5" customHeight="1">
      <c r="A37" s="953" t="s">
        <v>798</v>
      </c>
      <c r="B37" s="258" t="s">
        <v>2387</v>
      </c>
      <c r="C37" s="292">
        <f ca="1">ROUND(E37*D37,0)</f>
        <v>35723000</v>
      </c>
      <c r="D37" s="260">
        <f ca="1">D19</f>
        <v>178615</v>
      </c>
      <c r="E37" s="292">
        <f>'数据-取费表'!B35</f>
        <v>200</v>
      </c>
      <c r="F37" s="302"/>
      <c r="G37" s="304"/>
    </row>
    <row r="38" spans="1:7" ht="13.5" customHeight="1">
      <c r="A38" s="953" t="s">
        <v>799</v>
      </c>
      <c r="B38" s="258" t="s">
        <v>2389</v>
      </c>
      <c r="C38" s="263">
        <f ca="1">ROUND(C34*F38,0)</f>
        <v>13093125</v>
      </c>
      <c r="D38" s="263"/>
      <c r="E38" s="263"/>
      <c r="F38" s="302">
        <f>'数据-取费表'!B36</f>
        <v>1.4999999999999999E-2</v>
      </c>
      <c r="G38" s="262" t="s">
        <v>2384</v>
      </c>
    </row>
    <row r="39" spans="1:7" s="257" customFormat="1" ht="13.5" customHeight="1">
      <c r="A39" s="298" t="s">
        <v>2390</v>
      </c>
      <c r="B39" s="253" t="s">
        <v>2391</v>
      </c>
      <c r="C39" s="275">
        <f ca="1">ROUND(C33*F20,0)</f>
        <v>14218161</v>
      </c>
      <c r="D39" s="275"/>
      <c r="E39" s="275"/>
      <c r="F39" s="276"/>
      <c r="G39" s="277" t="s">
        <v>2392</v>
      </c>
    </row>
    <row r="40" spans="1:7" s="257" customFormat="1" ht="13.5" customHeight="1">
      <c r="A40" s="298" t="s">
        <v>2393</v>
      </c>
      <c r="B40" s="253" t="s">
        <v>2394</v>
      </c>
      <c r="C40" s="1730">
        <f>F21</f>
        <v>0.02</v>
      </c>
      <c r="D40" s="279" t="s">
        <v>2395</v>
      </c>
      <c r="E40" s="275"/>
      <c r="F40" s="276"/>
      <c r="G40" s="277" t="s">
        <v>2396</v>
      </c>
    </row>
    <row r="41" spans="1:7" s="257" customFormat="1" ht="13.5" customHeight="1">
      <c r="A41" s="298" t="s">
        <v>2397</v>
      </c>
      <c r="B41" s="253" t="s">
        <v>2398</v>
      </c>
      <c r="C41" s="275">
        <f ca="1">ROUND(SUM(C42:C43),0)</f>
        <v>45699538</v>
      </c>
      <c r="D41" s="278">
        <f ca="1">C44</f>
        <v>1E-3</v>
      </c>
      <c r="E41" s="279" t="s">
        <v>2395</v>
      </c>
      <c r="F41" s="280"/>
      <c r="G41" s="277" t="str">
        <f>IF('数据-取费表'!B22&lt;=1,"单利计息","复利计息")</f>
        <v>复利计息</v>
      </c>
    </row>
    <row r="42" spans="1:7" ht="13.5" customHeight="1">
      <c r="A42" s="953" t="s">
        <v>791</v>
      </c>
      <c r="B42" s="258" t="s">
        <v>2399</v>
      </c>
      <c r="C42" s="281">
        <f ca="1">ROUND(IF('数据-取费表'!B22&lt;=1,C33*F22*'数据-取费表'!B20/2,C33*(POWER((1+F22),'数据-取费表'!B20/2)-1)),0)</f>
        <v>45024175</v>
      </c>
      <c r="D42" s="281"/>
      <c r="E42" s="281"/>
      <c r="F42" s="282"/>
      <c r="G42" s="3201" t="s">
        <v>2447</v>
      </c>
    </row>
    <row r="43" spans="1:7" ht="13.5" customHeight="1">
      <c r="A43" s="953" t="s">
        <v>792</v>
      </c>
      <c r="B43" s="258" t="s">
        <v>2401</v>
      </c>
      <c r="C43" s="281">
        <f ca="1">ROUND(IF('数据-取费表'!B22&lt;=1,C39*F22*'数据-取费表'!B20/2,C39*(POWER((1+F22),'数据-取费表'!B20/2)-1)),0)</f>
        <v>675363</v>
      </c>
      <c r="D43" s="281"/>
      <c r="E43" s="281"/>
      <c r="F43" s="282"/>
      <c r="G43" s="3202"/>
    </row>
    <row r="44" spans="1:7" ht="13.5" customHeight="1">
      <c r="A44" s="953" t="s">
        <v>793</v>
      </c>
      <c r="B44" s="258" t="s">
        <v>2402</v>
      </c>
      <c r="C44" s="281">
        <f ca="1">ROUND(IF('数据-取费表'!B22&lt;=1,C40*F22*'数据-取费表'!B20/2,C40*(POWER((1+F22),'数据-取费表'!B20/2)-1)),4)</f>
        <v>1E-3</v>
      </c>
      <c r="D44" s="281"/>
      <c r="E44" s="281"/>
      <c r="F44" s="282"/>
      <c r="G44" s="3203"/>
    </row>
    <row r="45" spans="1:7" s="257" customFormat="1" ht="13.5" customHeight="1">
      <c r="A45" s="298" t="s">
        <v>2403</v>
      </c>
      <c r="B45" s="287" t="s">
        <v>2369</v>
      </c>
      <c r="C45" s="288">
        <f ca="1">C46</f>
        <v>76967643</v>
      </c>
      <c r="D45" s="278">
        <f ca="1">C47</f>
        <v>1.6000000000000001E-3</v>
      </c>
      <c r="E45" s="279" t="s">
        <v>2395</v>
      </c>
      <c r="F45" s="289"/>
      <c r="G45" s="290" t="s">
        <v>2404</v>
      </c>
    </row>
    <row r="46" spans="1:7" s="257" customFormat="1" ht="13.5" customHeight="1">
      <c r="A46" s="953" t="s">
        <v>791</v>
      </c>
      <c r="B46" s="291" t="s">
        <v>2405</v>
      </c>
      <c r="C46" s="292">
        <f ca="1">ROUND((C33+C39)*F27,0)</f>
        <v>76967643</v>
      </c>
      <c r="D46" s="306"/>
      <c r="E46" s="279"/>
      <c r="F46" s="289"/>
      <c r="G46" s="290"/>
    </row>
    <row r="47" spans="1:7" s="257" customFormat="1" ht="13.5" customHeight="1">
      <c r="A47" s="953" t="s">
        <v>792</v>
      </c>
      <c r="B47" s="291" t="s">
        <v>2406</v>
      </c>
      <c r="C47" s="281">
        <f ca="1">ROUND(C40*F27,4)</f>
        <v>1.6000000000000001E-3</v>
      </c>
      <c r="D47" s="306"/>
      <c r="E47" s="279"/>
      <c r="F47" s="289"/>
      <c r="G47" s="290"/>
    </row>
    <row r="48" spans="1:7" s="257" customFormat="1" ht="13.5" customHeight="1">
      <c r="A48" s="298" t="s">
        <v>2368</v>
      </c>
      <c r="B48" s="253" t="s">
        <v>2407</v>
      </c>
      <c r="C48" s="305">
        <f>ROUND(F30/(1+'数据-取费表'!C42),4)</f>
        <v>5.33E-2</v>
      </c>
      <c r="D48" s="279" t="s">
        <v>2395</v>
      </c>
      <c r="E48" s="275"/>
      <c r="F48" s="280"/>
      <c r="G48" s="277" t="s">
        <v>2408</v>
      </c>
    </row>
    <row r="49" spans="1:7" ht="16.5" customHeight="1">
      <c r="A49" s="298" t="s">
        <v>2374</v>
      </c>
      <c r="B49" s="253" t="s">
        <v>2448</v>
      </c>
      <c r="C49" s="275">
        <f ca="1">ROUND((C33+C39+C41+C45)/(1-C40-D41-D45-C48),0)</f>
        <v>1173858583</v>
      </c>
      <c r="D49" s="275"/>
      <c r="E49" s="275"/>
      <c r="F49" s="307"/>
      <c r="G49" s="277" t="s">
        <v>2410</v>
      </c>
    </row>
    <row r="50" spans="1:7" s="301" customFormat="1">
      <c r="A50" s="298" t="s">
        <v>2411</v>
      </c>
      <c r="B50" s="253" t="s">
        <v>2412</v>
      </c>
      <c r="C50" s="275"/>
      <c r="D50" s="275"/>
      <c r="E50" s="275"/>
      <c r="F50" s="307">
        <f>IF('数据-取费表'!B24=0,'数据-取费表'!N16,1)</f>
        <v>1</v>
      </c>
      <c r="G50" s="290"/>
    </row>
    <row r="51" spans="1:7" ht="16.5" customHeight="1">
      <c r="A51" s="298" t="s">
        <v>2414</v>
      </c>
      <c r="B51" s="253" t="s">
        <v>2449</v>
      </c>
      <c r="C51" s="275">
        <f ca="1">ROUND(C49*F50,0)</f>
        <v>1173858583</v>
      </c>
      <c r="D51" s="275"/>
      <c r="E51" s="275"/>
      <c r="F51" s="307"/>
      <c r="G51" s="277" t="s">
        <v>2416</v>
      </c>
    </row>
    <row r="52" spans="1:7" s="251" customFormat="1" ht="16.5" thickBot="1">
      <c r="A52" s="308" t="s">
        <v>2417</v>
      </c>
      <c r="B52" s="309"/>
      <c r="C52" s="310">
        <f ca="1">C31+C51</f>
        <v>1229254263</v>
      </c>
      <c r="D52" s="309"/>
      <c r="E52" s="309"/>
      <c r="F52" s="309"/>
      <c r="G52" s="311"/>
    </row>
    <row r="55" spans="1:7" ht="15">
      <c r="B55" s="313" t="s">
        <v>2418</v>
      </c>
      <c r="C55" s="314"/>
    </row>
    <row r="56" spans="1:7">
      <c r="B56" s="316" t="s">
        <v>1513</v>
      </c>
      <c r="C56" s="318">
        <f ca="1">1-C57</f>
        <v>4.500000000000004E-2</v>
      </c>
    </row>
    <row r="57" spans="1:7">
      <c r="B57" s="316" t="s">
        <v>1514</v>
      </c>
      <c r="C57" s="317">
        <f ca="1">ROUND(C51/C52,3)</f>
        <v>0.95499999999999996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16" t="str">
        <f>项目基本情况!B1</f>
        <v>贵州省遵义市新蒲新区府前路出让国有建设用地使用权及在建建筑物房地产抵押价值预评估</v>
      </c>
      <c r="C37" s="3016"/>
      <c r="D37" s="3016"/>
      <c r="E37" s="3016"/>
      <c r="F37" s="3016"/>
      <c r="G37" s="3016"/>
      <c r="H37" s="3016"/>
      <c r="I37" s="3016"/>
    </row>
    <row r="38" spans="1:9">
      <c r="A38" s="1018"/>
      <c r="B38" s="1018"/>
    </row>
    <row r="39" spans="1:9">
      <c r="A39" s="1016" t="s">
        <v>818</v>
      </c>
      <c r="B39" s="1016" t="s">
        <v>820</v>
      </c>
    </row>
    <row r="40" spans="1:9">
      <c r="A40" s="1016"/>
      <c r="B40" s="1944" t="str">
        <f>项目基本情况!B5</f>
        <v>中信信托有限责任公司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王鹏（注册号：1120050019)、郑燚（注册号：1120070131)</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zoomScale="80" zoomScaleNormal="80" workbookViewId="0">
      <selection activeCell="L56" sqref="L5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5.625" style="402" customWidth="1"/>
    <col min="6" max="6" width="12.25" style="402" customWidth="1"/>
    <col min="7" max="7" width="16.375" style="402" customWidth="1"/>
    <col min="8" max="8" width="12.25" style="402" customWidth="1"/>
    <col min="9" max="9" width="16.2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2732</v>
      </c>
      <c r="B1" s="394"/>
      <c r="C1" s="395" t="s">
        <v>2733</v>
      </c>
      <c r="D1" s="754"/>
      <c r="E1" s="754"/>
      <c r="F1" s="753" t="s">
        <v>2631</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2318</v>
      </c>
      <c r="B2" s="670">
        <f>F66</f>
        <v>15438</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2320</v>
      </c>
      <c r="B3" s="608">
        <f>ROUND(IF(D3="",B2*10000/'数据-汇总表'!E3,B2*10000/D3),0)</f>
        <v>864</v>
      </c>
      <c r="C3" s="246" t="s">
        <v>2734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2633</v>
      </c>
      <c r="B4" s="401"/>
      <c r="C4" s="3208" t="s">
        <v>2634</v>
      </c>
      <c r="D4" s="3221"/>
      <c r="E4" s="3222" t="s">
        <v>2635</v>
      </c>
      <c r="F4" s="3223"/>
      <c r="G4" s="3208" t="s">
        <v>2636</v>
      </c>
      <c r="H4" s="3221"/>
      <c r="I4" s="3208" t="s">
        <v>2637</v>
      </c>
      <c r="J4" s="3221"/>
      <c r="K4" s="609" t="s">
        <v>2638</v>
      </c>
      <c r="L4" s="1132"/>
      <c r="M4" s="1133"/>
      <c r="N4" s="1133"/>
      <c r="O4" s="1133"/>
      <c r="P4" s="3224" t="s">
        <v>2639</v>
      </c>
      <c r="Q4" s="3225"/>
      <c r="R4" s="3230" t="s">
        <v>2635</v>
      </c>
      <c r="S4" s="3231"/>
      <c r="T4" s="3230" t="s">
        <v>2636</v>
      </c>
      <c r="U4" s="3231"/>
      <c r="V4" s="3217" t="s">
        <v>2637</v>
      </c>
      <c r="W4" s="3217"/>
      <c r="X4" s="1815"/>
      <c r="Y4" s="3230" t="s">
        <v>2639</v>
      </c>
      <c r="Z4" s="3231"/>
      <c r="AA4" s="3218" t="s">
        <v>2635</v>
      </c>
      <c r="AB4" s="3219" t="s">
        <v>2636</v>
      </c>
      <c r="AC4" s="3218" t="s">
        <v>2637</v>
      </c>
    </row>
    <row r="5" spans="1:30" ht="15">
      <c r="A5" s="403"/>
      <c r="B5" s="404"/>
      <c r="C5" s="3243" t="s">
        <v>2530</v>
      </c>
      <c r="D5" s="3239"/>
      <c r="E5" s="3247" t="s">
        <v>3050</v>
      </c>
      <c r="F5" s="3248"/>
      <c r="G5" s="3238" t="s">
        <v>3084</v>
      </c>
      <c r="H5" s="3239"/>
      <c r="I5" s="3238" t="s">
        <v>3085</v>
      </c>
      <c r="J5" s="3239"/>
      <c r="K5" s="609"/>
      <c r="L5" s="1132"/>
      <c r="M5" s="1133"/>
      <c r="N5" s="1133"/>
      <c r="O5" s="1133"/>
      <c r="P5" s="3226"/>
      <c r="Q5" s="3227"/>
      <c r="R5" s="3232"/>
      <c r="S5" s="3233"/>
      <c r="T5" s="3232"/>
      <c r="U5" s="3233"/>
      <c r="V5" s="3217"/>
      <c r="W5" s="3217"/>
      <c r="X5" s="1815"/>
      <c r="Y5" s="3232"/>
      <c r="Z5" s="3233"/>
      <c r="AA5" s="3219"/>
      <c r="AB5" s="3219"/>
      <c r="AC5" s="3219"/>
    </row>
    <row r="6" spans="1:30" ht="15.75" thickBot="1">
      <c r="A6" s="405"/>
      <c r="B6" s="406"/>
      <c r="C6" s="3244" t="s">
        <v>2534</v>
      </c>
      <c r="D6" s="3237"/>
      <c r="E6" s="3245" t="s">
        <v>3226</v>
      </c>
      <c r="F6" s="3246"/>
      <c r="G6" s="3236" t="s">
        <v>3227</v>
      </c>
      <c r="H6" s="3237"/>
      <c r="I6" s="3236" t="s">
        <v>3228</v>
      </c>
      <c r="J6" s="3237"/>
      <c r="K6" s="609" t="s">
        <v>2535</v>
      </c>
      <c r="L6" s="1132"/>
      <c r="M6" s="1133"/>
      <c r="N6" s="1133"/>
      <c r="O6" s="1133"/>
      <c r="P6" s="3228"/>
      <c r="Q6" s="3229"/>
      <c r="R6" s="3232"/>
      <c r="S6" s="3233"/>
      <c r="T6" s="3234"/>
      <c r="U6" s="3235"/>
      <c r="V6" s="3217"/>
      <c r="W6" s="3217"/>
      <c r="X6" s="1815"/>
      <c r="Y6" s="3234"/>
      <c r="Z6" s="3235"/>
      <c r="AA6" s="3220"/>
      <c r="AB6" s="3220"/>
      <c r="AC6" s="3220"/>
    </row>
    <row r="7" spans="1:30" s="117" customFormat="1" ht="15.75" thickBot="1">
      <c r="A7" s="407" t="s">
        <v>2536</v>
      </c>
      <c r="B7" s="408"/>
      <c r="C7" s="409">
        <f>'数据-取费表'!B2</f>
        <v>43248</v>
      </c>
      <c r="D7" s="410">
        <v>100</v>
      </c>
      <c r="E7" s="411">
        <v>43063</v>
      </c>
      <c r="F7" s="412">
        <f>SUMIF(70:70,YEAR(E7)&amp;"-"&amp;INT((MONTH(E7)+2)/3),71:71)</f>
        <v>98</v>
      </c>
      <c r="G7" s="2694">
        <v>43063</v>
      </c>
      <c r="H7" s="410">
        <f>SUMIF(70:70,YEAR(G7)&amp;"-"&amp;INT((MONTH(G7)+2)/3),71:71)</f>
        <v>98</v>
      </c>
      <c r="I7" s="2694">
        <v>42983</v>
      </c>
      <c r="J7" s="410">
        <f>SUMIF(70:70,YEAR(I7)&amp;"-"&amp;INT((MONTH(I7)+2)/3),71:71)</f>
        <v>97</v>
      </c>
      <c r="K7" s="610"/>
      <c r="L7" s="1134"/>
      <c r="M7" s="1135"/>
      <c r="N7" s="1135"/>
      <c r="O7" s="1135"/>
      <c r="P7" s="3240" t="s">
        <v>2537</v>
      </c>
      <c r="Q7" s="3242"/>
      <c r="R7" s="769" t="s">
        <v>17</v>
      </c>
      <c r="S7" s="770">
        <f t="shared" ref="S7:S15" si="0">F7</f>
        <v>98</v>
      </c>
      <c r="T7" s="769" t="s">
        <v>17</v>
      </c>
      <c r="U7" s="770">
        <f t="shared" ref="U7:U15" si="1">H7</f>
        <v>98</v>
      </c>
      <c r="V7" s="769" t="s">
        <v>17</v>
      </c>
      <c r="W7" s="770">
        <f t="shared" ref="W7:W15" si="2">J7</f>
        <v>97</v>
      </c>
      <c r="X7" s="771"/>
      <c r="Y7" s="3240" t="s">
        <v>2537</v>
      </c>
      <c r="Z7" s="3241"/>
      <c r="AA7" s="772">
        <f>D7/F7</f>
        <v>1.0204081632653061</v>
      </c>
      <c r="AB7" s="772">
        <f>D7/H7</f>
        <v>1.0204081632653061</v>
      </c>
      <c r="AC7" s="772">
        <f>D7/J7</f>
        <v>1.0309278350515463</v>
      </c>
    </row>
    <row r="8" spans="1:30" s="117" customFormat="1" ht="15.75" thickBot="1">
      <c r="A8" s="407" t="s">
        <v>2538</v>
      </c>
      <c r="B8" s="408"/>
      <c r="C8" s="413" t="s">
        <v>2539</v>
      </c>
      <c r="D8" s="410">
        <v>100</v>
      </c>
      <c r="E8" s="413" t="s">
        <v>3052</v>
      </c>
      <c r="F8" s="412">
        <f>SUMIF(73:73,E8,74:74)-SUMIF(73:73,C8,74:74)+100</f>
        <v>100</v>
      </c>
      <c r="G8" s="413" t="s">
        <v>3052</v>
      </c>
      <c r="H8" s="410">
        <f>SUMIF(73:73,G8,74:74)-SUMIF(73:73,C8,74:74)+100</f>
        <v>100</v>
      </c>
      <c r="I8" s="413" t="s">
        <v>3052</v>
      </c>
      <c r="J8" s="410">
        <f>SUMIF(73:73,I8,74:74)-SUMIF(73:73,C8,74:74)+100</f>
        <v>100</v>
      </c>
      <c r="K8" s="610"/>
      <c r="L8" s="1134"/>
      <c r="M8" s="1135"/>
      <c r="N8" s="1135"/>
      <c r="O8" s="1135"/>
      <c r="P8" s="3240" t="s">
        <v>2540</v>
      </c>
      <c r="Q8" s="3241"/>
      <c r="R8" s="769" t="s">
        <v>17</v>
      </c>
      <c r="S8" s="770">
        <f t="shared" si="0"/>
        <v>100</v>
      </c>
      <c r="T8" s="769" t="s">
        <v>17</v>
      </c>
      <c r="U8" s="770">
        <f t="shared" si="1"/>
        <v>100</v>
      </c>
      <c r="V8" s="769" t="s">
        <v>17</v>
      </c>
      <c r="W8" s="770">
        <f t="shared" si="2"/>
        <v>100</v>
      </c>
      <c r="X8" s="771"/>
      <c r="Y8" s="3240" t="s">
        <v>2540</v>
      </c>
      <c r="Z8" s="3241"/>
      <c r="AA8" s="772">
        <f t="shared" ref="AA8:AA45" si="3">D8/F8</f>
        <v>1</v>
      </c>
      <c r="AB8" s="772">
        <f t="shared" ref="AB8:AB45" si="4">D8/H8</f>
        <v>1</v>
      </c>
      <c r="AC8" s="772">
        <f t="shared" ref="AC8:AC45" si="5">D8/J8</f>
        <v>1</v>
      </c>
    </row>
    <row r="9" spans="1:30" s="117" customFormat="1">
      <c r="A9" s="414" t="s">
        <v>2541</v>
      </c>
      <c r="B9" s="71" t="s">
        <v>2542</v>
      </c>
      <c r="C9" s="2697" t="s">
        <v>1377</v>
      </c>
      <c r="D9" s="134">
        <v>100</v>
      </c>
      <c r="E9" s="2697" t="s">
        <v>1377</v>
      </c>
      <c r="F9" s="134">
        <f>SUMIF(75:75,E9,76:76)-SUMIF(75:75,C9,76:76)+100</f>
        <v>100</v>
      </c>
      <c r="G9" s="2697" t="s">
        <v>1377</v>
      </c>
      <c r="H9" s="134">
        <f>SUMIF(75:75,G9,76:76)-SUMIF(75:75,C9,76:76)+100</f>
        <v>100</v>
      </c>
      <c r="I9" s="2697" t="s">
        <v>1377</v>
      </c>
      <c r="J9" s="134">
        <f>SUMIF(75:75,I9,76:76)-SUMIF(75:75,C9,76:76)+100</f>
        <v>100</v>
      </c>
      <c r="K9" s="610"/>
      <c r="L9" s="1134"/>
      <c r="M9" s="1135"/>
      <c r="N9" s="1135"/>
      <c r="O9" s="1136"/>
      <c r="P9" s="3211" t="s">
        <v>2543</v>
      </c>
      <c r="Q9" s="1797" t="str">
        <f t="shared" ref="Q9:Q15" si="6">B9</f>
        <v>用途</v>
      </c>
      <c r="R9" s="769" t="s">
        <v>17</v>
      </c>
      <c r="S9" s="770">
        <f t="shared" si="0"/>
        <v>100</v>
      </c>
      <c r="T9" s="769" t="s">
        <v>17</v>
      </c>
      <c r="U9" s="770">
        <f t="shared" si="1"/>
        <v>100</v>
      </c>
      <c r="V9" s="769" t="s">
        <v>17</v>
      </c>
      <c r="W9" s="770">
        <f t="shared" si="2"/>
        <v>100</v>
      </c>
      <c r="X9" s="771"/>
      <c r="Y9" s="3059" t="s">
        <v>2544</v>
      </c>
      <c r="Z9" s="55" t="str">
        <f t="shared" ref="Z9:Z15" si="7">Q9</f>
        <v>用途</v>
      </c>
      <c r="AA9" s="772">
        <f t="shared" si="3"/>
        <v>1</v>
      </c>
      <c r="AB9" s="772">
        <f t="shared" si="4"/>
        <v>1</v>
      </c>
      <c r="AC9" s="772">
        <f t="shared" si="5"/>
        <v>1</v>
      </c>
    </row>
    <row r="10" spans="1:30" s="426" customFormat="1" ht="27">
      <c r="A10" s="420"/>
      <c r="B10" s="421" t="s">
        <v>2545</v>
      </c>
      <c r="C10" s="431" t="s">
        <v>3083</v>
      </c>
      <c r="D10" s="135">
        <v>100</v>
      </c>
      <c r="E10" s="464" t="s">
        <v>3051</v>
      </c>
      <c r="F10" s="135">
        <f>ROUND(100/'数据-取费表'!G16,0)</f>
        <v>101</v>
      </c>
      <c r="G10" s="462" t="s">
        <v>3051</v>
      </c>
      <c r="H10" s="135">
        <f>ROUND(100/'数据-取费表'!G16,0)</f>
        <v>101</v>
      </c>
      <c r="I10" s="462" t="s">
        <v>3077</v>
      </c>
      <c r="J10" s="135">
        <f>ROUND(100/'数据-取费表'!G16,0)</f>
        <v>101</v>
      </c>
      <c r="K10" s="671"/>
      <c r="L10" s="1137"/>
      <c r="M10" s="1138"/>
      <c r="N10" s="1138"/>
      <c r="O10" s="1139"/>
      <c r="P10" s="3211"/>
      <c r="Q10" s="1797" t="str">
        <f t="shared" si="6"/>
        <v>土地使用年限（年）</v>
      </c>
      <c r="R10" s="769" t="s">
        <v>17</v>
      </c>
      <c r="S10" s="770">
        <f t="shared" si="0"/>
        <v>101</v>
      </c>
      <c r="T10" s="769" t="s">
        <v>17</v>
      </c>
      <c r="U10" s="770">
        <f t="shared" si="1"/>
        <v>101</v>
      </c>
      <c r="V10" s="769" t="s">
        <v>17</v>
      </c>
      <c r="W10" s="770">
        <f t="shared" si="2"/>
        <v>101</v>
      </c>
      <c r="X10" s="771"/>
      <c r="Y10" s="3059"/>
      <c r="Z10" s="55" t="str">
        <f t="shared" si="7"/>
        <v>土地使用年限（年）</v>
      </c>
      <c r="AA10" s="772">
        <f t="shared" si="3"/>
        <v>0.99009900990099009</v>
      </c>
      <c r="AB10" s="772">
        <f t="shared" si="4"/>
        <v>0.99009900990099009</v>
      </c>
      <c r="AC10" s="772">
        <f t="shared" si="5"/>
        <v>0.99009900990099009</v>
      </c>
    </row>
    <row r="11" spans="1:30" ht="15.75" thickBot="1">
      <c r="A11" s="427"/>
      <c r="B11" s="421" t="s">
        <v>2546</v>
      </c>
      <c r="C11" s="3011">
        <f>'数据-汇总表'!I4</f>
        <v>1.54</v>
      </c>
      <c r="D11" s="135">
        <v>100</v>
      </c>
      <c r="E11" s="428">
        <v>2.2999999999999998</v>
      </c>
      <c r="F11" s="135">
        <f>LOOKUP(E11,80:80,81:81)-LOOKUP(C11,80:80,81:81)+100</f>
        <v>95</v>
      </c>
      <c r="G11" s="429">
        <v>1.7</v>
      </c>
      <c r="H11" s="135">
        <f>LOOKUP(G11,80:80,81:81)-LOOKUP(C11,80:80,81:81)+100</f>
        <v>100</v>
      </c>
      <c r="I11" s="428">
        <v>1.7</v>
      </c>
      <c r="J11" s="135">
        <f>LOOKUP(I11,80:80,81:81)-LOOKUP(C11,80:80,81:81)+100</f>
        <v>100</v>
      </c>
      <c r="K11" s="672">
        <v>5</v>
      </c>
      <c r="L11" s="1140"/>
      <c r="M11" s="1133"/>
      <c r="N11" s="1133"/>
      <c r="O11" s="1141"/>
      <c r="P11" s="3211"/>
      <c r="Q11" s="1797" t="str">
        <f t="shared" si="6"/>
        <v>容积率</v>
      </c>
      <c r="R11" s="769" t="s">
        <v>17</v>
      </c>
      <c r="S11" s="770">
        <f t="shared" si="0"/>
        <v>95</v>
      </c>
      <c r="T11" s="769" t="s">
        <v>17</v>
      </c>
      <c r="U11" s="770">
        <f t="shared" si="1"/>
        <v>100</v>
      </c>
      <c r="V11" s="769" t="s">
        <v>17</v>
      </c>
      <c r="W11" s="770">
        <f t="shared" si="2"/>
        <v>100</v>
      </c>
      <c r="X11" s="771"/>
      <c r="Y11" s="3059"/>
      <c r="Z11" s="55" t="str">
        <f t="shared" si="7"/>
        <v>容积率</v>
      </c>
      <c r="AA11" s="772">
        <f t="shared" si="3"/>
        <v>1.0526315789473684</v>
      </c>
      <c r="AB11" s="772">
        <f t="shared" si="4"/>
        <v>1</v>
      </c>
      <c r="AC11" s="772">
        <f t="shared" si="5"/>
        <v>1</v>
      </c>
    </row>
    <row r="12" spans="1:30" s="117" customFormat="1" ht="15" hidden="1">
      <c r="A12" s="430"/>
      <c r="B12" s="2598"/>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211"/>
      <c r="Q12" s="1797">
        <f t="shared" si="6"/>
        <v>0</v>
      </c>
      <c r="R12" s="769" t="s">
        <v>17</v>
      </c>
      <c r="S12" s="770">
        <f t="shared" si="0"/>
        <v>100</v>
      </c>
      <c r="T12" s="769" t="s">
        <v>17</v>
      </c>
      <c r="U12" s="770">
        <f t="shared" si="1"/>
        <v>100</v>
      </c>
      <c r="V12" s="769" t="s">
        <v>17</v>
      </c>
      <c r="W12" s="770">
        <f t="shared" si="2"/>
        <v>100</v>
      </c>
      <c r="X12" s="771"/>
      <c r="Y12" s="3059"/>
      <c r="Z12" s="55">
        <f t="shared" si="7"/>
        <v>0</v>
      </c>
      <c r="AA12" s="772">
        <f>D12/F12</f>
        <v>1</v>
      </c>
      <c r="AB12" s="772">
        <f>D12/H12</f>
        <v>1</v>
      </c>
      <c r="AC12" s="772">
        <f>D12/J12</f>
        <v>1</v>
      </c>
    </row>
    <row r="13" spans="1:30" ht="15" hidden="1">
      <c r="A13" s="427"/>
      <c r="B13" s="2598"/>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211"/>
      <c r="Q13" s="1797">
        <f t="shared" si="6"/>
        <v>0</v>
      </c>
      <c r="R13" s="769" t="s">
        <v>17</v>
      </c>
      <c r="S13" s="770">
        <f t="shared" si="0"/>
        <v>100</v>
      </c>
      <c r="T13" s="769" t="s">
        <v>17</v>
      </c>
      <c r="U13" s="770">
        <f t="shared" si="1"/>
        <v>100</v>
      </c>
      <c r="V13" s="769" t="s">
        <v>17</v>
      </c>
      <c r="W13" s="770">
        <f t="shared" si="2"/>
        <v>100</v>
      </c>
      <c r="X13" s="771"/>
      <c r="Y13" s="3059"/>
      <c r="Z13" s="55">
        <f t="shared" si="7"/>
        <v>0</v>
      </c>
      <c r="AA13" s="772">
        <f>D13/F13</f>
        <v>1</v>
      </c>
      <c r="AB13" s="772">
        <f>D13/H13</f>
        <v>1</v>
      </c>
      <c r="AC13" s="772">
        <f>D13/J13</f>
        <v>1</v>
      </c>
    </row>
    <row r="14" spans="1:30" ht="15.75" hidden="1" thickBot="1">
      <c r="A14" s="435"/>
      <c r="B14" s="2600"/>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211"/>
      <c r="Q14" s="1797">
        <f t="shared" si="6"/>
        <v>0</v>
      </c>
      <c r="R14" s="769" t="s">
        <v>17</v>
      </c>
      <c r="S14" s="770">
        <f t="shared" si="0"/>
        <v>100</v>
      </c>
      <c r="T14" s="769" t="s">
        <v>17</v>
      </c>
      <c r="U14" s="770">
        <f t="shared" si="1"/>
        <v>100</v>
      </c>
      <c r="V14" s="769" t="s">
        <v>17</v>
      </c>
      <c r="W14" s="770">
        <f t="shared" si="2"/>
        <v>100</v>
      </c>
      <c r="X14" s="771"/>
      <c r="Y14" s="3059"/>
      <c r="Z14" s="55">
        <f t="shared" si="7"/>
        <v>0</v>
      </c>
      <c r="AA14" s="772">
        <f>D14/F14</f>
        <v>1</v>
      </c>
      <c r="AB14" s="772">
        <f>D14/H14</f>
        <v>1</v>
      </c>
      <c r="AC14" s="772">
        <f>D14/J14</f>
        <v>1</v>
      </c>
    </row>
    <row r="15" spans="1:30" ht="15">
      <c r="A15" s="439" t="s">
        <v>2547</v>
      </c>
      <c r="B15" s="69" t="s">
        <v>2085</v>
      </c>
      <c r="C15" s="2601">
        <f>估价对象房地状况!C15</f>
        <v>0</v>
      </c>
      <c r="D15" s="440">
        <v>100</v>
      </c>
      <c r="E15" s="441"/>
      <c r="F15" s="440">
        <f>SUMIF(88:88,E16,89:89)-SUMIF(88:88,C16,89:89)+100</f>
        <v>100</v>
      </c>
      <c r="G15" s="441"/>
      <c r="H15" s="440">
        <f>SUMIF(88:88,G16,89:89)-SUMIF(88:88,C16,89:89)+100</f>
        <v>100</v>
      </c>
      <c r="I15" s="443"/>
      <c r="J15" s="440">
        <f>SUMIF(88:88,I16,89:89)-SUMIF(88:88,C16,89:89)+100</f>
        <v>100</v>
      </c>
      <c r="K15" s="672">
        <v>3</v>
      </c>
      <c r="L15" s="1142"/>
      <c r="M15" s="1133"/>
      <c r="N15" s="1133"/>
      <c r="O15" s="1141"/>
      <c r="P15" s="3213" t="s">
        <v>2548</v>
      </c>
      <c r="Q15" s="1812" t="str">
        <f t="shared" si="6"/>
        <v>居住社区成熟度</v>
      </c>
      <c r="R15" s="773" t="s">
        <v>17</v>
      </c>
      <c r="S15" s="774">
        <f t="shared" si="0"/>
        <v>100</v>
      </c>
      <c r="T15" s="773" t="s">
        <v>17</v>
      </c>
      <c r="U15" s="774">
        <f t="shared" si="1"/>
        <v>100</v>
      </c>
      <c r="V15" s="773" t="s">
        <v>17</v>
      </c>
      <c r="W15" s="774">
        <f t="shared" si="2"/>
        <v>100</v>
      </c>
      <c r="X15" s="1815"/>
      <c r="Y15" s="3213" t="s">
        <v>2548</v>
      </c>
      <c r="Z15" s="1816" t="str">
        <f t="shared" si="7"/>
        <v>居住社区成熟度</v>
      </c>
      <c r="AA15" s="1813">
        <f t="shared" si="3"/>
        <v>1</v>
      </c>
      <c r="AB15" s="1813">
        <f t="shared" si="4"/>
        <v>1</v>
      </c>
      <c r="AC15" s="1813">
        <f t="shared" si="5"/>
        <v>1</v>
      </c>
    </row>
    <row r="16" spans="1:30" ht="15">
      <c r="A16" s="427"/>
      <c r="B16" s="445"/>
      <c r="C16" s="446" t="s">
        <v>3078</v>
      </c>
      <c r="D16" s="447"/>
      <c r="E16" s="446" t="s">
        <v>3078</v>
      </c>
      <c r="F16" s="447"/>
      <c r="G16" s="446" t="s">
        <v>3078</v>
      </c>
      <c r="H16" s="449"/>
      <c r="I16" s="446" t="s">
        <v>3078</v>
      </c>
      <c r="J16" s="447"/>
      <c r="K16" s="671"/>
      <c r="L16" s="1142"/>
      <c r="M16" s="1133"/>
      <c r="N16" s="1133"/>
      <c r="O16" s="1141"/>
      <c r="P16" s="3214"/>
      <c r="Q16" s="1812"/>
      <c r="R16" s="773"/>
      <c r="S16" s="774"/>
      <c r="T16" s="773"/>
      <c r="U16" s="774"/>
      <c r="V16" s="773"/>
      <c r="W16" s="774"/>
      <c r="X16" s="1815"/>
      <c r="Y16" s="3214"/>
      <c r="Z16" s="1816"/>
      <c r="AA16" s="1813">
        <v>1</v>
      </c>
      <c r="AB16" s="1813">
        <v>1</v>
      </c>
      <c r="AC16" s="1813">
        <v>1</v>
      </c>
    </row>
    <row r="17" spans="1:29" ht="15">
      <c r="A17" s="427"/>
      <c r="B17" s="450" t="s">
        <v>2641</v>
      </c>
      <c r="C17" s="2662">
        <f>估价对象房地状况!C16</f>
        <v>0</v>
      </c>
      <c r="D17" s="449">
        <v>100</v>
      </c>
      <c r="E17" s="451"/>
      <c r="F17" s="449">
        <f>SUMIF(90:90,E18,91:91)-SUMIF(90:90,C18,91:91)+100</f>
        <v>100</v>
      </c>
      <c r="G17" s="451"/>
      <c r="H17" s="454">
        <f>SUMIF(90:90,G18,91:91)-SUMIF(90:90,C18,91:91)+100</f>
        <v>100</v>
      </c>
      <c r="I17" s="453"/>
      <c r="J17" s="454">
        <f>SUMIF(90:90,I18,91:91)-SUMIF(90:90,C18,91:91)+100</f>
        <v>100</v>
      </c>
      <c r="K17" s="672">
        <v>3</v>
      </c>
      <c r="L17" s="1142"/>
      <c r="M17" s="1133"/>
      <c r="N17" s="1133"/>
      <c r="O17" s="1141"/>
      <c r="P17" s="3214"/>
      <c r="Q17" s="1812" t="str">
        <f>B17</f>
        <v>商业繁华度</v>
      </c>
      <c r="R17" s="773" t="s">
        <v>17</v>
      </c>
      <c r="S17" s="774">
        <f>F17</f>
        <v>100</v>
      </c>
      <c r="T17" s="773" t="s">
        <v>17</v>
      </c>
      <c r="U17" s="774">
        <f>H17</f>
        <v>100</v>
      </c>
      <c r="V17" s="773" t="s">
        <v>17</v>
      </c>
      <c r="W17" s="774">
        <f>J17</f>
        <v>100</v>
      </c>
      <c r="X17" s="1815"/>
      <c r="Y17" s="3214"/>
      <c r="Z17" s="1816" t="str">
        <f>Q17</f>
        <v>商业繁华度</v>
      </c>
      <c r="AA17" s="1813">
        <f t="shared" si="3"/>
        <v>1</v>
      </c>
      <c r="AB17" s="1813">
        <f t="shared" si="4"/>
        <v>1</v>
      </c>
      <c r="AC17" s="1813">
        <f t="shared" si="5"/>
        <v>1</v>
      </c>
    </row>
    <row r="18" spans="1:29" ht="15">
      <c r="A18" s="427"/>
      <c r="B18" s="455"/>
      <c r="C18" s="446" t="s">
        <v>3078</v>
      </c>
      <c r="D18" s="449"/>
      <c r="E18" s="446" t="s">
        <v>3078</v>
      </c>
      <c r="F18" s="449"/>
      <c r="G18" s="446" t="s">
        <v>3078</v>
      </c>
      <c r="H18" s="447"/>
      <c r="I18" s="446" t="s">
        <v>3078</v>
      </c>
      <c r="J18" s="447"/>
      <c r="K18" s="671"/>
      <c r="L18" s="1142"/>
      <c r="M18" s="1133"/>
      <c r="N18" s="1133"/>
      <c r="O18" s="1141"/>
      <c r="P18" s="3214"/>
      <c r="Q18" s="1812"/>
      <c r="R18" s="773"/>
      <c r="S18" s="774"/>
      <c r="T18" s="773"/>
      <c r="U18" s="774"/>
      <c r="V18" s="773"/>
      <c r="W18" s="774"/>
      <c r="X18" s="1815"/>
      <c r="Y18" s="3214"/>
      <c r="Z18" s="1816"/>
      <c r="AA18" s="1813">
        <v>1</v>
      </c>
      <c r="AB18" s="1813">
        <v>1</v>
      </c>
      <c r="AC18" s="1813">
        <v>1</v>
      </c>
    </row>
    <row r="19" spans="1:29" ht="15">
      <c r="A19" s="427"/>
      <c r="B19" s="450" t="s">
        <v>2675</v>
      </c>
      <c r="C19" s="2662">
        <f>估价对象房地状况!C17</f>
        <v>0</v>
      </c>
      <c r="D19" s="454">
        <v>100</v>
      </c>
      <c r="E19" s="456"/>
      <c r="F19" s="454">
        <f>SUMIF(92:92,E20,93:93)-SUMIF(92:92,C20,93:93)+100</f>
        <v>100</v>
      </c>
      <c r="G19" s="456"/>
      <c r="H19" s="449">
        <f>SUMIF(92:92,G20,93:93)-SUMIF(92:92,C20,93:93)+100</f>
        <v>100</v>
      </c>
      <c r="I19" s="458"/>
      <c r="J19" s="449">
        <f>SUMIF(92:92,I20,93:93)-SUMIF(92:92,C20,93:93)+100</f>
        <v>100</v>
      </c>
      <c r="K19" s="672">
        <v>3</v>
      </c>
      <c r="L19" s="1142"/>
      <c r="M19" s="1133"/>
      <c r="N19" s="1133"/>
      <c r="O19" s="1141"/>
      <c r="P19" s="3214"/>
      <c r="Q19" s="1812" t="str">
        <f>B19</f>
        <v>办公集聚程度</v>
      </c>
      <c r="R19" s="773" t="s">
        <v>17</v>
      </c>
      <c r="S19" s="774">
        <f>F19</f>
        <v>100</v>
      </c>
      <c r="T19" s="773" t="s">
        <v>17</v>
      </c>
      <c r="U19" s="774">
        <f>H19</f>
        <v>100</v>
      </c>
      <c r="V19" s="773" t="s">
        <v>17</v>
      </c>
      <c r="W19" s="774">
        <f>J19</f>
        <v>100</v>
      </c>
      <c r="X19" s="1815"/>
      <c r="Y19" s="3214"/>
      <c r="Z19" s="1816" t="str">
        <f>Q19</f>
        <v>办公集聚程度</v>
      </c>
      <c r="AA19" s="1813">
        <f t="shared" si="3"/>
        <v>1</v>
      </c>
      <c r="AB19" s="1813">
        <f t="shared" si="4"/>
        <v>1</v>
      </c>
      <c r="AC19" s="1813">
        <f t="shared" si="5"/>
        <v>1</v>
      </c>
    </row>
    <row r="20" spans="1:29" ht="15">
      <c r="A20" s="427"/>
      <c r="B20" s="455"/>
      <c r="C20" s="446" t="s">
        <v>3078</v>
      </c>
      <c r="D20" s="447"/>
      <c r="E20" s="446" t="s">
        <v>3078</v>
      </c>
      <c r="F20" s="447"/>
      <c r="G20" s="446" t="s">
        <v>3078</v>
      </c>
      <c r="H20" s="447"/>
      <c r="I20" s="446" t="s">
        <v>3078</v>
      </c>
      <c r="J20" s="447"/>
      <c r="K20" s="671"/>
      <c r="L20" s="1142"/>
      <c r="M20" s="1133"/>
      <c r="N20" s="1133"/>
      <c r="O20" s="1141"/>
      <c r="P20" s="3214"/>
      <c r="Q20" s="1812"/>
      <c r="R20" s="773"/>
      <c r="S20" s="774"/>
      <c r="T20" s="773"/>
      <c r="U20" s="774"/>
      <c r="V20" s="773"/>
      <c r="W20" s="774"/>
      <c r="X20" s="1815"/>
      <c r="Y20" s="3214"/>
      <c r="Z20" s="1816"/>
      <c r="AA20" s="1813">
        <v>1</v>
      </c>
      <c r="AB20" s="1813">
        <v>1</v>
      </c>
      <c r="AC20" s="1813">
        <v>1</v>
      </c>
    </row>
    <row r="21" spans="1:29" ht="15">
      <c r="A21" s="427"/>
      <c r="B21" s="450" t="s">
        <v>2697</v>
      </c>
      <c r="C21" s="2605">
        <f>估价对象房地状况!C18</f>
        <v>0</v>
      </c>
      <c r="D21" s="449">
        <v>100</v>
      </c>
      <c r="E21" s="451"/>
      <c r="F21" s="454">
        <f>SUMIF(94:94,E22,95:95)-SUMIF(94:94,C22,95:95)+100</f>
        <v>100</v>
      </c>
      <c r="G21" s="451"/>
      <c r="H21" s="449">
        <f>SUMIF(94:94,G22,95:95)-SUMIF(94:94,C22,95:95)+100</f>
        <v>100</v>
      </c>
      <c r="I21" s="453"/>
      <c r="J21" s="449">
        <f>SUMIF(94:94,I22,95:95)-SUMIF(94:94,C22,95:95)+100</f>
        <v>100</v>
      </c>
      <c r="K21" s="672">
        <v>3</v>
      </c>
      <c r="L21" s="1142"/>
      <c r="M21" s="1133"/>
      <c r="N21" s="1133"/>
      <c r="O21" s="1141"/>
      <c r="P21" s="3214"/>
      <c r="Q21" s="1812" t="str">
        <f>B21</f>
        <v>交通便捷度</v>
      </c>
      <c r="R21" s="773" t="s">
        <v>17</v>
      </c>
      <c r="S21" s="774">
        <f>F21</f>
        <v>100</v>
      </c>
      <c r="T21" s="773" t="s">
        <v>17</v>
      </c>
      <c r="U21" s="774">
        <f>H21</f>
        <v>100</v>
      </c>
      <c r="V21" s="773" t="s">
        <v>17</v>
      </c>
      <c r="W21" s="774">
        <f>J21</f>
        <v>100</v>
      </c>
      <c r="X21" s="1815"/>
      <c r="Y21" s="3214"/>
      <c r="Z21" s="1816" t="str">
        <f>Q21</f>
        <v>交通便捷度</v>
      </c>
      <c r="AA21" s="1813">
        <f t="shared" si="3"/>
        <v>1</v>
      </c>
      <c r="AB21" s="1813">
        <f t="shared" si="4"/>
        <v>1</v>
      </c>
      <c r="AC21" s="1813">
        <f t="shared" si="5"/>
        <v>1</v>
      </c>
    </row>
    <row r="22" spans="1:29" ht="15">
      <c r="A22" s="427"/>
      <c r="B22" s="1386"/>
      <c r="C22" s="446" t="s">
        <v>3078</v>
      </c>
      <c r="D22" s="449"/>
      <c r="E22" s="446" t="s">
        <v>3078</v>
      </c>
      <c r="F22" s="447"/>
      <c r="G22" s="446" t="s">
        <v>3078</v>
      </c>
      <c r="H22" s="447"/>
      <c r="I22" s="446" t="s">
        <v>3078</v>
      </c>
      <c r="J22" s="447"/>
      <c r="K22" s="671"/>
      <c r="L22" s="1142"/>
      <c r="M22" s="1133"/>
      <c r="N22" s="1133"/>
      <c r="O22" s="1141"/>
      <c r="P22" s="3214"/>
      <c r="Q22" s="1812"/>
      <c r="R22" s="773"/>
      <c r="S22" s="774"/>
      <c r="T22" s="773"/>
      <c r="U22" s="774"/>
      <c r="V22" s="773"/>
      <c r="W22" s="774"/>
      <c r="X22" s="1815"/>
      <c r="Y22" s="3214"/>
      <c r="Z22" s="1816"/>
      <c r="AA22" s="1813">
        <v>1</v>
      </c>
      <c r="AB22" s="1813">
        <v>1</v>
      </c>
      <c r="AC22" s="1813">
        <v>1</v>
      </c>
    </row>
    <row r="23" spans="1:29" ht="15">
      <c r="A23" s="403"/>
      <c r="B23" s="450" t="s">
        <v>2735</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5</v>
      </c>
      <c r="L23" s="1142"/>
      <c r="M23" s="1133"/>
      <c r="N23" s="1133"/>
      <c r="O23" s="1141"/>
      <c r="P23" s="3214"/>
      <c r="Q23" s="1812" t="str">
        <f t="shared" ref="Q23:Q37" si="8">B23</f>
        <v>区域土地利用方向</v>
      </c>
      <c r="R23" s="773" t="s">
        <v>17</v>
      </c>
      <c r="S23" s="774">
        <f>F23</f>
        <v>100</v>
      </c>
      <c r="T23" s="773" t="s">
        <v>17</v>
      </c>
      <c r="U23" s="774">
        <f>H23</f>
        <v>100</v>
      </c>
      <c r="V23" s="773" t="s">
        <v>17</v>
      </c>
      <c r="W23" s="774">
        <f>J23</f>
        <v>100</v>
      </c>
      <c r="X23" s="1815"/>
      <c r="Y23" s="3214"/>
      <c r="Z23" s="1816" t="str">
        <f>Q23</f>
        <v>区域土地利用方向</v>
      </c>
      <c r="AA23" s="1813">
        <f t="shared" si="3"/>
        <v>1</v>
      </c>
      <c r="AB23" s="1813">
        <f t="shared" si="4"/>
        <v>1</v>
      </c>
      <c r="AC23" s="1813">
        <f t="shared" si="5"/>
        <v>1</v>
      </c>
    </row>
    <row r="24" spans="1:29" ht="15">
      <c r="A24" s="403"/>
      <c r="B24" s="455"/>
      <c r="C24" s="446" t="s">
        <v>3078</v>
      </c>
      <c r="D24" s="447"/>
      <c r="E24" s="446" t="s">
        <v>3078</v>
      </c>
      <c r="F24" s="447"/>
      <c r="G24" s="446" t="s">
        <v>3078</v>
      </c>
      <c r="H24" s="447"/>
      <c r="I24" s="446" t="s">
        <v>3078</v>
      </c>
      <c r="J24" s="447"/>
      <c r="K24" s="811"/>
      <c r="L24" s="1142"/>
      <c r="M24" s="1133"/>
      <c r="N24" s="1133"/>
      <c r="O24" s="1141"/>
      <c r="P24" s="3214"/>
      <c r="Q24" s="1812"/>
      <c r="R24" s="773"/>
      <c r="S24" s="774"/>
      <c r="T24" s="773"/>
      <c r="U24" s="774"/>
      <c r="V24" s="773"/>
      <c r="W24" s="774"/>
      <c r="X24" s="1815"/>
      <c r="Y24" s="3214"/>
      <c r="Z24" s="1816"/>
      <c r="AA24" s="1813"/>
      <c r="AB24" s="1813"/>
      <c r="AC24" s="1813"/>
    </row>
    <row r="25" spans="1:29" ht="27">
      <c r="A25" s="403"/>
      <c r="B25" s="1386" t="s">
        <v>2736</v>
      </c>
      <c r="C25" s="2662">
        <f>估价对象房地状况!C20</f>
        <v>0</v>
      </c>
      <c r="D25" s="449">
        <v>100</v>
      </c>
      <c r="E25" s="451"/>
      <c r="F25" s="449">
        <f>SUMIF(98:98,E26,99:99)-SUMIF(98:98,C26,99:99)+100</f>
        <v>100</v>
      </c>
      <c r="G25" s="451"/>
      <c r="H25" s="449">
        <f>SUMIF(98:98,G26,99:99)-SUMIF(98:98,C26,99:99)+100</f>
        <v>100</v>
      </c>
      <c r="I25" s="453"/>
      <c r="J25" s="449">
        <f>SUMIF(98:98,I26,99:99)-SUMIF(98:98,C26,99:99)+100</f>
        <v>100</v>
      </c>
      <c r="K25" s="672">
        <v>3</v>
      </c>
      <c r="L25" s="1142"/>
      <c r="M25" s="1133"/>
      <c r="N25" s="1133"/>
      <c r="O25" s="1141"/>
      <c r="P25" s="3214"/>
      <c r="Q25" s="1812" t="str">
        <f t="shared" si="8"/>
        <v>自然及人文环境状况</v>
      </c>
      <c r="R25" s="773" t="s">
        <v>17</v>
      </c>
      <c r="S25" s="774">
        <f>F25</f>
        <v>100</v>
      </c>
      <c r="T25" s="773" t="s">
        <v>17</v>
      </c>
      <c r="U25" s="774">
        <f>H25</f>
        <v>100</v>
      </c>
      <c r="V25" s="773" t="s">
        <v>17</v>
      </c>
      <c r="W25" s="774">
        <f>J25</f>
        <v>100</v>
      </c>
      <c r="X25" s="1815"/>
      <c r="Y25" s="3214"/>
      <c r="Z25" s="1816" t="str">
        <f>Q25</f>
        <v>自然及人文环境状况</v>
      </c>
      <c r="AA25" s="1813">
        <f t="shared" si="3"/>
        <v>1</v>
      </c>
      <c r="AB25" s="1813">
        <f t="shared" si="4"/>
        <v>1</v>
      </c>
      <c r="AC25" s="1813">
        <f t="shared" si="5"/>
        <v>1</v>
      </c>
    </row>
    <row r="26" spans="1:29" ht="15">
      <c r="A26" s="403"/>
      <c r="B26" s="455"/>
      <c r="C26" s="446" t="s">
        <v>3078</v>
      </c>
      <c r="D26" s="447"/>
      <c r="E26" s="446" t="s">
        <v>3078</v>
      </c>
      <c r="F26" s="447"/>
      <c r="G26" s="446" t="s">
        <v>3078</v>
      </c>
      <c r="H26" s="447"/>
      <c r="I26" s="446" t="s">
        <v>3078</v>
      </c>
      <c r="J26" s="447"/>
      <c r="K26" s="671"/>
      <c r="L26" s="1142"/>
      <c r="M26" s="1133"/>
      <c r="N26" s="1133"/>
      <c r="O26" s="1141"/>
      <c r="P26" s="3214"/>
      <c r="Q26" s="1812"/>
      <c r="R26" s="773"/>
      <c r="S26" s="774"/>
      <c r="T26" s="773"/>
      <c r="U26" s="774"/>
      <c r="V26" s="773"/>
      <c r="W26" s="774"/>
      <c r="X26" s="1815"/>
      <c r="Y26" s="3214"/>
      <c r="Z26" s="1816"/>
      <c r="AA26" s="1813">
        <v>1</v>
      </c>
      <c r="AB26" s="1813">
        <v>1</v>
      </c>
      <c r="AC26" s="1813">
        <v>1</v>
      </c>
    </row>
    <row r="27" spans="1:29" s="117" customFormat="1" ht="15">
      <c r="A27" s="648"/>
      <c r="B27" s="1386" t="s">
        <v>2642</v>
      </c>
      <c r="C27" s="2605">
        <f>估价对象房地状况!C21</f>
        <v>0</v>
      </c>
      <c r="D27" s="449">
        <v>100</v>
      </c>
      <c r="E27" s="451"/>
      <c r="F27" s="449">
        <f>SUMIF(100:100,E28,101:101)-SUMIF(100:100,C28,101:101)+100</f>
        <v>100</v>
      </c>
      <c r="G27" s="451"/>
      <c r="H27" s="449">
        <f>SUMIF(100:100,G28,101:101)-SUMIF(100:100,C28,101:101)+100</f>
        <v>100</v>
      </c>
      <c r="I27" s="453"/>
      <c r="J27" s="449">
        <f>SUMIF(100:100,I28,101:101)-SUMIF(100:100,C28,101:101)+100</f>
        <v>100</v>
      </c>
      <c r="K27" s="672">
        <v>3</v>
      </c>
      <c r="L27" s="1134"/>
      <c r="M27" s="1135"/>
      <c r="N27" s="1135"/>
      <c r="O27" s="1136"/>
      <c r="P27" s="3214"/>
      <c r="Q27" s="1797" t="str">
        <f t="shared" si="8"/>
        <v>公共配套设施</v>
      </c>
      <c r="R27" s="769" t="s">
        <v>17</v>
      </c>
      <c r="S27" s="770">
        <f>F27</f>
        <v>100</v>
      </c>
      <c r="T27" s="769" t="s">
        <v>17</v>
      </c>
      <c r="U27" s="770">
        <f>H27</f>
        <v>100</v>
      </c>
      <c r="V27" s="769" t="s">
        <v>17</v>
      </c>
      <c r="W27" s="770">
        <f>J27</f>
        <v>100</v>
      </c>
      <c r="X27" s="771"/>
      <c r="Y27" s="3214"/>
      <c r="Z27" s="55" t="str">
        <f>Q27</f>
        <v>公共配套设施</v>
      </c>
      <c r="AA27" s="1813">
        <f>D27/F27</f>
        <v>1</v>
      </c>
      <c r="AB27" s="1813">
        <f>D27/H27</f>
        <v>1</v>
      </c>
      <c r="AC27" s="1813">
        <f>D27/J27</f>
        <v>1</v>
      </c>
    </row>
    <row r="28" spans="1:29" s="117" customFormat="1" ht="15">
      <c r="A28" s="648"/>
      <c r="B28" s="455"/>
      <c r="C28" s="446" t="s">
        <v>3078</v>
      </c>
      <c r="D28" s="447"/>
      <c r="E28" s="446" t="s">
        <v>3078</v>
      </c>
      <c r="F28" s="447"/>
      <c r="G28" s="446" t="s">
        <v>3078</v>
      </c>
      <c r="H28" s="447"/>
      <c r="I28" s="446" t="s">
        <v>3078</v>
      </c>
      <c r="J28" s="447"/>
      <c r="K28" s="671"/>
      <c r="L28" s="1134"/>
      <c r="M28" s="1135"/>
      <c r="N28" s="1135"/>
      <c r="O28" s="1136"/>
      <c r="P28" s="3214"/>
      <c r="Q28" s="1797"/>
      <c r="R28" s="769"/>
      <c r="S28" s="770"/>
      <c r="T28" s="769"/>
      <c r="U28" s="770"/>
      <c r="V28" s="769"/>
      <c r="W28" s="770"/>
      <c r="X28" s="771"/>
      <c r="Y28" s="3214"/>
      <c r="Z28" s="55"/>
      <c r="AA28" s="1813">
        <v>1</v>
      </c>
      <c r="AB28" s="1813">
        <v>1</v>
      </c>
      <c r="AC28" s="1813">
        <v>1</v>
      </c>
    </row>
    <row r="29" spans="1:29" s="117" customFormat="1" ht="15">
      <c r="A29" s="648"/>
      <c r="B29" s="1386" t="s">
        <v>2643</v>
      </c>
      <c r="C29" s="2605">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34"/>
      <c r="M29" s="1135"/>
      <c r="N29" s="1135"/>
      <c r="O29" s="1136"/>
      <c r="P29" s="3214"/>
      <c r="Q29" s="1797" t="str">
        <f t="shared" ref="Q29" si="9">B29</f>
        <v>基础设施水平</v>
      </c>
      <c r="R29" s="769" t="s">
        <v>17</v>
      </c>
      <c r="S29" s="770">
        <f>F29</f>
        <v>100</v>
      </c>
      <c r="T29" s="769" t="s">
        <v>17</v>
      </c>
      <c r="U29" s="770">
        <f>H29</f>
        <v>100</v>
      </c>
      <c r="V29" s="769" t="s">
        <v>17</v>
      </c>
      <c r="W29" s="770">
        <f>J29</f>
        <v>100</v>
      </c>
      <c r="X29" s="771"/>
      <c r="Y29" s="3214"/>
      <c r="Z29" s="55" t="str">
        <f>Q29</f>
        <v>基础设施水平</v>
      </c>
      <c r="AA29" s="1813">
        <f>D29/F29</f>
        <v>1</v>
      </c>
      <c r="AB29" s="1813">
        <f>D29/H29</f>
        <v>1</v>
      </c>
      <c r="AC29" s="1813">
        <f>D29/J29</f>
        <v>1</v>
      </c>
    </row>
    <row r="30" spans="1:29" s="117" customFormat="1" ht="15">
      <c r="A30" s="648"/>
      <c r="B30" s="455"/>
      <c r="C30" s="2698" t="s">
        <v>3057</v>
      </c>
      <c r="D30" s="447"/>
      <c r="E30" s="2698" t="s">
        <v>3057</v>
      </c>
      <c r="F30" s="447"/>
      <c r="G30" s="2698" t="s">
        <v>3057</v>
      </c>
      <c r="H30" s="447"/>
      <c r="I30" s="2698" t="s">
        <v>3057</v>
      </c>
      <c r="J30" s="447"/>
      <c r="K30" s="671"/>
      <c r="L30" s="1134"/>
      <c r="M30" s="1135"/>
      <c r="N30" s="1135"/>
      <c r="O30" s="1136"/>
      <c r="P30" s="3214"/>
      <c r="Q30" s="1797"/>
      <c r="R30" s="769"/>
      <c r="S30" s="770"/>
      <c r="T30" s="769"/>
      <c r="U30" s="770"/>
      <c r="V30" s="769"/>
      <c r="W30" s="770"/>
      <c r="X30" s="771"/>
      <c r="Y30" s="3214"/>
      <c r="Z30" s="55"/>
      <c r="AA30" s="1813">
        <v>1</v>
      </c>
      <c r="AB30" s="1813">
        <v>1</v>
      </c>
      <c r="AC30" s="1813">
        <v>1</v>
      </c>
    </row>
    <row r="31" spans="1:29" ht="15">
      <c r="A31" s="427"/>
      <c r="B31" s="455" t="s">
        <v>2644</v>
      </c>
      <c r="C31" s="615" t="s">
        <v>3079</v>
      </c>
      <c r="D31" s="434">
        <v>100</v>
      </c>
      <c r="E31" s="615" t="s">
        <v>3079</v>
      </c>
      <c r="F31" s="434">
        <f>SUMIF(104:104,E31,105:105)-SUMIF(104:104,C31,105:105)+100</f>
        <v>100</v>
      </c>
      <c r="G31" s="615" t="s">
        <v>3079</v>
      </c>
      <c r="H31" s="434">
        <f>SUMIF(104:104,G31,105:105)-SUMIF(104:104,C31,105:105)+100</f>
        <v>100</v>
      </c>
      <c r="I31" s="615" t="s">
        <v>3079</v>
      </c>
      <c r="J31" s="434">
        <f>SUMIF(104:104,I31,105:105)-SUMIF(104:104,C31,105:105)+100</f>
        <v>100</v>
      </c>
      <c r="K31" s="672">
        <v>2</v>
      </c>
      <c r="L31" s="1142"/>
      <c r="M31" s="1133"/>
      <c r="N31" s="1133"/>
      <c r="O31" s="1141"/>
      <c r="P31" s="3214"/>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14"/>
      <c r="Z31" s="1816" t="str">
        <f t="shared" ref="Z31:Z45" si="13">Q31</f>
        <v>临街状况</v>
      </c>
      <c r="AA31" s="1813">
        <f t="shared" si="3"/>
        <v>1</v>
      </c>
      <c r="AB31" s="1813">
        <f t="shared" si="4"/>
        <v>1</v>
      </c>
      <c r="AC31" s="1813">
        <f t="shared" si="5"/>
        <v>1</v>
      </c>
    </row>
    <row r="32" spans="1:29" ht="27">
      <c r="A32" s="427"/>
      <c r="B32" s="1386" t="s">
        <v>2679</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v>2</v>
      </c>
      <c r="L32" s="1142"/>
      <c r="M32" s="1133"/>
      <c r="N32" s="1133"/>
      <c r="O32" s="1141"/>
      <c r="P32" s="3214"/>
      <c r="Q32" s="1812" t="str">
        <f t="shared" si="8"/>
        <v>毗邻道路的类型与等级</v>
      </c>
      <c r="R32" s="773" t="s">
        <v>17</v>
      </c>
      <c r="S32" s="774">
        <f t="shared" si="10"/>
        <v>100</v>
      </c>
      <c r="T32" s="773" t="s">
        <v>17</v>
      </c>
      <c r="U32" s="774">
        <f t="shared" si="11"/>
        <v>100</v>
      </c>
      <c r="V32" s="773" t="s">
        <v>17</v>
      </c>
      <c r="W32" s="774">
        <f t="shared" si="12"/>
        <v>100</v>
      </c>
      <c r="X32" s="1815"/>
      <c r="Y32" s="3214"/>
      <c r="Z32" s="1816" t="str">
        <f t="shared" si="13"/>
        <v>毗邻道路的类型与等级</v>
      </c>
      <c r="AA32" s="1813">
        <f t="shared" si="3"/>
        <v>1</v>
      </c>
      <c r="AB32" s="1813">
        <f t="shared" si="4"/>
        <v>1</v>
      </c>
      <c r="AC32" s="1813">
        <f t="shared" si="5"/>
        <v>1</v>
      </c>
    </row>
    <row r="33" spans="1:29" ht="15.75" thickBot="1">
      <c r="A33" s="427"/>
      <c r="B33" s="455"/>
      <c r="C33" s="446" t="s">
        <v>3054</v>
      </c>
      <c r="D33" s="447"/>
      <c r="E33" s="446" t="s">
        <v>3054</v>
      </c>
      <c r="F33" s="447"/>
      <c r="G33" s="446" t="s">
        <v>3054</v>
      </c>
      <c r="H33" s="447"/>
      <c r="I33" s="446" t="s">
        <v>3054</v>
      </c>
      <c r="J33" s="447"/>
      <c r="K33" s="612"/>
      <c r="L33" s="1142"/>
      <c r="M33" s="1133"/>
      <c r="N33" s="1133"/>
      <c r="O33" s="1141"/>
      <c r="P33" s="3214"/>
      <c r="Q33" s="1812"/>
      <c r="R33" s="773"/>
      <c r="S33" s="774"/>
      <c r="T33" s="773"/>
      <c r="U33" s="774"/>
      <c r="V33" s="773"/>
      <c r="W33" s="774"/>
      <c r="X33" s="1815"/>
      <c r="Y33" s="3214"/>
      <c r="Z33" s="1816"/>
      <c r="AA33" s="1813">
        <v>1</v>
      </c>
      <c r="AB33" s="1813">
        <v>1</v>
      </c>
      <c r="AC33" s="1813">
        <v>1</v>
      </c>
    </row>
    <row r="34" spans="1:29" ht="15.75" hidden="1" thickBot="1">
      <c r="A34" s="427"/>
      <c r="B34" s="421" t="s">
        <v>2737</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v>2</v>
      </c>
      <c r="L34" s="1142"/>
      <c r="M34" s="1133"/>
      <c r="N34" s="1133"/>
      <c r="O34" s="1141"/>
      <c r="P34" s="3214"/>
      <c r="Q34" s="1812" t="str">
        <f t="shared" si="8"/>
        <v>土地级别</v>
      </c>
      <c r="R34" s="773" t="s">
        <v>17</v>
      </c>
      <c r="S34" s="774">
        <f t="shared" si="10"/>
        <v>100</v>
      </c>
      <c r="T34" s="773" t="s">
        <v>17</v>
      </c>
      <c r="U34" s="774">
        <f t="shared" si="11"/>
        <v>100</v>
      </c>
      <c r="V34" s="773" t="s">
        <v>17</v>
      </c>
      <c r="W34" s="774">
        <f t="shared" si="12"/>
        <v>100</v>
      </c>
      <c r="X34" s="1815"/>
      <c r="Y34" s="3214"/>
      <c r="Z34" s="1816" t="str">
        <f t="shared" si="13"/>
        <v>土地级别</v>
      </c>
      <c r="AA34" s="1813">
        <f t="shared" si="3"/>
        <v>1</v>
      </c>
      <c r="AB34" s="1813">
        <f t="shared" si="4"/>
        <v>1</v>
      </c>
      <c r="AC34" s="1813">
        <f t="shared" si="5"/>
        <v>1</v>
      </c>
    </row>
    <row r="35" spans="1:29" ht="15" hidden="1">
      <c r="A35" s="403"/>
      <c r="B35" s="1388"/>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214"/>
      <c r="Q35" s="1812">
        <f t="shared" si="8"/>
        <v>0</v>
      </c>
      <c r="R35" s="773" t="s">
        <v>17</v>
      </c>
      <c r="S35" s="774">
        <f t="shared" si="10"/>
        <v>100</v>
      </c>
      <c r="T35" s="773" t="s">
        <v>17</v>
      </c>
      <c r="U35" s="774">
        <f t="shared" si="11"/>
        <v>100</v>
      </c>
      <c r="V35" s="773" t="s">
        <v>17</v>
      </c>
      <c r="W35" s="774">
        <f t="shared" si="12"/>
        <v>100</v>
      </c>
      <c r="X35" s="1815"/>
      <c r="Y35" s="3214"/>
      <c r="Z35" s="1816">
        <f t="shared" si="13"/>
        <v>0</v>
      </c>
      <c r="AA35" s="1813">
        <f t="shared" si="3"/>
        <v>1</v>
      </c>
      <c r="AB35" s="1813">
        <f t="shared" si="4"/>
        <v>1</v>
      </c>
      <c r="AC35" s="1813">
        <f t="shared" si="5"/>
        <v>1</v>
      </c>
    </row>
    <row r="36" spans="1:29" ht="15" hidden="1">
      <c r="A36" s="674"/>
      <c r="B36" s="1389"/>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15" t="s">
        <v>2553</v>
      </c>
      <c r="Q36" s="1812">
        <f t="shared" si="8"/>
        <v>0</v>
      </c>
      <c r="R36" s="773" t="s">
        <v>17</v>
      </c>
      <c r="S36" s="774">
        <f t="shared" si="10"/>
        <v>100</v>
      </c>
      <c r="T36" s="773" t="s">
        <v>17</v>
      </c>
      <c r="U36" s="774">
        <f t="shared" si="11"/>
        <v>100</v>
      </c>
      <c r="V36" s="773" t="s">
        <v>17</v>
      </c>
      <c r="W36" s="774">
        <f t="shared" si="12"/>
        <v>100</v>
      </c>
      <c r="X36" s="1815"/>
      <c r="Y36" s="3216" t="s">
        <v>2553</v>
      </c>
      <c r="Z36" s="1816">
        <f t="shared" si="13"/>
        <v>0</v>
      </c>
      <c r="AA36" s="1813">
        <f t="shared" si="3"/>
        <v>1</v>
      </c>
      <c r="AB36" s="1813">
        <f t="shared" si="4"/>
        <v>1</v>
      </c>
      <c r="AC36" s="1813">
        <f t="shared" si="5"/>
        <v>1</v>
      </c>
    </row>
    <row r="37" spans="1:29" s="470" customFormat="1" ht="15.75" hidden="1" thickBot="1">
      <c r="A37" s="675"/>
      <c r="B37" s="1390"/>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216"/>
      <c r="Q37" s="1812">
        <f t="shared" si="8"/>
        <v>0</v>
      </c>
      <c r="R37" s="776" t="s">
        <v>17</v>
      </c>
      <c r="S37" s="777">
        <f t="shared" si="10"/>
        <v>100</v>
      </c>
      <c r="T37" s="776" t="s">
        <v>17</v>
      </c>
      <c r="U37" s="777">
        <f t="shared" si="11"/>
        <v>100</v>
      </c>
      <c r="V37" s="776" t="s">
        <v>17</v>
      </c>
      <c r="W37" s="777">
        <f t="shared" si="12"/>
        <v>100</v>
      </c>
      <c r="X37" s="778"/>
      <c r="Y37" s="3216"/>
      <c r="Z37" s="779">
        <f t="shared" si="13"/>
        <v>0</v>
      </c>
      <c r="AA37" s="1813">
        <f t="shared" si="3"/>
        <v>1</v>
      </c>
      <c r="AB37" s="1813">
        <f t="shared" si="4"/>
        <v>1</v>
      </c>
      <c r="AC37" s="1813">
        <f t="shared" si="5"/>
        <v>1</v>
      </c>
    </row>
    <row r="38" spans="1:29" ht="15">
      <c r="A38" s="471" t="s">
        <v>2551</v>
      </c>
      <c r="B38" s="455" t="s">
        <v>2738</v>
      </c>
      <c r="C38" s="3012">
        <f>'数据-汇总表'!D3</f>
        <v>81202</v>
      </c>
      <c r="D38" s="466">
        <v>100</v>
      </c>
      <c r="E38" s="678">
        <v>25237</v>
      </c>
      <c r="F38" s="466">
        <f>LOOKUP(E38,117:117,118:118)-LOOKUP(C38,117:117,118:118)+100</f>
        <v>99</v>
      </c>
      <c r="G38" s="678">
        <v>2625</v>
      </c>
      <c r="H38" s="466">
        <f>LOOKUP(G38,117:117,118:118)-LOOKUP(C38,117:117,118:118)+100</f>
        <v>98</v>
      </c>
      <c r="I38" s="529">
        <v>25090</v>
      </c>
      <c r="J38" s="466">
        <f>LOOKUP(I38,117:117,118:118)-LOOKUP(C38,117:117,118:118)+100</f>
        <v>99</v>
      </c>
      <c r="K38" s="612"/>
      <c r="L38" s="1142"/>
      <c r="M38" s="1133"/>
      <c r="N38" s="1133"/>
      <c r="O38" s="1141"/>
      <c r="P38" s="3216"/>
      <c r="Q38" s="1812" t="str">
        <f>B38</f>
        <v>宗地面积</v>
      </c>
      <c r="R38" s="773" t="s">
        <v>17</v>
      </c>
      <c r="S38" s="774">
        <f t="shared" si="10"/>
        <v>99</v>
      </c>
      <c r="T38" s="773" t="s">
        <v>17</v>
      </c>
      <c r="U38" s="774">
        <f t="shared" si="11"/>
        <v>98</v>
      </c>
      <c r="V38" s="773" t="s">
        <v>17</v>
      </c>
      <c r="W38" s="774">
        <f t="shared" si="12"/>
        <v>99</v>
      </c>
      <c r="X38" s="1815"/>
      <c r="Y38" s="3216"/>
      <c r="Z38" s="1816" t="str">
        <f t="shared" si="13"/>
        <v>宗地面积</v>
      </c>
      <c r="AA38" s="1813">
        <f t="shared" si="3"/>
        <v>1.0101010101010102</v>
      </c>
      <c r="AB38" s="1813">
        <f t="shared" si="4"/>
        <v>1.0204081632653061</v>
      </c>
      <c r="AC38" s="1813">
        <f t="shared" si="5"/>
        <v>1.0101010101010102</v>
      </c>
    </row>
    <row r="39" spans="1:29" ht="15">
      <c r="A39" s="471"/>
      <c r="B39" s="421" t="s">
        <v>2739</v>
      </c>
      <c r="C39" s="3013" t="s">
        <v>3056</v>
      </c>
      <c r="D39" s="434">
        <v>100</v>
      </c>
      <c r="E39" s="2611" t="s">
        <v>3056</v>
      </c>
      <c r="F39" s="434">
        <f>SUMIF(119:119,E39,120:120)-SUMIF(119:119,C39,120:120)+100</f>
        <v>100</v>
      </c>
      <c r="G39" s="2611" t="s">
        <v>3056</v>
      </c>
      <c r="H39" s="434">
        <f>SUMIF(119:119,G39,120:120)-SUMIF(119:119,C39,120:120)+100</f>
        <v>100</v>
      </c>
      <c r="I39" s="2611" t="s">
        <v>3056</v>
      </c>
      <c r="J39" s="434">
        <f>SUMIF(119:119,I39,120:120)-SUMIF(119:119,C39,120:120)+100</f>
        <v>100</v>
      </c>
      <c r="K39" s="611">
        <v>1</v>
      </c>
      <c r="L39" s="1142"/>
      <c r="M39" s="1133"/>
      <c r="N39" s="1133"/>
      <c r="O39" s="1141"/>
      <c r="P39" s="3216"/>
      <c r="Q39" s="1812" t="str">
        <f t="shared" ref="Q39:Q45" si="14">B39</f>
        <v>宗地形状</v>
      </c>
      <c r="R39" s="773" t="s">
        <v>17</v>
      </c>
      <c r="S39" s="774">
        <f t="shared" si="10"/>
        <v>100</v>
      </c>
      <c r="T39" s="773" t="s">
        <v>17</v>
      </c>
      <c r="U39" s="774">
        <f t="shared" si="11"/>
        <v>100</v>
      </c>
      <c r="V39" s="773" t="s">
        <v>17</v>
      </c>
      <c r="W39" s="774">
        <f t="shared" si="12"/>
        <v>100</v>
      </c>
      <c r="X39" s="1815"/>
      <c r="Y39" s="3216"/>
      <c r="Z39" s="1816" t="str">
        <f t="shared" si="13"/>
        <v>宗地形状</v>
      </c>
      <c r="AA39" s="1813">
        <f t="shared" si="3"/>
        <v>1</v>
      </c>
      <c r="AB39" s="1813">
        <f t="shared" si="4"/>
        <v>1</v>
      </c>
      <c r="AC39" s="1813">
        <f t="shared" si="5"/>
        <v>1</v>
      </c>
    </row>
    <row r="40" spans="1:29" ht="15">
      <c r="A40" s="471"/>
      <c r="B40" s="421" t="s">
        <v>2740</v>
      </c>
      <c r="C40" s="2611" t="s">
        <v>3080</v>
      </c>
      <c r="D40" s="434">
        <v>100</v>
      </c>
      <c r="E40" s="2611" t="s">
        <v>3080</v>
      </c>
      <c r="F40" s="434">
        <f>SUMIF(121:121,E40,122:122)-SUMIF(121:121,C40,122:122)+100</f>
        <v>100</v>
      </c>
      <c r="G40" s="2611" t="s">
        <v>3080</v>
      </c>
      <c r="H40" s="434">
        <f>SUMIF(121:121,G40,122:122)-SUMIF(121:121,C40,122:122)+100</f>
        <v>100</v>
      </c>
      <c r="I40" s="2611" t="s">
        <v>3080</v>
      </c>
      <c r="J40" s="434">
        <f>SUMIF(121:121,I40,122:122)-SUMIF(121:121,C40,122:122)+100</f>
        <v>100</v>
      </c>
      <c r="K40" s="611">
        <v>1</v>
      </c>
      <c r="L40" s="1142"/>
      <c r="M40" s="1133"/>
      <c r="N40" s="1133"/>
      <c r="O40" s="1141"/>
      <c r="P40" s="3216"/>
      <c r="Q40" s="1812" t="str">
        <f t="shared" si="14"/>
        <v>临街宽度及深度</v>
      </c>
      <c r="R40" s="773" t="s">
        <v>17</v>
      </c>
      <c r="S40" s="774">
        <f t="shared" si="10"/>
        <v>100</v>
      </c>
      <c r="T40" s="773" t="s">
        <v>17</v>
      </c>
      <c r="U40" s="774">
        <f t="shared" si="11"/>
        <v>100</v>
      </c>
      <c r="V40" s="773" t="s">
        <v>17</v>
      </c>
      <c r="W40" s="774">
        <f t="shared" si="12"/>
        <v>100</v>
      </c>
      <c r="X40" s="1815"/>
      <c r="Y40" s="3216"/>
      <c r="Z40" s="1816" t="str">
        <f t="shared" si="13"/>
        <v>临街宽度及深度</v>
      </c>
      <c r="AA40" s="1813">
        <f t="shared" si="3"/>
        <v>1</v>
      </c>
      <c r="AB40" s="1813">
        <f t="shared" si="4"/>
        <v>1</v>
      </c>
      <c r="AC40" s="1813">
        <f t="shared" si="5"/>
        <v>1</v>
      </c>
    </row>
    <row r="41" spans="1:29" s="117" customFormat="1" ht="15">
      <c r="A41" s="472"/>
      <c r="B41" s="421" t="s">
        <v>2741</v>
      </c>
      <c r="C41" s="2700" t="s">
        <v>3081</v>
      </c>
      <c r="D41" s="135">
        <v>100</v>
      </c>
      <c r="E41" s="2700" t="s">
        <v>3081</v>
      </c>
      <c r="F41" s="434">
        <f>SUMIF(123:123,E41,124:124)-SUMIF(123:123,C41,124:124)+100</f>
        <v>100</v>
      </c>
      <c r="G41" s="2700" t="s">
        <v>3081</v>
      </c>
      <c r="H41" s="434">
        <f>SUMIF(123:123,G41,124:124)-SUMIF(123:123,C41,124:124)+100</f>
        <v>100</v>
      </c>
      <c r="I41" s="2700" t="s">
        <v>3081</v>
      </c>
      <c r="J41" s="434">
        <f>SUMIF(123:123,I41,124:124)-SUMIF(123:123,C41,124:124)+100</f>
        <v>100</v>
      </c>
      <c r="K41" s="611">
        <v>1</v>
      </c>
      <c r="L41" s="1134"/>
      <c r="M41" s="1135"/>
      <c r="N41" s="1135"/>
      <c r="O41" s="1136"/>
      <c r="P41" s="3216"/>
      <c r="Q41" s="1812" t="str">
        <f t="shared" si="14"/>
        <v>宗地开发程度</v>
      </c>
      <c r="R41" s="769" t="s">
        <v>17</v>
      </c>
      <c r="S41" s="770">
        <f t="shared" si="10"/>
        <v>100</v>
      </c>
      <c r="T41" s="769" t="s">
        <v>17</v>
      </c>
      <c r="U41" s="770">
        <f t="shared" si="11"/>
        <v>100</v>
      </c>
      <c r="V41" s="769" t="s">
        <v>17</v>
      </c>
      <c r="W41" s="770">
        <f t="shared" si="12"/>
        <v>100</v>
      </c>
      <c r="X41" s="771"/>
      <c r="Y41" s="3216"/>
      <c r="Z41" s="55" t="str">
        <f t="shared" si="13"/>
        <v>宗地开发程度</v>
      </c>
      <c r="AA41" s="772">
        <f t="shared" si="3"/>
        <v>1</v>
      </c>
      <c r="AB41" s="772">
        <f t="shared" si="4"/>
        <v>1</v>
      </c>
      <c r="AC41" s="772">
        <f t="shared" si="5"/>
        <v>1</v>
      </c>
    </row>
    <row r="42" spans="1:29" ht="15.75" thickBot="1">
      <c r="A42" s="471"/>
      <c r="B42" s="421" t="s">
        <v>2742</v>
      </c>
      <c r="C42" s="2611" t="s">
        <v>3078</v>
      </c>
      <c r="D42" s="434">
        <v>100</v>
      </c>
      <c r="E42" s="2611" t="s">
        <v>3078</v>
      </c>
      <c r="F42" s="434">
        <f>SUMIF(125:125,E42,126:126)-SUMIF(125:125,C42,126:126)+100</f>
        <v>100</v>
      </c>
      <c r="G42" s="2611" t="s">
        <v>3078</v>
      </c>
      <c r="H42" s="434">
        <f>SUMIF(125:125,G42,126:126)-SUMIF(125:125,C42,126:126)+100</f>
        <v>100</v>
      </c>
      <c r="I42" s="2611" t="s">
        <v>3078</v>
      </c>
      <c r="J42" s="434">
        <f>SUMIF(125:125,I42,126:126)-SUMIF(125:125,C42,126:126)+100</f>
        <v>100</v>
      </c>
      <c r="K42" s="611">
        <v>1</v>
      </c>
      <c r="L42" s="1142"/>
      <c r="M42" s="1133"/>
      <c r="N42" s="1133"/>
      <c r="O42" s="1141"/>
      <c r="P42" s="3216" t="s">
        <v>2553</v>
      </c>
      <c r="Q42" s="1812" t="str">
        <f t="shared" si="14"/>
        <v>工程地质条件</v>
      </c>
      <c r="R42" s="773" t="s">
        <v>17</v>
      </c>
      <c r="S42" s="774">
        <f t="shared" si="10"/>
        <v>100</v>
      </c>
      <c r="T42" s="773" t="s">
        <v>17</v>
      </c>
      <c r="U42" s="774">
        <f t="shared" si="11"/>
        <v>100</v>
      </c>
      <c r="V42" s="773" t="s">
        <v>17</v>
      </c>
      <c r="W42" s="774">
        <f t="shared" si="12"/>
        <v>100</v>
      </c>
      <c r="X42" s="1815"/>
      <c r="Y42" s="3216" t="s">
        <v>2553</v>
      </c>
      <c r="Z42" s="1816" t="str">
        <f t="shared" si="13"/>
        <v>工程地质条件</v>
      </c>
      <c r="AA42" s="1813">
        <f t="shared" si="3"/>
        <v>1</v>
      </c>
      <c r="AB42" s="1813">
        <f t="shared" si="4"/>
        <v>1</v>
      </c>
      <c r="AC42" s="1813">
        <f t="shared" si="5"/>
        <v>1</v>
      </c>
    </row>
    <row r="43" spans="1:29" ht="15" hidden="1">
      <c r="A43" s="471"/>
      <c r="B43" s="1389"/>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216"/>
      <c r="Q43" s="1812">
        <f t="shared" si="14"/>
        <v>0</v>
      </c>
      <c r="R43" s="773" t="s">
        <v>17</v>
      </c>
      <c r="S43" s="774">
        <f t="shared" si="10"/>
        <v>100</v>
      </c>
      <c r="T43" s="773" t="s">
        <v>17</v>
      </c>
      <c r="U43" s="774">
        <f t="shared" si="11"/>
        <v>100</v>
      </c>
      <c r="V43" s="773" t="s">
        <v>17</v>
      </c>
      <c r="W43" s="774">
        <f t="shared" si="12"/>
        <v>100</v>
      </c>
      <c r="X43" s="1815"/>
      <c r="Y43" s="3216"/>
      <c r="Z43" s="1816">
        <f t="shared" si="13"/>
        <v>0</v>
      </c>
      <c r="AA43" s="1813">
        <f t="shared" si="3"/>
        <v>1</v>
      </c>
      <c r="AB43" s="1813">
        <f t="shared" si="4"/>
        <v>1</v>
      </c>
      <c r="AC43" s="1813">
        <f t="shared" si="5"/>
        <v>1</v>
      </c>
    </row>
    <row r="44" spans="1:29" ht="15" hidden="1">
      <c r="A44" s="471"/>
      <c r="B44" s="1389"/>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216"/>
      <c r="Q44" s="1812">
        <f t="shared" si="14"/>
        <v>0</v>
      </c>
      <c r="R44" s="773" t="s">
        <v>17</v>
      </c>
      <c r="S44" s="774">
        <f t="shared" si="10"/>
        <v>100</v>
      </c>
      <c r="T44" s="773" t="s">
        <v>17</v>
      </c>
      <c r="U44" s="774">
        <f t="shared" si="11"/>
        <v>100</v>
      </c>
      <c r="V44" s="773" t="s">
        <v>17</v>
      </c>
      <c r="W44" s="774">
        <f t="shared" si="12"/>
        <v>100</v>
      </c>
      <c r="X44" s="1815"/>
      <c r="Y44" s="3216"/>
      <c r="Z44" s="1816">
        <f t="shared" si="13"/>
        <v>0</v>
      </c>
      <c r="AA44" s="1813">
        <f t="shared" si="3"/>
        <v>1</v>
      </c>
      <c r="AB44" s="1813">
        <f t="shared" si="4"/>
        <v>1</v>
      </c>
      <c r="AC44" s="1813">
        <f t="shared" si="5"/>
        <v>1</v>
      </c>
    </row>
    <row r="45" spans="1:29" s="470" customFormat="1" ht="15.75" hidden="1" thickBot="1">
      <c r="A45" s="467"/>
      <c r="B45" s="1389"/>
      <c r="C45" s="2701"/>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216"/>
      <c r="Q45" s="1812">
        <f t="shared" si="14"/>
        <v>0</v>
      </c>
      <c r="R45" s="776" t="s">
        <v>17</v>
      </c>
      <c r="S45" s="777">
        <f t="shared" si="10"/>
        <v>100</v>
      </c>
      <c r="T45" s="776" t="s">
        <v>17</v>
      </c>
      <c r="U45" s="777">
        <f t="shared" si="11"/>
        <v>100</v>
      </c>
      <c r="V45" s="776" t="s">
        <v>17</v>
      </c>
      <c r="W45" s="777">
        <f t="shared" si="12"/>
        <v>100</v>
      </c>
      <c r="X45" s="778"/>
      <c r="Y45" s="3216"/>
      <c r="Z45" s="779">
        <f t="shared" si="13"/>
        <v>0</v>
      </c>
      <c r="AA45" s="1813">
        <f t="shared" si="3"/>
        <v>1</v>
      </c>
      <c r="AB45" s="1813">
        <f t="shared" si="4"/>
        <v>1</v>
      </c>
      <c r="AC45" s="1813">
        <f t="shared" si="5"/>
        <v>1</v>
      </c>
    </row>
    <row r="46" spans="1:29" ht="15">
      <c r="A46" s="478" t="s">
        <v>2708</v>
      </c>
      <c r="B46" s="2702" t="s">
        <v>2743</v>
      </c>
      <c r="C46" s="681" t="s">
        <v>1</v>
      </c>
      <c r="D46" s="480"/>
      <c r="E46" s="481">
        <v>1246</v>
      </c>
      <c r="F46" s="482"/>
      <c r="G46" s="483">
        <v>1210</v>
      </c>
      <c r="H46" s="484"/>
      <c r="I46" s="481">
        <v>1134</v>
      </c>
      <c r="J46" s="484"/>
      <c r="K46" s="782"/>
      <c r="L46" s="1145"/>
      <c r="M46" s="1146"/>
      <c r="N46" s="1133"/>
      <c r="O46" s="1146"/>
      <c r="P46" s="3211" t="str">
        <f>A46</f>
        <v>成交单价</v>
      </c>
      <c r="Q46" s="3211"/>
      <c r="R46" s="3217">
        <f>E46</f>
        <v>1246</v>
      </c>
      <c r="S46" s="3217"/>
      <c r="T46" s="3217">
        <f>G46</f>
        <v>1210</v>
      </c>
      <c r="U46" s="3217"/>
      <c r="V46" s="3217">
        <f>I46</f>
        <v>1134</v>
      </c>
      <c r="W46" s="3217"/>
      <c r="X46" s="758"/>
      <c r="Y46" s="780"/>
      <c r="Z46" s="758"/>
      <c r="AA46" s="758"/>
      <c r="AB46" s="758"/>
      <c r="AC46" s="758"/>
    </row>
    <row r="47" spans="1:29" ht="15.75" thickBot="1">
      <c r="A47" s="485" t="s">
        <v>2657</v>
      </c>
      <c r="B47" s="682"/>
      <c r="C47" s="489">
        <f>R48</f>
        <v>1251</v>
      </c>
      <c r="D47" s="488"/>
      <c r="E47" s="489">
        <f>R47</f>
        <v>1338</v>
      </c>
      <c r="F47" s="490"/>
      <c r="G47" s="487">
        <f>T47</f>
        <v>1247</v>
      </c>
      <c r="H47" s="488"/>
      <c r="I47" s="489">
        <f>V47</f>
        <v>1169</v>
      </c>
      <c r="J47" s="488"/>
      <c r="K47" s="783"/>
      <c r="L47" s="1145"/>
      <c r="M47" s="1146"/>
      <c r="N47" s="1146"/>
      <c r="O47" s="1146"/>
      <c r="P47" s="3211" t="str">
        <f>A47</f>
        <v>比较价值（元/平方米）</v>
      </c>
      <c r="Q47" s="3211"/>
      <c r="R47" s="3204">
        <f>ROUND(PRODUCT(R46,AA7:AA45),0)</f>
        <v>1338</v>
      </c>
      <c r="S47" s="3204"/>
      <c r="T47" s="3204">
        <f>ROUND(PRODUCT(T46,AB7:AB45),0)</f>
        <v>1247</v>
      </c>
      <c r="U47" s="3204"/>
      <c r="V47" s="3204">
        <f>ROUND(PRODUCT(V46,AC7:AC45),0)</f>
        <v>1169</v>
      </c>
      <c r="W47" s="3204"/>
      <c r="X47" s="758"/>
      <c r="Y47" s="758"/>
      <c r="Z47" s="758"/>
      <c r="AA47" s="758"/>
      <c r="AB47" s="758"/>
      <c r="AC47" s="758"/>
    </row>
    <row r="48" spans="1:29" ht="15.75" thickBot="1">
      <c r="A48" s="491" t="s">
        <v>2744</v>
      </c>
      <c r="B48" s="492"/>
      <c r="C48" s="493">
        <f>R48</f>
        <v>1251</v>
      </c>
      <c r="D48" s="493"/>
      <c r="E48" s="493"/>
      <c r="F48" s="493"/>
      <c r="G48" s="493"/>
      <c r="H48" s="493"/>
      <c r="I48" s="493"/>
      <c r="J48" s="493"/>
      <c r="K48" s="784"/>
      <c r="L48" s="1145"/>
      <c r="M48" s="1146"/>
      <c r="N48" s="1146"/>
      <c r="O48" s="1146"/>
      <c r="P48" s="3205" t="str">
        <f>A48</f>
        <v>估价对象XX用房的比较价值（楼面单价，元/平方米）</v>
      </c>
      <c r="Q48" s="3206"/>
      <c r="R48" s="3207">
        <f>ROUND(AVERAGE(R47:V47),0)</f>
        <v>1251</v>
      </c>
      <c r="S48" s="3207"/>
      <c r="T48" s="3207"/>
      <c r="U48" s="3207"/>
      <c r="V48" s="3207"/>
      <c r="W48" s="3207"/>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2659</v>
      </c>
      <c r="D51" s="497"/>
      <c r="E51" s="498">
        <f>IF(E46&lt;E47,E47/E46-1,E46/E47-1)</f>
        <v>7.383627608346699E-2</v>
      </c>
      <c r="F51" s="499" t="str">
        <f>IF(OR(E51&gt;=0.3,E51&lt;=-0.3),"超过30%","")</f>
        <v/>
      </c>
      <c r="G51" s="498">
        <f>IF(G46&lt;G47,G47/G46-1,G46/G47-1)</f>
        <v>3.057851239669418E-2</v>
      </c>
      <c r="H51" s="499" t="str">
        <f>IF(OR(G51&gt;=0.3,G51&lt;=-0.3),"超过30%","")</f>
        <v/>
      </c>
      <c r="I51" s="498">
        <f>IF(I46&lt;I47,I47/I46-1,I46/I47-1)</f>
        <v>3.0864197530864113E-2</v>
      </c>
      <c r="J51" s="499" t="str">
        <f>IF(OR(I51&gt;=0.3,I51&lt;=-0.3),"超过30%","")</f>
        <v/>
      </c>
      <c r="K51" s="1107"/>
      <c r="L51" s="1108"/>
      <c r="M51" s="1146"/>
      <c r="N51" s="1146"/>
      <c r="O51" s="1146"/>
    </row>
    <row r="52" spans="1:15" ht="13.5" customHeight="1">
      <c r="A52" s="1146"/>
      <c r="B52" s="1146"/>
      <c r="C52" s="496" t="s">
        <v>2660</v>
      </c>
      <c r="D52" s="500"/>
      <c r="E52" s="498">
        <f>IF(E47&lt;G47,G47/E47-1,E47/G47-1)</f>
        <v>7.2975140336808408E-2</v>
      </c>
      <c r="F52" s="499" t="str">
        <f>IF(OR(E52&gt;=0.2,E52&lt;=-0.2),"超过20%","")</f>
        <v/>
      </c>
      <c r="G52" s="498">
        <f>IF(G47&lt;I47,I47/G47-1,G47/I47-1)</f>
        <v>6.6723695466210486E-2</v>
      </c>
      <c r="H52" s="499" t="str">
        <f>IF(OR(G52&gt;=0.2,G52&lt;=-0.2),"超过20%","")</f>
        <v/>
      </c>
      <c r="I52" s="498">
        <f>IF(I47&lt;E47,E47/I47-1,I47/E47-1)</f>
        <v>0.14456800684345605</v>
      </c>
      <c r="J52" s="499" t="str">
        <f>IF(OR(I52&gt;=0.2,I52&lt;=-0.2),"超过20%","")</f>
        <v/>
      </c>
      <c r="K52" s="1107"/>
      <c r="L52" s="1108"/>
      <c r="M52" s="1146"/>
      <c r="N52" s="1146"/>
      <c r="O52" s="1146"/>
    </row>
    <row r="53" spans="1:15" s="501" customFormat="1" ht="13.5" customHeight="1">
      <c r="A53" s="1147"/>
      <c r="B53" s="1147"/>
      <c r="C53" s="496" t="s">
        <v>2661</v>
      </c>
      <c r="D53" s="500"/>
      <c r="E53" s="498">
        <f>IF(E46&lt;G46,G46/E46-1,E46/G46-1)</f>
        <v>2.9752066115702469E-2</v>
      </c>
      <c r="F53" s="499" t="str">
        <f>IF(OR(E53&gt;=0.3,E53&lt;=-0.3),"超过30%","")</f>
        <v/>
      </c>
      <c r="G53" s="498">
        <f>IF(G46&lt;I46,I46/G46-1,G46/I46-1)</f>
        <v>6.7019400352733793E-2</v>
      </c>
      <c r="H53" s="499" t="str">
        <f>IF(OR(G53&gt;=0.3,G53&lt;=-0.3),"超过30%","")</f>
        <v/>
      </c>
      <c r="I53" s="498">
        <f>IF(I46&lt;E46,E46/I46-1,I46/E46-1)</f>
        <v>9.8765432098765427E-2</v>
      </c>
      <c r="J53" s="499" t="str">
        <f>IF(OR(I53&gt;=0.3,I53&lt;=-0.3),"超过30%","")</f>
        <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2745</v>
      </c>
      <c r="B55" s="684" t="s">
        <v>2746</v>
      </c>
      <c r="C55" s="2703" t="s">
        <v>2747</v>
      </c>
      <c r="D55" s="2704" t="s">
        <v>2748</v>
      </c>
      <c r="E55" s="685" t="s">
        <v>2749</v>
      </c>
      <c r="F55" s="1109" t="s">
        <v>2750</v>
      </c>
      <c r="G55" s="3208" t="s">
        <v>2751</v>
      </c>
      <c r="H55" s="3209"/>
      <c r="I55" s="143" t="s">
        <v>2752</v>
      </c>
      <c r="J55" s="2705" t="str">
        <f>项目基本情况!F35</f>
        <v>贵州省</v>
      </c>
      <c r="K55" s="2706" t="s">
        <v>2753</v>
      </c>
      <c r="L55" s="1108"/>
      <c r="M55" s="1146"/>
      <c r="N55" s="1146"/>
      <c r="O55" s="1146"/>
    </row>
    <row r="56" spans="1:15" s="691" customFormat="1">
      <c r="A56" s="687" t="s">
        <v>2754</v>
      </c>
      <c r="B56" s="688">
        <f>C48</f>
        <v>1251</v>
      </c>
      <c r="C56" s="689">
        <v>1</v>
      </c>
      <c r="D56" s="1165">
        <v>1</v>
      </c>
      <c r="E56" s="689">
        <f>'数据-汇总表'!E8+'数据-汇总表'!E9</f>
        <v>123402</v>
      </c>
      <c r="F56" s="1105">
        <f t="shared" ref="F56:F65" si="15">ROUND(B56*E56/10000,0)</f>
        <v>15438</v>
      </c>
      <c r="G56" s="3210"/>
      <c r="H56" s="3211"/>
      <c r="I56" s="1110">
        <v>1</v>
      </c>
      <c r="J56" s="1113">
        <v>1</v>
      </c>
      <c r="K56" s="1147"/>
      <c r="L56" s="943"/>
      <c r="M56" s="943"/>
      <c r="N56" s="943"/>
      <c r="O56" s="943"/>
    </row>
    <row r="57" spans="1:15" s="691" customFormat="1">
      <c r="A57" s="692" t="s">
        <v>2755</v>
      </c>
      <c r="B57" s="261">
        <f>ROUND($C$48*C57*D57,0)</f>
        <v>0</v>
      </c>
      <c r="C57" s="199">
        <f t="shared" ref="C57:C65" si="16">IF($C$55="北京市系数",I57,J57)</f>
        <v>0</v>
      </c>
      <c r="D57" s="1166">
        <v>0.25</v>
      </c>
      <c r="E57" s="693"/>
      <c r="F57" s="1105">
        <f t="shared" si="15"/>
        <v>0</v>
      </c>
      <c r="G57" s="3212" t="s">
        <v>2756</v>
      </c>
      <c r="H57" s="1106">
        <f>项目基本情况!B37</f>
        <v>0</v>
      </c>
      <c r="I57" s="1110">
        <f>SUMIF(修正!A45:A56,H57,修正!B45:B56)</f>
        <v>0</v>
      </c>
      <c r="J57" s="1114"/>
      <c r="K57" s="1146"/>
      <c r="L57" s="943"/>
      <c r="M57" s="943"/>
      <c r="N57" s="943"/>
      <c r="O57" s="943"/>
    </row>
    <row r="58" spans="1:15" s="691" customFormat="1">
      <c r="A58" s="692" t="s">
        <v>2757</v>
      </c>
      <c r="B58" s="261">
        <f t="shared" ref="B58:B65" si="17">ROUND($C$48*C58*D58,0)</f>
        <v>0</v>
      </c>
      <c r="C58" s="199">
        <f t="shared" si="16"/>
        <v>0</v>
      </c>
      <c r="D58" s="1166">
        <v>0.25</v>
      </c>
      <c r="E58" s="693"/>
      <c r="F58" s="1105">
        <f t="shared" si="15"/>
        <v>0</v>
      </c>
      <c r="G58" s="3212"/>
      <c r="H58" s="1106">
        <f>项目基本情况!B37</f>
        <v>0</v>
      </c>
      <c r="I58" s="1110">
        <f>SUMIF(修正!A45:A56,H58,修正!C45:C56)</f>
        <v>0</v>
      </c>
      <c r="J58" s="1114"/>
      <c r="K58" s="1147"/>
      <c r="L58" s="943"/>
      <c r="M58" s="943"/>
      <c r="N58" s="943"/>
      <c r="O58" s="943"/>
    </row>
    <row r="59" spans="1:15" s="691" customFormat="1">
      <c r="A59" s="692" t="s">
        <v>2758</v>
      </c>
      <c r="B59" s="261">
        <f t="shared" si="17"/>
        <v>0</v>
      </c>
      <c r="C59" s="199">
        <f t="shared" si="16"/>
        <v>0</v>
      </c>
      <c r="D59" s="1166">
        <v>0.25</v>
      </c>
      <c r="E59" s="693"/>
      <c r="F59" s="1105">
        <f t="shared" si="15"/>
        <v>0</v>
      </c>
      <c r="G59" s="3212"/>
      <c r="H59" s="1106">
        <f>项目基本情况!B37</f>
        <v>0</v>
      </c>
      <c r="I59" s="1110">
        <f>SUMIF(修正!A45:A56,H59,修正!D45:D56)</f>
        <v>0</v>
      </c>
      <c r="J59" s="1114"/>
      <c r="K59" s="1146"/>
      <c r="L59" s="943"/>
      <c r="M59" s="943"/>
      <c r="N59" s="943"/>
      <c r="O59" s="943"/>
    </row>
    <row r="60" spans="1:15" s="691" customFormat="1">
      <c r="A60" s="692" t="s">
        <v>2759</v>
      </c>
      <c r="B60" s="261">
        <f t="shared" si="17"/>
        <v>0</v>
      </c>
      <c r="C60" s="199">
        <f t="shared" si="16"/>
        <v>0</v>
      </c>
      <c r="D60" s="1166">
        <v>0.25</v>
      </c>
      <c r="E60" s="693"/>
      <c r="F60" s="1105">
        <f t="shared" si="15"/>
        <v>0</v>
      </c>
      <c r="G60" s="3212"/>
      <c r="H60" s="1106">
        <f>项目基本情况!B37</f>
        <v>0</v>
      </c>
      <c r="I60" s="1110">
        <f>SUMIF(修正!A45:A56,H60,修正!E45:E56)</f>
        <v>0</v>
      </c>
      <c r="J60" s="1114"/>
      <c r="K60" s="1147"/>
      <c r="L60" s="943"/>
      <c r="M60" s="943"/>
      <c r="N60" s="943"/>
      <c r="O60" s="943"/>
    </row>
    <row r="61" spans="1:15" s="691" customFormat="1">
      <c r="A61" s="692" t="s">
        <v>2760</v>
      </c>
      <c r="B61" s="261">
        <f t="shared" si="17"/>
        <v>0</v>
      </c>
      <c r="C61" s="199">
        <f t="shared" si="16"/>
        <v>0</v>
      </c>
      <c r="D61" s="1166">
        <v>0.25</v>
      </c>
      <c r="E61" s="260">
        <f>'数据-汇总表'!E11</f>
        <v>0</v>
      </c>
      <c r="F61" s="1105">
        <f t="shared" si="15"/>
        <v>0</v>
      </c>
      <c r="G61" s="2707" t="s">
        <v>2761</v>
      </c>
      <c r="H61" s="1106">
        <f>项目基本情况!C37</f>
        <v>0</v>
      </c>
      <c r="I61" s="1110">
        <f>SUMIF(修正!A45:A56,H61,修正!F45:F56)</f>
        <v>0</v>
      </c>
      <c r="J61" s="1114"/>
      <c r="K61" s="1146"/>
      <c r="L61" s="943"/>
      <c r="M61" s="943"/>
      <c r="N61" s="943"/>
      <c r="O61" s="943"/>
    </row>
    <row r="62" spans="1:15" s="691" customFormat="1">
      <c r="A62" s="692" t="s">
        <v>2762</v>
      </c>
      <c r="B62" s="261">
        <f t="shared" si="17"/>
        <v>0</v>
      </c>
      <c r="C62" s="199">
        <f t="shared" si="16"/>
        <v>0</v>
      </c>
      <c r="D62" s="1166">
        <v>0.25</v>
      </c>
      <c r="E62" s="260">
        <f>'数据-汇总表'!E12</f>
        <v>0</v>
      </c>
      <c r="F62" s="1105">
        <f t="shared" si="15"/>
        <v>0</v>
      </c>
      <c r="G62" s="1111" t="s">
        <v>2763</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2764</v>
      </c>
      <c r="B63" s="261">
        <f t="shared" si="17"/>
        <v>0</v>
      </c>
      <c r="C63" s="199">
        <f t="shared" si="16"/>
        <v>0</v>
      </c>
      <c r="D63" s="1166">
        <v>0.25</v>
      </c>
      <c r="E63" s="260">
        <f>'数据-汇总表'!E13</f>
        <v>33170</v>
      </c>
      <c r="F63" s="1105">
        <f t="shared" si="15"/>
        <v>0</v>
      </c>
      <c r="G63" s="1111" t="s">
        <v>2765</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2766</v>
      </c>
      <c r="B64" s="261">
        <f t="shared" si="17"/>
        <v>0</v>
      </c>
      <c r="C64" s="199">
        <f t="shared" si="16"/>
        <v>0</v>
      </c>
      <c r="D64" s="1166">
        <v>0.25</v>
      </c>
      <c r="E64" s="260">
        <f>'数据-汇总表'!E14</f>
        <v>0</v>
      </c>
      <c r="F64" s="1105">
        <f t="shared" si="15"/>
        <v>0</v>
      </c>
      <c r="G64" s="2707" t="s">
        <v>2756</v>
      </c>
      <c r="H64" s="1106">
        <f>项目基本情况!B37</f>
        <v>0</v>
      </c>
      <c r="I64" s="1110">
        <f>SUMIF(修正!A45:A56,H64,修正!H45:H56)</f>
        <v>0</v>
      </c>
      <c r="J64" s="1114"/>
      <c r="K64" s="1147"/>
      <c r="L64" s="943"/>
      <c r="M64" s="943"/>
      <c r="N64" s="943"/>
      <c r="O64" s="943"/>
    </row>
    <row r="65" spans="1:17" s="691" customFormat="1" ht="15" thickBot="1">
      <c r="A65" s="692" t="s">
        <v>2767</v>
      </c>
      <c r="B65" s="261">
        <f t="shared" si="17"/>
        <v>0</v>
      </c>
      <c r="C65" s="199">
        <f t="shared" si="16"/>
        <v>0</v>
      </c>
      <c r="D65" s="1166">
        <v>0.25</v>
      </c>
      <c r="E65" s="260">
        <f>'数据-汇总表'!E15</f>
        <v>0</v>
      </c>
      <c r="F65" s="1105">
        <f t="shared" si="15"/>
        <v>0</v>
      </c>
      <c r="G65" s="2708" t="s">
        <v>2761</v>
      </c>
      <c r="H65" s="1116">
        <f>项目基本情况!C37</f>
        <v>0</v>
      </c>
      <c r="I65" s="1112">
        <f>SUMIF(修正!A45:A56,H65,修正!H45:H56)</f>
        <v>0</v>
      </c>
      <c r="J65" s="1115"/>
      <c r="K65" s="1146"/>
      <c r="L65" s="943"/>
      <c r="M65" s="943"/>
      <c r="N65" s="943"/>
      <c r="O65" s="943"/>
    </row>
    <row r="66" spans="1:17" s="691" customFormat="1" ht="13.5" thickBot="1">
      <c r="A66" s="694" t="s">
        <v>2768</v>
      </c>
      <c r="B66" s="695" t="s">
        <v>28</v>
      </c>
      <c r="C66" s="695" t="s">
        <v>29</v>
      </c>
      <c r="D66" s="695" t="s">
        <v>1029</v>
      </c>
      <c r="E66" s="695">
        <f>IF(B46="楼面地价",SUM(E56:E65),'数据-汇总表'!D3)</f>
        <v>156572</v>
      </c>
      <c r="F66" s="696">
        <f>IF(B46="楼面地价",SUM(F56:F65),ROUND(C48*E66/10000,0))</f>
        <v>15438</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2018-5-1</v>
      </c>
      <c r="D68" s="760">
        <f>EDATE(C68,-3)</f>
        <v>43132</v>
      </c>
      <c r="E68" s="760">
        <f>EDATE(D68,-3)</f>
        <v>43040</v>
      </c>
      <c r="F68" s="760">
        <f t="shared" ref="F68:O68" si="18">EDATE(E68,-3)</f>
        <v>42948</v>
      </c>
      <c r="G68" s="760">
        <f t="shared" si="18"/>
        <v>42856</v>
      </c>
      <c r="H68" s="760">
        <f t="shared" si="18"/>
        <v>42767</v>
      </c>
      <c r="I68" s="760">
        <f t="shared" si="18"/>
        <v>42675</v>
      </c>
      <c r="J68" s="760">
        <f t="shared" si="18"/>
        <v>42583</v>
      </c>
      <c r="K68" s="760">
        <f t="shared" si="18"/>
        <v>42491</v>
      </c>
      <c r="L68" s="760">
        <f t="shared" si="18"/>
        <v>42401</v>
      </c>
      <c r="M68" s="760">
        <f t="shared" si="18"/>
        <v>42309</v>
      </c>
      <c r="N68" s="760">
        <f t="shared" si="18"/>
        <v>42217</v>
      </c>
      <c r="O68" s="760">
        <f t="shared" si="18"/>
        <v>42125</v>
      </c>
    </row>
    <row r="69" spans="1:17" ht="21.75" thickBot="1">
      <c r="A69" s="762" t="s">
        <v>2662</v>
      </c>
      <c r="B69" s="758"/>
      <c r="C69" s="763"/>
      <c r="D69" s="763"/>
      <c r="E69" s="763"/>
      <c r="F69" s="764"/>
      <c r="G69" s="764"/>
      <c r="H69" s="763"/>
      <c r="I69" s="763"/>
      <c r="J69" s="1161"/>
      <c r="K69" s="1162"/>
      <c r="L69" s="1163"/>
      <c r="M69" s="1161"/>
      <c r="N69" s="1161"/>
      <c r="O69" s="1161"/>
      <c r="P69" s="502"/>
      <c r="Q69" s="503"/>
    </row>
    <row r="70" spans="1:17" s="507" customFormat="1" ht="15">
      <c r="A70" s="2709" t="s">
        <v>2769</v>
      </c>
      <c r="B70" s="1361"/>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6"/>
    </row>
    <row r="71" spans="1:17" s="117" customFormat="1" ht="30" customHeight="1">
      <c r="A71" s="2710" t="s">
        <v>2770</v>
      </c>
      <c r="B71" s="331" t="str">
        <f>"北京市平均增长率"&amp;TEXT(SUMIF(基准地价修正!N21:N25,A71,基准地价修正!P21:P25),"0.00%")</f>
        <v>北京市平均增长率2.50%</v>
      </c>
      <c r="C71" s="602">
        <v>100</v>
      </c>
      <c r="D71" s="594">
        <v>99</v>
      </c>
      <c r="E71" s="594">
        <v>98</v>
      </c>
      <c r="F71" s="594">
        <v>97</v>
      </c>
      <c r="G71" s="594">
        <v>96</v>
      </c>
      <c r="H71" s="594">
        <v>95</v>
      </c>
      <c r="I71" s="594">
        <v>94</v>
      </c>
      <c r="J71" s="594">
        <v>93</v>
      </c>
      <c r="K71" s="594">
        <v>92</v>
      </c>
      <c r="L71" s="594">
        <v>91</v>
      </c>
      <c r="M71" s="1569">
        <v>90</v>
      </c>
      <c r="N71" s="594"/>
      <c r="O71" s="1570"/>
      <c r="P71" s="503"/>
    </row>
    <row r="72" spans="1:17" s="117" customFormat="1" ht="15.75" thickBot="1">
      <c r="A72" s="514" t="s">
        <v>2573</v>
      </c>
      <c r="B72" s="515"/>
      <c r="C72" s="516"/>
      <c r="D72" s="517"/>
      <c r="E72" s="517"/>
      <c r="F72" s="517"/>
      <c r="G72" s="517"/>
      <c r="H72" s="517"/>
      <c r="I72" s="517"/>
      <c r="J72" s="517"/>
      <c r="K72" s="517"/>
      <c r="L72" s="517"/>
      <c r="M72" s="518"/>
      <c r="N72" s="517"/>
      <c r="O72" s="1164"/>
      <c r="P72" s="503"/>
      <c r="Q72" s="503"/>
    </row>
    <row r="73" spans="1:17" s="117" customFormat="1" ht="15">
      <c r="A73" s="520" t="s">
        <v>2538</v>
      </c>
      <c r="B73" s="509"/>
      <c r="C73" s="521" t="s">
        <v>2640</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2576</v>
      </c>
      <c r="B75" s="527" t="s">
        <v>2542</v>
      </c>
      <c r="C75" s="2946" t="s">
        <v>3053</v>
      </c>
      <c r="D75" s="529"/>
      <c r="E75" s="529"/>
      <c r="F75" s="529"/>
      <c r="G75" s="529"/>
      <c r="H75" s="529"/>
      <c r="I75" s="529"/>
      <c r="J75" s="529"/>
      <c r="K75" s="530"/>
      <c r="L75" s="531"/>
      <c r="M75" s="532"/>
      <c r="N75" s="1154"/>
      <c r="O75" s="1154"/>
      <c r="P75" s="45"/>
      <c r="Q75" s="503"/>
    </row>
    <row r="76" spans="1:17" ht="15.75" thickBot="1">
      <c r="A76" s="533"/>
      <c r="B76" s="534"/>
      <c r="C76" s="535">
        <v>100</v>
      </c>
      <c r="D76" s="535"/>
      <c r="E76" s="535"/>
      <c r="F76" s="535"/>
      <c r="G76" s="535"/>
      <c r="H76" s="535"/>
      <c r="I76" s="535"/>
      <c r="J76" s="535"/>
      <c r="K76" s="535"/>
      <c r="L76" s="535"/>
      <c r="M76" s="536"/>
      <c r="N76" s="1155"/>
      <c r="O76" s="1155"/>
      <c r="P76" s="45"/>
      <c r="Q76" s="503"/>
    </row>
    <row r="77" spans="1:17" ht="27.75" thickTop="1">
      <c r="A77" s="533"/>
      <c r="B77" s="537" t="s">
        <v>2545</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2546</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5（含）-6</v>
      </c>
      <c r="I79" s="546" t="str">
        <f t="shared" si="20"/>
        <v>6（含）-7</v>
      </c>
      <c r="J79" s="546" t="str">
        <f t="shared" si="20"/>
        <v>7（含）-8</v>
      </c>
      <c r="K79" s="546" t="str">
        <f t="shared" si="20"/>
        <v>8（含）-9</v>
      </c>
      <c r="L79" s="546" t="str">
        <f t="shared" si="20"/>
        <v>9（含）-10</v>
      </c>
      <c r="M79" s="447" t="str">
        <f>M80&amp;"（含）"&amp;"-"&amp;P80</f>
        <v>10（含）-</v>
      </c>
      <c r="N79" s="1155"/>
      <c r="O79" s="1155"/>
      <c r="P79" s="45"/>
      <c r="Q79" s="503"/>
    </row>
    <row r="80" spans="1:17" ht="15">
      <c r="A80" s="533"/>
      <c r="B80" s="547"/>
      <c r="C80" s="548">
        <v>0</v>
      </c>
      <c r="D80" s="548">
        <v>1</v>
      </c>
      <c r="E80" s="548">
        <v>2</v>
      </c>
      <c r="F80" s="548">
        <v>3</v>
      </c>
      <c r="G80" s="548">
        <v>4</v>
      </c>
      <c r="H80" s="548">
        <v>5</v>
      </c>
      <c r="I80" s="548">
        <v>6</v>
      </c>
      <c r="J80" s="548">
        <v>7</v>
      </c>
      <c r="K80" s="549">
        <v>8</v>
      </c>
      <c r="L80" s="550">
        <v>9</v>
      </c>
      <c r="M80" s="551">
        <v>10</v>
      </c>
      <c r="N80" s="1154"/>
      <c r="O80" s="1154"/>
      <c r="P80" s="45"/>
      <c r="Q80" s="503"/>
    </row>
    <row r="81" spans="1:17" ht="15.75" thickBot="1">
      <c r="A81" s="533"/>
      <c r="B81" s="534"/>
      <c r="C81" s="543">
        <v>100</v>
      </c>
      <c r="D81" s="543">
        <f t="shared" ref="D81:M81" si="21">IF($B$46="单位面积地价",C81+$K11,C81-$K11)</f>
        <v>95</v>
      </c>
      <c r="E81" s="543">
        <f t="shared" si="21"/>
        <v>90</v>
      </c>
      <c r="F81" s="543">
        <f t="shared" si="21"/>
        <v>85</v>
      </c>
      <c r="G81" s="543">
        <f t="shared" si="21"/>
        <v>80</v>
      </c>
      <c r="H81" s="543">
        <f t="shared" si="21"/>
        <v>75</v>
      </c>
      <c r="I81" s="543">
        <f t="shared" si="21"/>
        <v>70</v>
      </c>
      <c r="J81" s="543">
        <f t="shared" si="21"/>
        <v>65</v>
      </c>
      <c r="K81" s="543">
        <f t="shared" si="21"/>
        <v>60</v>
      </c>
      <c r="L81" s="543">
        <f t="shared" si="21"/>
        <v>55</v>
      </c>
      <c r="M81" s="543">
        <f t="shared" si="21"/>
        <v>50</v>
      </c>
      <c r="N81" s="1155"/>
      <c r="O81" s="1155"/>
      <c r="P81" s="45"/>
      <c r="Q81" s="503"/>
    </row>
    <row r="82" spans="1:17" s="470" customFormat="1" ht="15.75" hidden="1" thickTop="1">
      <c r="A82" s="552"/>
      <c r="B82" s="537">
        <f>B12</f>
        <v>0</v>
      </c>
      <c r="C82" s="553"/>
      <c r="D82" s="553"/>
      <c r="E82" s="553"/>
      <c r="F82" s="553"/>
      <c r="G82" s="553"/>
      <c r="H82" s="554"/>
      <c r="I82" s="554"/>
      <c r="J82" s="554"/>
      <c r="K82" s="554"/>
      <c r="L82" s="555"/>
      <c r="M82" s="556"/>
      <c r="N82" s="1156"/>
      <c r="O82" s="1156"/>
      <c r="P82" s="557"/>
      <c r="Q82" s="558"/>
    </row>
    <row r="83" spans="1:17" s="470" customFormat="1" ht="15.75" hidden="1" thickBot="1">
      <c r="A83" s="552"/>
      <c r="B83" s="542"/>
      <c r="C83" s="559"/>
      <c r="D83" s="535"/>
      <c r="E83" s="535"/>
      <c r="F83" s="535"/>
      <c r="G83" s="535"/>
      <c r="H83" s="535"/>
      <c r="I83" s="535"/>
      <c r="J83" s="535"/>
      <c r="K83" s="535"/>
      <c r="L83" s="535"/>
      <c r="M83" s="536"/>
      <c r="N83" s="1155"/>
      <c r="O83" s="1155"/>
      <c r="P83" s="557"/>
      <c r="Q83" s="558"/>
    </row>
    <row r="84" spans="1:17" s="470" customFormat="1" ht="15.75" hidden="1" thickTop="1">
      <c r="A84" s="552"/>
      <c r="B84" s="537">
        <f>B13</f>
        <v>0</v>
      </c>
      <c r="C84" s="553"/>
      <c r="D84" s="553"/>
      <c r="E84" s="553"/>
      <c r="F84" s="553"/>
      <c r="G84" s="553"/>
      <c r="H84" s="554"/>
      <c r="I84" s="554"/>
      <c r="J84" s="554"/>
      <c r="K84" s="554"/>
      <c r="L84" s="555"/>
      <c r="M84" s="556"/>
      <c r="N84" s="1156"/>
      <c r="O84" s="1156"/>
      <c r="P84" s="469"/>
      <c r="Q84" s="560"/>
    </row>
    <row r="85" spans="1:17" s="470" customFormat="1" ht="15.75" hidden="1" thickBot="1">
      <c r="A85" s="552"/>
      <c r="B85" s="542"/>
      <c r="C85" s="559"/>
      <c r="D85" s="559"/>
      <c r="E85" s="559"/>
      <c r="F85" s="559"/>
      <c r="G85" s="559"/>
      <c r="H85" s="561"/>
      <c r="I85" s="561"/>
      <c r="J85" s="561"/>
      <c r="K85" s="561"/>
      <c r="L85" s="561"/>
      <c r="M85" s="562"/>
      <c r="N85" s="1156"/>
      <c r="O85" s="1156"/>
      <c r="P85" s="557"/>
      <c r="Q85" s="558"/>
    </row>
    <row r="86" spans="1:17" s="470" customFormat="1" ht="15.75" hidden="1" thickTop="1">
      <c r="A86" s="552"/>
      <c r="B86" s="545">
        <f>B14</f>
        <v>0</v>
      </c>
      <c r="C86" s="522"/>
      <c r="D86" s="522"/>
      <c r="E86" s="522"/>
      <c r="F86" s="522"/>
      <c r="G86" s="522"/>
      <c r="H86" s="563"/>
      <c r="I86" s="563"/>
      <c r="J86" s="563"/>
      <c r="K86" s="563"/>
      <c r="L86" s="564"/>
      <c r="M86" s="565"/>
      <c r="N86" s="1156"/>
      <c r="O86" s="1156"/>
      <c r="P86" s="566"/>
      <c r="Q86" s="558"/>
    </row>
    <row r="87" spans="1:17" s="470" customFormat="1" ht="15.75" hidden="1" thickBot="1">
      <c r="A87" s="567"/>
      <c r="B87" s="568"/>
      <c r="C87" s="569"/>
      <c r="D87" s="569"/>
      <c r="E87" s="569"/>
      <c r="F87" s="569"/>
      <c r="G87" s="569"/>
      <c r="H87" s="570"/>
      <c r="I87" s="570"/>
      <c r="J87" s="570"/>
      <c r="K87" s="570"/>
      <c r="L87" s="570"/>
      <c r="M87" s="571"/>
      <c r="N87" s="1156"/>
      <c r="O87" s="1156"/>
      <c r="P87" s="557"/>
      <c r="Q87" s="558"/>
    </row>
    <row r="88" spans="1:17" ht="15" thickTop="1">
      <c r="A88" s="526" t="s">
        <v>2547</v>
      </c>
      <c r="B88" s="527" t="s">
        <v>2584</v>
      </c>
      <c r="C88" s="572" t="s">
        <v>2585</v>
      </c>
      <c r="D88" s="572" t="s">
        <v>2586</v>
      </c>
      <c r="E88" s="572" t="s">
        <v>2587</v>
      </c>
      <c r="F88" s="572" t="s">
        <v>2588</v>
      </c>
      <c r="G88" s="572" t="s">
        <v>2589</v>
      </c>
      <c r="H88" s="528"/>
      <c r="I88" s="528"/>
      <c r="J88" s="528"/>
      <c r="K88" s="573"/>
      <c r="L88" s="574"/>
      <c r="M88" s="575"/>
      <c r="N88" s="1154"/>
      <c r="O88" s="1154"/>
      <c r="P88" s="576"/>
      <c r="Q88" s="503"/>
    </row>
    <row r="89" spans="1:17" ht="15.75" thickBot="1">
      <c r="A89" s="533"/>
      <c r="B89" s="542"/>
      <c r="C89" s="543">
        <v>100</v>
      </c>
      <c r="D89" s="543">
        <f>C89-$K15</f>
        <v>97</v>
      </c>
      <c r="E89" s="543">
        <f>D89-$K15</f>
        <v>94</v>
      </c>
      <c r="F89" s="543">
        <f>E89-$K15</f>
        <v>91</v>
      </c>
      <c r="G89" s="543">
        <f>F89-$K15</f>
        <v>88</v>
      </c>
      <c r="H89" s="543"/>
      <c r="I89" s="543"/>
      <c r="J89" s="543"/>
      <c r="K89" s="543"/>
      <c r="L89" s="543"/>
      <c r="M89" s="544"/>
      <c r="N89" s="1155"/>
      <c r="O89" s="1155"/>
      <c r="P89" s="45"/>
      <c r="Q89" s="503"/>
    </row>
    <row r="90" spans="1:17" ht="15.75" thickTop="1">
      <c r="A90" s="533"/>
      <c r="B90" s="537" t="s">
        <v>2771</v>
      </c>
      <c r="C90" s="577" t="s">
        <v>2585</v>
      </c>
      <c r="D90" s="577" t="s">
        <v>2586</v>
      </c>
      <c r="E90" s="577" t="s">
        <v>2587</v>
      </c>
      <c r="F90" s="577" t="s">
        <v>2588</v>
      </c>
      <c r="G90" s="577" t="s">
        <v>2589</v>
      </c>
      <c r="H90" s="538"/>
      <c r="I90" s="538"/>
      <c r="J90" s="538"/>
      <c r="K90" s="539"/>
      <c r="L90" s="540"/>
      <c r="M90" s="541"/>
      <c r="N90" s="1154"/>
      <c r="O90" s="1154"/>
      <c r="P90" s="45"/>
      <c r="Q90" s="503"/>
    </row>
    <row r="91" spans="1:17" ht="15.75" thickBot="1">
      <c r="A91" s="533"/>
      <c r="B91" s="542"/>
      <c r="C91" s="543">
        <v>100</v>
      </c>
      <c r="D91" s="543">
        <f>C91-$K17</f>
        <v>97</v>
      </c>
      <c r="E91" s="543">
        <f>D91-$K17</f>
        <v>94</v>
      </c>
      <c r="F91" s="543">
        <f>E91-$K17</f>
        <v>91</v>
      </c>
      <c r="G91" s="543">
        <f>F91-$K17</f>
        <v>88</v>
      </c>
      <c r="H91" s="543"/>
      <c r="I91" s="543"/>
      <c r="J91" s="543"/>
      <c r="K91" s="543"/>
      <c r="L91" s="543"/>
      <c r="M91" s="544"/>
      <c r="N91" s="1155"/>
      <c r="O91" s="1155"/>
      <c r="P91" s="45"/>
      <c r="Q91" s="503"/>
    </row>
    <row r="92" spans="1:17" ht="15.75" thickTop="1">
      <c r="A92" s="533"/>
      <c r="B92" s="537" t="s">
        <v>2685</v>
      </c>
      <c r="C92" s="577" t="s">
        <v>2585</v>
      </c>
      <c r="D92" s="577" t="s">
        <v>2586</v>
      </c>
      <c r="E92" s="577" t="s">
        <v>2587</v>
      </c>
      <c r="F92" s="577" t="s">
        <v>2588</v>
      </c>
      <c r="G92" s="577" t="s">
        <v>2589</v>
      </c>
      <c r="H92" s="538"/>
      <c r="I92" s="538"/>
      <c r="J92" s="538"/>
      <c r="K92" s="539"/>
      <c r="L92" s="540"/>
      <c r="M92" s="541"/>
      <c r="N92" s="1154"/>
      <c r="O92" s="1154"/>
      <c r="P92" s="45"/>
      <c r="Q92" s="503"/>
    </row>
    <row r="93" spans="1:17" ht="15.75" thickBot="1">
      <c r="A93" s="533"/>
      <c r="B93" s="542"/>
      <c r="C93" s="543">
        <v>100</v>
      </c>
      <c r="D93" s="543">
        <f>C93-$K19</f>
        <v>97</v>
      </c>
      <c r="E93" s="543">
        <f>D93-$K19</f>
        <v>94</v>
      </c>
      <c r="F93" s="543">
        <f>E93-$K19</f>
        <v>91</v>
      </c>
      <c r="G93" s="543">
        <f>F93-$K19</f>
        <v>88</v>
      </c>
      <c r="H93" s="543"/>
      <c r="I93" s="543"/>
      <c r="J93" s="543"/>
      <c r="K93" s="543"/>
      <c r="L93" s="543"/>
      <c r="M93" s="544"/>
      <c r="N93" s="1155"/>
      <c r="O93" s="1155"/>
      <c r="P93" s="45"/>
      <c r="Q93" s="503"/>
    </row>
    <row r="94" spans="1:17" ht="15.75" thickTop="1">
      <c r="A94" s="533"/>
      <c r="B94" s="537" t="s">
        <v>2590</v>
      </c>
      <c r="C94" s="577" t="s">
        <v>2585</v>
      </c>
      <c r="D94" s="577" t="s">
        <v>2586</v>
      </c>
      <c r="E94" s="577" t="s">
        <v>2587</v>
      </c>
      <c r="F94" s="577" t="s">
        <v>2588</v>
      </c>
      <c r="G94" s="577" t="s">
        <v>2589</v>
      </c>
      <c r="H94" s="538"/>
      <c r="I94" s="538"/>
      <c r="J94" s="538"/>
      <c r="K94" s="539"/>
      <c r="L94" s="540"/>
      <c r="M94" s="541"/>
      <c r="N94" s="1154"/>
      <c r="O94" s="1154"/>
      <c r="P94" s="45"/>
      <c r="Q94" s="503"/>
    </row>
    <row r="95" spans="1:17" ht="15.75" thickBot="1">
      <c r="A95" s="533"/>
      <c r="B95" s="542"/>
      <c r="C95" s="543">
        <v>100</v>
      </c>
      <c r="D95" s="543">
        <f>C95-$K21</f>
        <v>97</v>
      </c>
      <c r="E95" s="543">
        <f>D95-$K21</f>
        <v>94</v>
      </c>
      <c r="F95" s="543">
        <f>E95-$K21</f>
        <v>91</v>
      </c>
      <c r="G95" s="543">
        <f>F95-$K21</f>
        <v>88</v>
      </c>
      <c r="H95" s="543"/>
      <c r="I95" s="543"/>
      <c r="J95" s="543"/>
      <c r="K95" s="543"/>
      <c r="L95" s="543"/>
      <c r="M95" s="544"/>
      <c r="N95" s="1155"/>
      <c r="O95" s="1155"/>
      <c r="P95" s="45"/>
      <c r="Q95" s="503"/>
    </row>
    <row r="96" spans="1:17" s="117" customFormat="1" ht="15.75" thickTop="1">
      <c r="A96" s="578"/>
      <c r="B96" s="537" t="s">
        <v>2772</v>
      </c>
      <c r="C96" s="577" t="s">
        <v>2585</v>
      </c>
      <c r="D96" s="577" t="s">
        <v>2586</v>
      </c>
      <c r="E96" s="577" t="s">
        <v>2587</v>
      </c>
      <c r="F96" s="577" t="s">
        <v>2588</v>
      </c>
      <c r="G96" s="577" t="s">
        <v>2589</v>
      </c>
      <c r="H96" s="577"/>
      <c r="I96" s="577"/>
      <c r="J96" s="577"/>
      <c r="K96" s="577"/>
      <c r="L96" s="697"/>
      <c r="M96" s="621"/>
      <c r="N96" s="1153"/>
      <c r="O96" s="1153"/>
      <c r="P96" s="45"/>
      <c r="Q96" s="503"/>
    </row>
    <row r="97" spans="1:17" s="117" customFormat="1" ht="15.75" thickBot="1">
      <c r="A97" s="578"/>
      <c r="B97" s="542"/>
      <c r="C97" s="581">
        <v>100</v>
      </c>
      <c r="D97" s="543">
        <f>C97-$K23</f>
        <v>95</v>
      </c>
      <c r="E97" s="543">
        <f>D97-$K23</f>
        <v>90</v>
      </c>
      <c r="F97" s="543">
        <f>E97-$K23</f>
        <v>85</v>
      </c>
      <c r="G97" s="543">
        <f>F97-$K23</f>
        <v>80</v>
      </c>
      <c r="H97" s="543"/>
      <c r="I97" s="543"/>
      <c r="J97" s="543"/>
      <c r="K97" s="543"/>
      <c r="L97" s="543"/>
      <c r="M97" s="544"/>
      <c r="N97" s="1155"/>
      <c r="O97" s="1155"/>
      <c r="P97" s="45"/>
      <c r="Q97" s="503"/>
    </row>
    <row r="98" spans="1:17" s="117" customFormat="1" ht="27.75" thickTop="1">
      <c r="A98" s="578"/>
      <c r="B98" s="537" t="s">
        <v>2773</v>
      </c>
      <c r="C98" s="572" t="s">
        <v>2585</v>
      </c>
      <c r="D98" s="572" t="s">
        <v>2586</v>
      </c>
      <c r="E98" s="572" t="s">
        <v>2587</v>
      </c>
      <c r="F98" s="572" t="s">
        <v>2588</v>
      </c>
      <c r="G98" s="572" t="s">
        <v>2589</v>
      </c>
      <c r="H98" s="577"/>
      <c r="I98" s="577"/>
      <c r="J98" s="577"/>
      <c r="K98" s="577"/>
      <c r="L98" s="577"/>
      <c r="M98" s="621"/>
      <c r="N98" s="1153"/>
      <c r="O98" s="1153"/>
      <c r="P98" s="45"/>
      <c r="Q98" s="503"/>
    </row>
    <row r="99" spans="1:17" s="117" customFormat="1" ht="15.75" thickBot="1">
      <c r="A99" s="578"/>
      <c r="B99" s="542"/>
      <c r="C99" s="543">
        <v>100</v>
      </c>
      <c r="D99" s="543">
        <f>C99-$K25</f>
        <v>97</v>
      </c>
      <c r="E99" s="543">
        <f>D99-$K25</f>
        <v>94</v>
      </c>
      <c r="F99" s="543">
        <f>E99-$K25</f>
        <v>91</v>
      </c>
      <c r="G99" s="543">
        <f>F99-$K25</f>
        <v>88</v>
      </c>
      <c r="H99" s="543"/>
      <c r="I99" s="543"/>
      <c r="J99" s="543"/>
      <c r="K99" s="543"/>
      <c r="L99" s="543"/>
      <c r="M99" s="544"/>
      <c r="N99" s="1155"/>
      <c r="O99" s="1155"/>
      <c r="P99" s="45"/>
      <c r="Q99" s="503"/>
    </row>
    <row r="100" spans="1:17" s="470" customFormat="1" ht="15.75" thickTop="1">
      <c r="A100" s="552"/>
      <c r="B100" s="537" t="s">
        <v>2642</v>
      </c>
      <c r="C100" s="572" t="s">
        <v>2585</v>
      </c>
      <c r="D100" s="572" t="s">
        <v>2586</v>
      </c>
      <c r="E100" s="572" t="s">
        <v>2587</v>
      </c>
      <c r="F100" s="572" t="s">
        <v>2588</v>
      </c>
      <c r="G100" s="572" t="s">
        <v>2589</v>
      </c>
      <c r="H100" s="599"/>
      <c r="I100" s="599"/>
      <c r="J100" s="599"/>
      <c r="K100" s="599"/>
      <c r="L100" s="600"/>
      <c r="M100" s="601"/>
      <c r="N100" s="1156"/>
      <c r="O100" s="1156"/>
      <c r="P100" s="557"/>
      <c r="Q100" s="558"/>
    </row>
    <row r="101" spans="1:17" s="470" customFormat="1" ht="15.75" thickBot="1">
      <c r="A101" s="552"/>
      <c r="B101" s="542"/>
      <c r="C101" s="543">
        <v>100</v>
      </c>
      <c r="D101" s="543">
        <f>C101-$K27</f>
        <v>97</v>
      </c>
      <c r="E101" s="543">
        <f>D101-$K27</f>
        <v>94</v>
      </c>
      <c r="F101" s="543">
        <f>E101-$K27</f>
        <v>91</v>
      </c>
      <c r="G101" s="543">
        <f>F101-$K27</f>
        <v>88</v>
      </c>
      <c r="H101" s="606"/>
      <c r="I101" s="606"/>
      <c r="J101" s="606"/>
      <c r="K101" s="606"/>
      <c r="L101" s="606"/>
      <c r="M101" s="607"/>
      <c r="N101" s="1156"/>
      <c r="O101" s="1156"/>
      <c r="P101" s="557"/>
      <c r="Q101" s="558"/>
    </row>
    <row r="102" spans="1:17" s="470" customFormat="1" ht="15.75" thickTop="1">
      <c r="A102" s="552"/>
      <c r="B102" s="545" t="s">
        <v>2643</v>
      </c>
      <c r="C102" s="659" t="s">
        <v>2663</v>
      </c>
      <c r="D102" s="659" t="s">
        <v>2664</v>
      </c>
      <c r="E102" s="659" t="s">
        <v>2665</v>
      </c>
      <c r="F102" s="659" t="s">
        <v>2666</v>
      </c>
      <c r="G102" s="659" t="s">
        <v>2667</v>
      </c>
      <c r="H102" s="599"/>
      <c r="I102" s="599"/>
      <c r="J102" s="599"/>
      <c r="K102" s="599"/>
      <c r="L102" s="599"/>
      <c r="M102" s="1387"/>
      <c r="N102" s="1156"/>
      <c r="O102" s="1156"/>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7"/>
      <c r="N103" s="1156"/>
      <c r="O103" s="1156"/>
      <c r="P103" s="557"/>
      <c r="Q103" s="558"/>
    </row>
    <row r="104" spans="1:17" ht="15.75" thickTop="1">
      <c r="A104" s="533"/>
      <c r="B104" s="537" t="str">
        <f>B31</f>
        <v>临街状况</v>
      </c>
      <c r="C104" s="538" t="s">
        <v>2774</v>
      </c>
      <c r="D104" s="538" t="s">
        <v>2775</v>
      </c>
      <c r="E104" s="538" t="s">
        <v>2776</v>
      </c>
      <c r="F104" s="538" t="s">
        <v>2777</v>
      </c>
      <c r="G104" s="538"/>
      <c r="H104" s="538"/>
      <c r="I104" s="538"/>
      <c r="J104" s="538"/>
      <c r="K104" s="539"/>
      <c r="L104" s="540"/>
      <c r="M104" s="541"/>
      <c r="N104" s="1154"/>
      <c r="O104" s="1154"/>
      <c r="P104" s="45"/>
      <c r="Q104" s="503"/>
    </row>
    <row r="105" spans="1:17" ht="15.75" thickBot="1">
      <c r="A105" s="533"/>
      <c r="B105" s="542"/>
      <c r="C105" s="543">
        <v>100</v>
      </c>
      <c r="D105" s="543">
        <f>C105-$K31</f>
        <v>98</v>
      </c>
      <c r="E105" s="543">
        <f t="shared" ref="E105:M105" si="22">D105-$K31</f>
        <v>96</v>
      </c>
      <c r="F105" s="543">
        <f t="shared" si="22"/>
        <v>94</v>
      </c>
      <c r="G105" s="543">
        <f t="shared" si="22"/>
        <v>92</v>
      </c>
      <c r="H105" s="543">
        <f t="shared" si="22"/>
        <v>90</v>
      </c>
      <c r="I105" s="543">
        <f t="shared" si="22"/>
        <v>88</v>
      </c>
      <c r="J105" s="543">
        <f t="shared" si="22"/>
        <v>86</v>
      </c>
      <c r="K105" s="543">
        <f t="shared" si="22"/>
        <v>84</v>
      </c>
      <c r="L105" s="543">
        <f t="shared" si="22"/>
        <v>82</v>
      </c>
      <c r="M105" s="543">
        <f t="shared" si="22"/>
        <v>80</v>
      </c>
      <c r="N105" s="1155"/>
      <c r="O105" s="1155"/>
      <c r="P105" s="45"/>
      <c r="Q105" s="503"/>
    </row>
    <row r="106" spans="1:17" ht="27.75" thickTop="1">
      <c r="A106" s="533"/>
      <c r="B106" s="537" t="s">
        <v>2679</v>
      </c>
      <c r="C106" s="2947" t="s">
        <v>3055</v>
      </c>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98</v>
      </c>
      <c r="E107" s="543">
        <f t="shared" ref="E107:M107" si="23">D107-$K32</f>
        <v>96</v>
      </c>
      <c r="F107" s="543">
        <f t="shared" si="23"/>
        <v>94</v>
      </c>
      <c r="G107" s="543">
        <f t="shared" si="23"/>
        <v>92</v>
      </c>
      <c r="H107" s="543">
        <f t="shared" si="23"/>
        <v>90</v>
      </c>
      <c r="I107" s="543">
        <f t="shared" si="23"/>
        <v>88</v>
      </c>
      <c r="J107" s="543">
        <f t="shared" si="23"/>
        <v>86</v>
      </c>
      <c r="K107" s="543">
        <f t="shared" si="23"/>
        <v>84</v>
      </c>
      <c r="L107" s="543">
        <f t="shared" si="23"/>
        <v>82</v>
      </c>
      <c r="M107" s="543">
        <f t="shared" si="23"/>
        <v>80</v>
      </c>
      <c r="N107" s="1155"/>
      <c r="O107" s="1155"/>
      <c r="P107" s="45"/>
      <c r="Q107" s="503"/>
    </row>
    <row r="108" spans="1:17" ht="15.75" thickTop="1">
      <c r="A108" s="533"/>
      <c r="B108" s="537" t="s">
        <v>2737</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98</v>
      </c>
      <c r="E109" s="543">
        <f t="shared" ref="E109:M109" si="24">D109-$K34</f>
        <v>96</v>
      </c>
      <c r="F109" s="543">
        <f t="shared" si="24"/>
        <v>94</v>
      </c>
      <c r="G109" s="543">
        <f t="shared" si="24"/>
        <v>92</v>
      </c>
      <c r="H109" s="543">
        <f t="shared" si="24"/>
        <v>90</v>
      </c>
      <c r="I109" s="543">
        <f t="shared" si="24"/>
        <v>88</v>
      </c>
      <c r="J109" s="543">
        <f t="shared" si="24"/>
        <v>86</v>
      </c>
      <c r="K109" s="543">
        <f t="shared" si="24"/>
        <v>84</v>
      </c>
      <c r="L109" s="543">
        <f t="shared" si="24"/>
        <v>82</v>
      </c>
      <c r="M109" s="543">
        <f t="shared" si="24"/>
        <v>80</v>
      </c>
      <c r="N109" s="1155"/>
      <c r="O109" s="1155"/>
      <c r="P109" s="45"/>
      <c r="Q109" s="503"/>
    </row>
    <row r="110" spans="1:17" ht="15.75" hidden="1" thickTop="1">
      <c r="A110" s="533"/>
      <c r="B110" s="545">
        <f>B35</f>
        <v>0</v>
      </c>
      <c r="C110" s="553"/>
      <c r="D110" s="553"/>
      <c r="E110" s="553"/>
      <c r="F110" s="553"/>
      <c r="G110" s="586"/>
      <c r="H110" s="586"/>
      <c r="I110" s="586"/>
      <c r="J110" s="586"/>
      <c r="K110" s="587"/>
      <c r="L110" s="588"/>
      <c r="M110" s="589"/>
      <c r="N110" s="1154"/>
      <c r="O110" s="1154"/>
      <c r="P110" s="45"/>
      <c r="Q110" s="503"/>
    </row>
    <row r="111" spans="1:17" ht="15.75" hidden="1" thickBot="1">
      <c r="A111" s="533"/>
      <c r="B111" s="568"/>
      <c r="C111" s="559"/>
      <c r="D111" s="559"/>
      <c r="E111" s="559"/>
      <c r="F111" s="559"/>
      <c r="G111" s="590"/>
      <c r="H111" s="590"/>
      <c r="I111" s="590"/>
      <c r="J111" s="590"/>
      <c r="K111" s="590"/>
      <c r="L111" s="590"/>
      <c r="M111" s="591"/>
      <c r="N111" s="1155"/>
      <c r="O111" s="1155"/>
      <c r="P111" s="45"/>
      <c r="Q111" s="503"/>
    </row>
    <row r="112" spans="1:17" ht="15" hidden="1" thickTop="1">
      <c r="A112" s="674"/>
      <c r="B112" s="537">
        <f>B36</f>
        <v>0</v>
      </c>
      <c r="C112" s="522"/>
      <c r="D112" s="522"/>
      <c r="E112" s="522"/>
      <c r="F112" s="522"/>
      <c r="G112" s="582"/>
      <c r="H112" s="582"/>
      <c r="I112" s="582"/>
      <c r="J112" s="582"/>
      <c r="K112" s="583"/>
      <c r="L112" s="584"/>
      <c r="M112" s="585"/>
      <c r="N112" s="1154"/>
      <c r="O112" s="1154"/>
      <c r="P112" s="45"/>
      <c r="Q112" s="503"/>
    </row>
    <row r="113" spans="1:17" ht="15.75" hidden="1" thickBot="1">
      <c r="A113" s="533"/>
      <c r="B113" s="542"/>
      <c r="C113" s="569"/>
      <c r="D113" s="569"/>
      <c r="E113" s="569"/>
      <c r="F113" s="569"/>
      <c r="G113" s="535"/>
      <c r="H113" s="535"/>
      <c r="I113" s="535"/>
      <c r="J113" s="535"/>
      <c r="K113" s="535"/>
      <c r="L113" s="535"/>
      <c r="M113" s="536"/>
      <c r="N113" s="1155"/>
      <c r="O113" s="1155"/>
      <c r="P113" s="45"/>
      <c r="Q113" s="503"/>
    </row>
    <row r="114" spans="1:17" s="470" customFormat="1" ht="15" hidden="1" thickTop="1">
      <c r="A114" s="592"/>
      <c r="B114" s="593">
        <f>B37</f>
        <v>0</v>
      </c>
      <c r="C114" s="594"/>
      <c r="D114" s="594"/>
      <c r="E114" s="594"/>
      <c r="F114" s="594"/>
      <c r="G114" s="594"/>
      <c r="H114" s="594"/>
      <c r="I114" s="594"/>
      <c r="J114" s="595"/>
      <c r="K114" s="595"/>
      <c r="L114" s="596"/>
      <c r="M114" s="597"/>
      <c r="N114" s="1156"/>
      <c r="O114" s="1156"/>
      <c r="P114" s="557"/>
      <c r="Q114" s="558"/>
    </row>
    <row r="115" spans="1:17" s="470" customFormat="1" ht="15.75" hidden="1" thickBot="1">
      <c r="A115" s="552"/>
      <c r="B115" s="545"/>
      <c r="C115" s="511"/>
      <c r="D115" s="676"/>
      <c r="E115" s="676"/>
      <c r="F115" s="676"/>
      <c r="G115" s="676"/>
      <c r="H115" s="676"/>
      <c r="I115" s="676"/>
      <c r="J115" s="676"/>
      <c r="K115" s="676"/>
      <c r="L115" s="676"/>
      <c r="M115" s="698"/>
      <c r="N115" s="1155"/>
      <c r="O115" s="1155"/>
      <c r="P115" s="557"/>
      <c r="Q115" s="558"/>
    </row>
    <row r="116" spans="1:17" ht="29.25" thickTop="1">
      <c r="A116" s="526" t="s">
        <v>2551</v>
      </c>
      <c r="B116" s="527" t="s">
        <v>2778</v>
      </c>
      <c r="C116" s="528" t="str">
        <f>C117&amp;"(含)"&amp;"-"&amp;D117</f>
        <v>0(含)-20000</v>
      </c>
      <c r="D116" s="528" t="str">
        <f t="shared" ref="D116:M116" si="25">D117&amp;"(含)"&amp;"-"&amp;E117</f>
        <v>20000(含)-50000</v>
      </c>
      <c r="E116" s="528" t="str">
        <f t="shared" si="25"/>
        <v>50000(含)-100000</v>
      </c>
      <c r="F116" s="528" t="str">
        <f t="shared" si="25"/>
        <v>100000(含)-200000</v>
      </c>
      <c r="G116" s="528" t="str">
        <f t="shared" si="25"/>
        <v>200000(含)-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v>0</v>
      </c>
      <c r="D117" s="594">
        <v>20000</v>
      </c>
      <c r="E117" s="594">
        <v>50000</v>
      </c>
      <c r="F117" s="594">
        <v>100000</v>
      </c>
      <c r="G117" s="594">
        <v>200000</v>
      </c>
      <c r="H117" s="594"/>
      <c r="I117" s="594"/>
      <c r="J117" s="595"/>
      <c r="K117" s="595"/>
      <c r="L117" s="596"/>
      <c r="M117" s="597"/>
      <c r="N117" s="1154"/>
      <c r="O117" s="1154"/>
      <c r="P117" s="45"/>
      <c r="Q117" s="503"/>
    </row>
    <row r="118" spans="1:17" ht="15.75" thickBot="1">
      <c r="A118" s="533"/>
      <c r="B118" s="542"/>
      <c r="C118" s="569">
        <v>100</v>
      </c>
      <c r="D118" s="590">
        <v>101</v>
      </c>
      <c r="E118" s="590">
        <v>102</v>
      </c>
      <c r="F118" s="590">
        <v>103</v>
      </c>
      <c r="G118" s="590">
        <v>104</v>
      </c>
      <c r="H118" s="590"/>
      <c r="I118" s="590"/>
      <c r="J118" s="590"/>
      <c r="K118" s="590"/>
      <c r="L118" s="590"/>
      <c r="M118" s="591"/>
      <c r="N118" s="1155"/>
      <c r="O118" s="1155"/>
      <c r="P118" s="45"/>
      <c r="Q118" s="503"/>
    </row>
    <row r="119" spans="1:17" ht="15" thickTop="1">
      <c r="A119" s="598"/>
      <c r="B119" s="537" t="s">
        <v>2779</v>
      </c>
      <c r="C119" s="582" t="s">
        <v>3061</v>
      </c>
      <c r="D119" s="582" t="s">
        <v>3062</v>
      </c>
      <c r="E119" s="582" t="s">
        <v>3063</v>
      </c>
      <c r="F119" s="582" t="s">
        <v>3064</v>
      </c>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99</v>
      </c>
      <c r="E120" s="543">
        <f t="shared" si="26"/>
        <v>98</v>
      </c>
      <c r="F120" s="543">
        <f t="shared" si="26"/>
        <v>97</v>
      </c>
      <c r="G120" s="543">
        <f t="shared" si="26"/>
        <v>96</v>
      </c>
      <c r="H120" s="543">
        <f t="shared" si="26"/>
        <v>95</v>
      </c>
      <c r="I120" s="543">
        <f t="shared" si="26"/>
        <v>94</v>
      </c>
      <c r="J120" s="543">
        <f t="shared" si="26"/>
        <v>93</v>
      </c>
      <c r="K120" s="543">
        <f t="shared" si="26"/>
        <v>92</v>
      </c>
      <c r="L120" s="543">
        <f t="shared" si="26"/>
        <v>91</v>
      </c>
      <c r="M120" s="544">
        <f t="shared" si="26"/>
        <v>90</v>
      </c>
      <c r="N120" s="1155"/>
      <c r="O120" s="1155"/>
      <c r="P120" s="45"/>
      <c r="Q120" s="503"/>
    </row>
    <row r="121" spans="1:17" ht="15" thickTop="1">
      <c r="A121" s="598"/>
      <c r="B121" s="537" t="s">
        <v>2780</v>
      </c>
      <c r="C121" s="553" t="s">
        <v>3058</v>
      </c>
      <c r="D121" s="553" t="s">
        <v>3059</v>
      </c>
      <c r="E121" s="553" t="s">
        <v>3060</v>
      </c>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99</v>
      </c>
      <c r="E122" s="543">
        <f t="shared" si="27"/>
        <v>98</v>
      </c>
      <c r="F122" s="543">
        <f t="shared" si="27"/>
        <v>97</v>
      </c>
      <c r="G122" s="543">
        <f t="shared" si="27"/>
        <v>96</v>
      </c>
      <c r="H122" s="543">
        <f t="shared" si="27"/>
        <v>95</v>
      </c>
      <c r="I122" s="543">
        <f t="shared" si="27"/>
        <v>94</v>
      </c>
      <c r="J122" s="543">
        <f t="shared" si="27"/>
        <v>93</v>
      </c>
      <c r="K122" s="543">
        <f t="shared" si="27"/>
        <v>92</v>
      </c>
      <c r="L122" s="543">
        <f t="shared" si="27"/>
        <v>91</v>
      </c>
      <c r="M122" s="544">
        <f t="shared" si="27"/>
        <v>90</v>
      </c>
      <c r="N122" s="1155"/>
      <c r="O122" s="1155"/>
      <c r="P122" s="45"/>
      <c r="Q122" s="503"/>
    </row>
    <row r="123" spans="1:17" s="470" customFormat="1" ht="15" thickTop="1">
      <c r="A123" s="592"/>
      <c r="B123" s="537" t="s">
        <v>2781</v>
      </c>
      <c r="C123" s="2949" t="s">
        <v>3065</v>
      </c>
      <c r="D123" s="2949" t="s">
        <v>3066</v>
      </c>
      <c r="E123" s="2949" t="s">
        <v>3067</v>
      </c>
      <c r="F123" s="2949" t="s">
        <v>3068</v>
      </c>
      <c r="G123" s="2949" t="s">
        <v>3069</v>
      </c>
      <c r="H123" s="2948" t="s">
        <v>3070</v>
      </c>
      <c r="I123" s="2948" t="s">
        <v>3071</v>
      </c>
      <c r="J123" s="582"/>
      <c r="K123" s="583"/>
      <c r="L123" s="584"/>
      <c r="M123" s="585"/>
      <c r="N123" s="1156"/>
      <c r="O123" s="1156"/>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6"/>
      <c r="O124" s="1156"/>
      <c r="P124" s="557"/>
      <c r="Q124" s="558"/>
    </row>
    <row r="125" spans="1:17" ht="15" thickTop="1">
      <c r="A125" s="598"/>
      <c r="B125" s="537" t="s">
        <v>2782</v>
      </c>
      <c r="C125" s="553" t="s">
        <v>3072</v>
      </c>
      <c r="D125" s="553" t="s">
        <v>3073</v>
      </c>
      <c r="E125" s="582" t="s">
        <v>3074</v>
      </c>
      <c r="F125" s="582" t="s">
        <v>3075</v>
      </c>
      <c r="G125" s="582" t="s">
        <v>3076</v>
      </c>
      <c r="H125" s="582"/>
      <c r="I125" s="582"/>
      <c r="J125" s="582"/>
      <c r="K125" s="583"/>
      <c r="L125" s="584"/>
      <c r="M125" s="585"/>
      <c r="N125" s="1154"/>
      <c r="O125" s="1154"/>
      <c r="P125" s="45"/>
      <c r="Q125" s="503"/>
    </row>
    <row r="126" spans="1:17" ht="15.75"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55"/>
      <c r="O126" s="1155"/>
      <c r="P126" s="45"/>
      <c r="Q126" s="503"/>
    </row>
    <row r="127" spans="1:17" ht="15" hidden="1" thickTop="1">
      <c r="A127" s="598"/>
      <c r="B127" s="537">
        <f>B43</f>
        <v>0</v>
      </c>
      <c r="C127" s="553"/>
      <c r="D127" s="553"/>
      <c r="E127" s="553"/>
      <c r="F127" s="553"/>
      <c r="G127" s="553"/>
      <c r="H127" s="582"/>
      <c r="I127" s="582"/>
      <c r="J127" s="582"/>
      <c r="K127" s="583"/>
      <c r="L127" s="584"/>
      <c r="M127" s="585"/>
      <c r="N127" s="1154"/>
      <c r="O127" s="1154"/>
      <c r="P127" s="45"/>
      <c r="Q127" s="503"/>
    </row>
    <row r="128" spans="1:17" ht="15.75" hidden="1" thickBot="1">
      <c r="A128" s="533"/>
      <c r="B128" s="542"/>
      <c r="C128" s="559"/>
      <c r="D128" s="559"/>
      <c r="E128" s="559"/>
      <c r="F128" s="559"/>
      <c r="G128" s="535"/>
      <c r="H128" s="535"/>
      <c r="I128" s="535"/>
      <c r="J128" s="535"/>
      <c r="K128" s="535"/>
      <c r="L128" s="535"/>
      <c r="M128" s="536"/>
      <c r="N128" s="1155"/>
      <c r="O128" s="1155"/>
      <c r="P128" s="45"/>
      <c r="Q128" s="503"/>
    </row>
    <row r="129" spans="1:17" ht="15" hidden="1" thickTop="1">
      <c r="A129" s="598"/>
      <c r="B129" s="537">
        <f>B44</f>
        <v>0</v>
      </c>
      <c r="C129" s="522"/>
      <c r="D129" s="522"/>
      <c r="E129" s="522"/>
      <c r="F129" s="522"/>
      <c r="G129" s="582"/>
      <c r="H129" s="582"/>
      <c r="I129" s="582"/>
      <c r="J129" s="582"/>
      <c r="K129" s="583"/>
      <c r="L129" s="584"/>
      <c r="M129" s="585"/>
      <c r="N129" s="1154"/>
      <c r="O129" s="1154"/>
      <c r="P129" s="45"/>
      <c r="Q129" s="503"/>
    </row>
    <row r="130" spans="1:17" ht="15.75" hidden="1" thickBot="1">
      <c r="A130" s="533"/>
      <c r="B130" s="542"/>
      <c r="C130" s="569"/>
      <c r="D130" s="569"/>
      <c r="E130" s="569"/>
      <c r="F130" s="569"/>
      <c r="G130" s="535"/>
      <c r="H130" s="535"/>
      <c r="I130" s="535"/>
      <c r="J130" s="535"/>
      <c r="K130" s="535"/>
      <c r="L130" s="535"/>
      <c r="M130" s="536"/>
      <c r="N130" s="1155"/>
      <c r="O130" s="1155"/>
      <c r="P130" s="45"/>
      <c r="Q130" s="503"/>
    </row>
    <row r="131" spans="1:17" s="470" customFormat="1" ht="15" hidden="1" thickTop="1">
      <c r="A131" s="592"/>
      <c r="B131" s="537">
        <f>B45</f>
        <v>0</v>
      </c>
      <c r="C131" s="522"/>
      <c r="D131" s="522"/>
      <c r="E131" s="522"/>
      <c r="F131" s="522"/>
      <c r="G131" s="554"/>
      <c r="H131" s="554"/>
      <c r="I131" s="554"/>
      <c r="J131" s="554"/>
      <c r="K131" s="554"/>
      <c r="L131" s="555"/>
      <c r="M131" s="556"/>
      <c r="N131" s="1156"/>
      <c r="O131" s="1156"/>
      <c r="P131" s="557"/>
      <c r="Q131" s="558"/>
    </row>
    <row r="132" spans="1:17" s="470" customFormat="1" ht="15.75" hidden="1" thickBot="1">
      <c r="A132" s="567"/>
      <c r="B132" s="699"/>
      <c r="C132" s="569"/>
      <c r="D132" s="569"/>
      <c r="E132" s="569"/>
      <c r="F132" s="569"/>
      <c r="G132" s="590"/>
      <c r="H132" s="590"/>
      <c r="I132" s="590"/>
      <c r="J132" s="590"/>
      <c r="K132" s="590"/>
      <c r="L132" s="590"/>
      <c r="M132" s="591"/>
      <c r="N132" s="1156"/>
      <c r="O132" s="1156"/>
      <c r="P132" s="557"/>
      <c r="Q132" s="558"/>
    </row>
    <row r="133" spans="1:17" ht="15" thickTop="1"/>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27" sqref="AA27"/>
    </sheetView>
  </sheetViews>
  <sheetFormatPr defaultColWidth="9"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3109</v>
      </c>
      <c r="C17" s="2017"/>
    </row>
    <row r="18" spans="1:3">
      <c r="A18" s="2016" t="s">
        <v>1767</v>
      </c>
      <c r="B18" s="2016" t="s">
        <v>3110</v>
      </c>
      <c r="C18" s="2017"/>
    </row>
    <row r="19" spans="1:3">
      <c r="A19" s="2016" t="s">
        <v>1768</v>
      </c>
      <c r="B19" s="2016" t="s">
        <v>3111</v>
      </c>
      <c r="C19" s="2017"/>
    </row>
    <row r="20" spans="1:3">
      <c r="A20" s="2016" t="s">
        <v>1769</v>
      </c>
      <c r="B20" s="2016" t="s">
        <v>3112</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遵义市新区建投集团有限公司拟使用贵州省遵义市新蒲新区府前路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249"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9"/>
      <c r="B54" s="2024" t="s">
        <v>864</v>
      </c>
      <c r="C54" s="2021" t="s">
        <v>1281</v>
      </c>
    </row>
    <row r="55" spans="1:4">
      <c r="A55" s="3249"/>
      <c r="B55" s="2024" t="s">
        <v>865</v>
      </c>
      <c r="C55" s="2021" t="s">
        <v>1282</v>
      </c>
    </row>
    <row r="56" spans="1:4">
      <c r="A56" s="3249"/>
      <c r="B56" s="2024" t="s">
        <v>866</v>
      </c>
      <c r="C56" s="2021" t="s">
        <v>1286</v>
      </c>
    </row>
    <row r="57" spans="1:4">
      <c r="A57" s="3249"/>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abSelected="1" workbookViewId="0">
      <selection activeCell="M21" sqref="M21"/>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2450</v>
      </c>
      <c r="B1" s="1583"/>
      <c r="C1" s="1584"/>
      <c r="D1" s="1582"/>
      <c r="E1" s="319"/>
      <c r="F1" s="319"/>
      <c r="G1" s="1583"/>
      <c r="H1" s="319"/>
      <c r="I1" s="319"/>
      <c r="J1" s="319"/>
      <c r="K1" s="319">
        <f>MATCH(C1,'数据-取费表'!A6:A16,0)+5</f>
        <v>10</v>
      </c>
    </row>
    <row r="2" spans="1:33" ht="18" customHeight="1">
      <c r="A2" s="244" t="s">
        <v>2318</v>
      </c>
      <c r="B2" s="247">
        <f ca="1">C32</f>
        <v>133637</v>
      </c>
      <c r="C2" s="319" t="s">
        <v>2451</v>
      </c>
      <c r="D2" s="319"/>
      <c r="E2" s="319"/>
      <c r="F2" s="319"/>
      <c r="G2" s="319"/>
      <c r="H2" s="319"/>
      <c r="I2" s="319"/>
      <c r="J2" s="319"/>
      <c r="K2" s="319"/>
    </row>
    <row r="3" spans="1:33" ht="18" customHeight="1" thickBot="1">
      <c r="A3" s="246" t="s">
        <v>2320</v>
      </c>
      <c r="B3" s="247">
        <f ca="1">ROUND(B2*10000/IF(C1="",'数据-汇总表'!E3,INDIRECT("'数据-取费表'!K"&amp;$K$1)),0)</f>
        <v>7482</v>
      </c>
      <c r="C3" s="319" t="s">
        <v>2452</v>
      </c>
      <c r="D3" s="319"/>
      <c r="E3" s="319"/>
      <c r="F3" s="319"/>
      <c r="G3" s="319"/>
      <c r="H3" s="319"/>
      <c r="I3" s="319"/>
      <c r="J3" s="319"/>
      <c r="K3" s="319"/>
    </row>
    <row r="4" spans="1:33" s="958" customFormat="1" ht="16.5" customHeight="1">
      <c r="A4" s="955" t="s">
        <v>2453</v>
      </c>
      <c r="B4" s="956"/>
      <c r="C4" s="998">
        <f>SUM(C8:K8)</f>
        <v>153019.06</v>
      </c>
      <c r="D4" s="956"/>
      <c r="E4" s="956"/>
      <c r="F4" s="956"/>
      <c r="G4" s="956"/>
      <c r="H4" s="956"/>
      <c r="I4" s="956"/>
      <c r="J4" s="956"/>
      <c r="K4" s="957"/>
    </row>
    <row r="5" spans="1:33" s="962" customFormat="1" ht="15">
      <c r="A5" s="959" t="s">
        <v>2454</v>
      </c>
      <c r="B5" s="960" t="s">
        <v>2455</v>
      </c>
      <c r="C5" s="2552"/>
      <c r="D5" s="2552"/>
      <c r="E5" s="2552"/>
      <c r="F5" s="2552"/>
      <c r="G5" s="2552"/>
      <c r="H5" s="2552"/>
      <c r="I5" s="2552"/>
      <c r="J5" s="2552"/>
      <c r="K5" s="2552"/>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2456</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2457</v>
      </c>
      <c r="B7" s="139" t="s">
        <v>2458</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3" t="s">
        <v>2459</v>
      </c>
      <c r="B8" s="176" t="s">
        <v>2460</v>
      </c>
      <c r="C8" s="999">
        <f>136624.16+16394.9</f>
        <v>153019.06</v>
      </c>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2461</v>
      </c>
      <c r="B9" s="956"/>
      <c r="C9" s="956"/>
      <c r="D9" s="956"/>
      <c r="E9" s="956"/>
      <c r="F9" s="956"/>
      <c r="G9" s="956"/>
      <c r="H9" s="956"/>
      <c r="I9" s="956"/>
      <c r="J9" s="956"/>
      <c r="K9" s="957"/>
    </row>
    <row r="10" spans="1:33" s="972" customFormat="1" ht="13.5" customHeight="1">
      <c r="A10" s="959" t="s">
        <v>2462</v>
      </c>
      <c r="B10" s="8" t="s">
        <v>2463</v>
      </c>
      <c r="C10" s="968" t="s">
        <v>2464</v>
      </c>
      <c r="D10" s="969" t="s">
        <v>2465</v>
      </c>
      <c r="E10" s="969" t="s">
        <v>2466</v>
      </c>
      <c r="F10" s="969" t="s">
        <v>2467</v>
      </c>
      <c r="G10" s="8"/>
      <c r="H10" s="970"/>
      <c r="I10" s="970"/>
      <c r="J10" s="970"/>
      <c r="K10" s="971"/>
    </row>
    <row r="11" spans="1:33" s="977" customFormat="1" ht="13.5" customHeight="1">
      <c r="A11" s="973" t="s">
        <v>1334</v>
      </c>
      <c r="B11" s="974" t="s">
        <v>2468</v>
      </c>
      <c r="C11" s="322">
        <f ca="1">IF(C1="",'数据-取费表'!P16,INDIRECT("'数据-取费表'!p"&amp;$K$1)+INDIRECT("'数据-取费表'!ar"&amp;$K$1))</f>
        <v>4364</v>
      </c>
      <c r="D11" s="975"/>
      <c r="E11" s="374"/>
      <c r="F11" s="976">
        <f ca="1">1-IF('数据-取费表'!B24=0,1,IF(C1="",'数据-取费表'!N16,INDIRECT("'数据-取费表'!n"&amp;$K$1)))</f>
        <v>5.0000000000000044E-2</v>
      </c>
      <c r="G11" s="8"/>
      <c r="H11" s="970"/>
      <c r="I11" s="970"/>
      <c r="J11" s="970"/>
      <c r="K11" s="971"/>
    </row>
    <row r="12" spans="1:33" s="977" customFormat="1" ht="13.5" customHeight="1">
      <c r="A12" s="973" t="s">
        <v>1335</v>
      </c>
      <c r="B12" s="974" t="s">
        <v>2469</v>
      </c>
      <c r="C12" s="24">
        <f ca="1">ROUND(C11*F12,0)</f>
        <v>131</v>
      </c>
      <c r="D12" s="975"/>
      <c r="E12" s="374"/>
      <c r="F12" s="978">
        <f>'数据-取费表'!B33</f>
        <v>0.03</v>
      </c>
      <c r="G12" s="8" t="s">
        <v>2470</v>
      </c>
      <c r="H12" s="970"/>
      <c r="I12" s="970"/>
      <c r="J12" s="970"/>
      <c r="K12" s="971"/>
    </row>
    <row r="13" spans="1:33" s="977" customFormat="1" ht="13.5" customHeight="1">
      <c r="A13" s="973" t="s">
        <v>1336</v>
      </c>
      <c r="B13" s="974" t="s">
        <v>2471</v>
      </c>
      <c r="C13" s="24">
        <f ca="1">ROUND(IF(C1="",SUMIF('数据-取费表'!C:C,"住宅",'数据-取费表'!P:P)*F13,IF(INDIRECT("'数据-取费表'!c"&amp;$K$1)="住宅",INDIRECT("'数据-取费表'!P"&amp;$K$1)*F13,0)),0)</f>
        <v>0</v>
      </c>
      <c r="D13" s="1035"/>
      <c r="E13" s="374"/>
      <c r="F13" s="978">
        <f>'数据-取费表'!B34</f>
        <v>0</v>
      </c>
      <c r="G13" s="8" t="s">
        <v>2472</v>
      </c>
      <c r="H13" s="970"/>
      <c r="I13" s="970"/>
      <c r="J13" s="970"/>
      <c r="K13" s="971"/>
    </row>
    <row r="14" spans="1:33" s="979" customFormat="1" ht="13.5" customHeight="1">
      <c r="A14" s="973" t="s">
        <v>1337</v>
      </c>
      <c r="B14" s="974" t="s">
        <v>2473</v>
      </c>
      <c r="C14" s="24">
        <f ca="1">ROUND(D14*E14*F11/10000,0)</f>
        <v>179</v>
      </c>
      <c r="D14" s="1035">
        <f ca="1">IF(C1="",'数据-汇总表'!E3,INDIRECT("'数据-取费表'!K"&amp;$K$1)+INDIRECT("'数据-取费表'!S"&amp;$K$1))</f>
        <v>178615</v>
      </c>
      <c r="E14" s="24">
        <f>'数据-取费表'!B35</f>
        <v>200</v>
      </c>
      <c r="F14" s="978"/>
      <c r="G14" s="8" t="s">
        <v>2474</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2475</v>
      </c>
      <c r="C15" s="985">
        <f ca="1">ROUND(C11*F15,0)</f>
        <v>65</v>
      </c>
      <c r="D15" s="980"/>
      <c r="E15" s="985"/>
      <c r="F15" s="986">
        <f>'数据-取费表'!B36</f>
        <v>1.4999999999999999E-2</v>
      </c>
      <c r="G15" s="139" t="s">
        <v>2476</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2477</v>
      </c>
      <c r="C16" s="985">
        <f ca="1">SUM(C11:C15)</f>
        <v>4739</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2478</v>
      </c>
      <c r="C17" s="24">
        <f ca="1">ROUND(D17*E17/10000,0)</f>
        <v>0</v>
      </c>
      <c r="D17" s="1035">
        <f ca="1">D14</f>
        <v>178615</v>
      </c>
      <c r="E17" s="24">
        <f>'数据-取费表'!B32</f>
        <v>0</v>
      </c>
      <c r="F17" s="980"/>
      <c r="G17" s="139" t="s">
        <v>2479</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2480</v>
      </c>
      <c r="C18" s="24">
        <f ca="1">C19+C20-IF(C1="",'数据-取费表'!B29,IF(G18="已全部缴纳",C19+C20,H18))</f>
        <v>714</v>
      </c>
      <c r="D18" s="1035"/>
      <c r="E18" s="24"/>
      <c r="F18" s="978"/>
      <c r="G18" s="2554"/>
      <c r="H18" s="1579"/>
      <c r="I18" s="2555" t="s">
        <v>2481</v>
      </c>
      <c r="J18" s="981"/>
      <c r="K18" s="982"/>
    </row>
    <row r="19" spans="1:33" s="977" customFormat="1" ht="13.5" customHeight="1">
      <c r="A19" s="973" t="s">
        <v>805</v>
      </c>
      <c r="B19" s="974" t="s">
        <v>2482</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806</v>
      </c>
      <c r="B20" s="974" t="s">
        <v>2483</v>
      </c>
      <c r="C20" s="24">
        <f ca="1">ROUND(D20*E20/10000,0)</f>
        <v>714</v>
      </c>
      <c r="D20" s="1035">
        <f ca="1">IF(C1="",'数据-汇总表'!E6,IF(INDIRECT("'数据-取费表'!c"&amp;$K$1)="住宅",INDIRECT("'数据-取费表'!s"&amp;$K$1),INDIRECT("'数据-取费表'!k"&amp;$K$1)+INDIRECT("'数据-取费表'!s"&amp;$K$1)))</f>
        <v>178615</v>
      </c>
      <c r="E20" s="24">
        <f>'数据-取费表'!B28</f>
        <v>40</v>
      </c>
      <c r="F20" s="978"/>
      <c r="G20" s="15"/>
      <c r="H20" s="983"/>
      <c r="I20" s="983"/>
      <c r="J20" s="983"/>
      <c r="K20" s="984"/>
    </row>
    <row r="21" spans="1:33" s="977" customFormat="1" ht="13.5" customHeight="1">
      <c r="A21" s="963" t="s">
        <v>802</v>
      </c>
      <c r="B21" s="987" t="s">
        <v>2484</v>
      </c>
      <c r="C21" s="988">
        <f ca="1">C16+C17+C18</f>
        <v>5453</v>
      </c>
      <c r="D21" s="989"/>
      <c r="E21" s="324"/>
      <c r="F21" s="324"/>
      <c r="G21" s="139" t="s">
        <v>2485</v>
      </c>
      <c r="H21" s="981"/>
      <c r="I21" s="981"/>
      <c r="J21" s="981"/>
      <c r="K21" s="982"/>
    </row>
    <row r="22" spans="1:33" s="977" customFormat="1" ht="13.5" customHeight="1">
      <c r="A22" s="963" t="s">
        <v>2457</v>
      </c>
      <c r="B22" s="987" t="s">
        <v>2486</v>
      </c>
      <c r="C22" s="988">
        <f ca="1">ROUND(C21*F22,0)</f>
        <v>82</v>
      </c>
      <c r="D22" s="324"/>
      <c r="E22" s="324"/>
      <c r="F22" s="990">
        <f>'数据-取费表'!B37</f>
        <v>1.4999999999999999E-2</v>
      </c>
      <c r="G22" s="8" t="s">
        <v>2487</v>
      </c>
      <c r="H22" s="970"/>
      <c r="I22" s="970"/>
      <c r="J22" s="970"/>
      <c r="K22" s="971"/>
    </row>
    <row r="23" spans="1:33" s="977" customFormat="1" ht="13.5" customHeight="1">
      <c r="A23" s="963" t="s">
        <v>2459</v>
      </c>
      <c r="B23" s="987" t="s">
        <v>2488</v>
      </c>
      <c r="C23" s="988">
        <f ca="1">ROUND(C4*F23*F11,0)</f>
        <v>153</v>
      </c>
      <c r="D23" s="324"/>
      <c r="E23" s="324"/>
      <c r="F23" s="990">
        <f>'数据-取费表'!B38</f>
        <v>0.02</v>
      </c>
      <c r="G23" s="8" t="s">
        <v>2489</v>
      </c>
      <c r="H23" s="970"/>
      <c r="I23" s="970"/>
      <c r="J23" s="970"/>
      <c r="K23" s="971"/>
    </row>
    <row r="24" spans="1:33" s="977" customFormat="1" ht="13.5" customHeight="1">
      <c r="A24" s="963" t="s">
        <v>2490</v>
      </c>
      <c r="B24" s="987" t="s">
        <v>2491</v>
      </c>
      <c r="C24" s="323">
        <f>ROUND(F24/(1+'数据-取费表'!C42),4)</f>
        <v>2.9000000000000001E-2</v>
      </c>
      <c r="D24" s="324" t="s">
        <v>15</v>
      </c>
      <c r="E24" s="324"/>
      <c r="F24" s="990">
        <f>'数据-取费表'!B48+'数据-取费表'!B49</f>
        <v>3.0499999999999999E-2</v>
      </c>
      <c r="G24" s="8" t="s">
        <v>2492</v>
      </c>
      <c r="H24" s="992"/>
      <c r="I24" s="992"/>
      <c r="J24" s="992"/>
      <c r="K24" s="993"/>
    </row>
    <row r="25" spans="1:33" s="977" customFormat="1" ht="13.5" customHeight="1">
      <c r="A25" s="963" t="s">
        <v>2493</v>
      </c>
      <c r="B25" s="989" t="s">
        <v>2494</v>
      </c>
      <c r="C25" s="1358">
        <f ca="1">C27</f>
        <v>13</v>
      </c>
      <c r="D25" s="323">
        <f ca="1">C26</f>
        <v>4.7999999999999996E-3</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2495</v>
      </c>
      <c r="C26" s="1359">
        <f ca="1">ROUND(IF('数据-取费表'!B22&lt;=1,(1+C24)*F25*'数据-取费表'!B24,(1+C24)*(POWER((1+F25),'数据-取费表'!B24)-1)),4)</f>
        <v>4.7999999999999996E-3</v>
      </c>
      <c r="D26" s="327"/>
      <c r="E26" s="328"/>
      <c r="F26" s="329"/>
      <c r="G26" s="2556"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2496</v>
      </c>
      <c r="C27" s="1360">
        <f ca="1">ROUND(IF('数据-取费表'!B22&lt;=1,(C21+C22+C23)*F25*'数据-取费表'!B24/2,(C21+C22+C23)*(POWER((1+F25),'数据-取费表'!B24/2)-1)),0)</f>
        <v>13</v>
      </c>
      <c r="D27" s="327"/>
      <c r="E27" s="328"/>
      <c r="F27" s="329"/>
      <c r="G27" s="2556" t="str">
        <f>IF('数据-取费表'!B22&lt;=1,"（1）-（3）项×年利率×建设期÷2","（1）-（3）项×((1+年利率)^(建设期÷2)-1)")</f>
        <v>（1）-（3）项×((1+年利率)^(建设期÷2)-1)</v>
      </c>
      <c r="H27" s="981"/>
      <c r="I27" s="981"/>
      <c r="J27" s="981"/>
      <c r="K27" s="982"/>
    </row>
    <row r="28" spans="1:33" s="332" customFormat="1" ht="13.5" customHeight="1">
      <c r="A28" s="963" t="s">
        <v>2497</v>
      </c>
      <c r="B28" s="2557" t="s">
        <v>2498</v>
      </c>
      <c r="C28" s="330">
        <f ca="1">C30</f>
        <v>455</v>
      </c>
      <c r="D28" s="323">
        <f ca="1">C29</f>
        <v>4.1000000000000003E-3</v>
      </c>
      <c r="E28" s="325" t="s">
        <v>15</v>
      </c>
      <c r="F28" s="331">
        <f ca="1">IF(C1="",'数据-取费表'!Q16,INDIRECT("'数据-取费表'!q"&amp;$K$1))</f>
        <v>0.08</v>
      </c>
      <c r="G28" s="991"/>
      <c r="H28" s="992"/>
      <c r="I28" s="992"/>
      <c r="J28" s="992"/>
      <c r="K28" s="993"/>
    </row>
    <row r="29" spans="1:33" s="334" customFormat="1" ht="13.5" customHeight="1">
      <c r="A29" s="973" t="s">
        <v>803</v>
      </c>
      <c r="B29" s="996" t="s">
        <v>2499</v>
      </c>
      <c r="C29" s="327">
        <f ca="1">ROUND((1+C24)*F28*'数据-取费表'!B24/'数据-取费表'!B20,4)</f>
        <v>4.1000000000000003E-3</v>
      </c>
      <c r="D29" s="327"/>
      <c r="E29" s="328"/>
      <c r="F29" s="333"/>
      <c r="G29" s="139" t="s">
        <v>2500</v>
      </c>
      <c r="H29" s="981"/>
      <c r="I29" s="981"/>
      <c r="J29" s="981"/>
      <c r="K29" s="982"/>
    </row>
    <row r="30" spans="1:33" s="334" customFormat="1" ht="13.5" customHeight="1">
      <c r="A30" s="973" t="s">
        <v>804</v>
      </c>
      <c r="B30" s="996" t="s">
        <v>2501</v>
      </c>
      <c r="C30" s="335">
        <f ca="1">ROUND((C21+C22+C23)*F28,0)</f>
        <v>455</v>
      </c>
      <c r="D30" s="327"/>
      <c r="E30" s="328"/>
      <c r="F30" s="333"/>
      <c r="G30" s="139"/>
      <c r="H30" s="981"/>
      <c r="I30" s="981"/>
      <c r="J30" s="981"/>
      <c r="K30" s="982"/>
    </row>
    <row r="31" spans="1:33" s="977" customFormat="1" ht="13.5" customHeight="1" thickBot="1">
      <c r="A31" s="2558" t="s">
        <v>2502</v>
      </c>
      <c r="B31" s="1007" t="s">
        <v>2503</v>
      </c>
      <c r="C31" s="1008">
        <f>ROUND(C4*F31/(1+'数据-取费表'!C42),0)</f>
        <v>8161</v>
      </c>
      <c r="D31" s="1009"/>
      <c r="E31" s="1010"/>
      <c r="F31" s="1011">
        <f>'数据-取费表'!B41</f>
        <v>5.6000000000000001E-2</v>
      </c>
      <c r="G31" s="1012" t="s">
        <v>2504</v>
      </c>
      <c r="H31" s="1013"/>
      <c r="I31" s="1013"/>
      <c r="J31" s="1013"/>
      <c r="K31" s="1014"/>
    </row>
    <row r="32" spans="1:33" s="972" customFormat="1" ht="13.5" customHeight="1" thickBot="1">
      <c r="A32" s="1002" t="s">
        <v>2505</v>
      </c>
      <c r="B32" s="1003"/>
      <c r="C32" s="1004">
        <f ca="1">ROUND((C4-C21-C22-C23-C25-C28-C31)/(1+C24+D25+D28),0)</f>
        <v>133637</v>
      </c>
      <c r="D32" s="1003"/>
      <c r="E32" s="1003"/>
      <c r="F32" s="1003"/>
      <c r="G32" s="1005" t="s">
        <v>2506</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K49" sqref="A48:K49"/>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3104</v>
      </c>
      <c r="D1" s="1822" t="s">
        <v>3114</v>
      </c>
      <c r="E1" s="1823" t="s">
        <v>1387</v>
      </c>
      <c r="F1" s="1285">
        <f ca="1">J53</f>
        <v>38.89</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-18441</v>
      </c>
      <c r="C2" s="1847" t="s">
        <v>1516</v>
      </c>
      <c r="D2" s="1847"/>
      <c r="E2" s="1848"/>
      <c r="F2" s="1849"/>
      <c r="G2" s="1850"/>
      <c r="H2" s="1842"/>
      <c r="I2" s="1842"/>
      <c r="J2" s="1842"/>
      <c r="K2" s="1843"/>
      <c r="L2" s="1842"/>
      <c r="M2" s="1842"/>
    </row>
    <row r="3" spans="1:37" ht="18" customHeight="1" thickBot="1">
      <c r="A3" s="1851" t="s">
        <v>1517</v>
      </c>
      <c r="B3" s="1852">
        <f ca="1">IF(ISERROR(B2*10000/F43),0,ROUND(B2*10000/F43,0))</f>
        <v>-1494</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0</v>
      </c>
      <c r="D5" s="1824" t="s">
        <v>1402</v>
      </c>
      <c r="E5" s="1295"/>
      <c r="F5" s="1296"/>
      <c r="G5" s="1853"/>
      <c r="H5" s="343">
        <v>1</v>
      </c>
      <c r="I5" s="344" t="s">
        <v>1401</v>
      </c>
      <c r="J5" s="1294">
        <f ca="1">J6+J10+J12</f>
        <v>0</v>
      </c>
      <c r="K5" s="1824" t="s">
        <v>1402</v>
      </c>
      <c r="L5" s="1295"/>
      <c r="M5" s="1296"/>
    </row>
    <row r="6" spans="1:37" ht="18" customHeight="1">
      <c r="A6" s="1293" t="s">
        <v>1035</v>
      </c>
      <c r="B6" s="3252" t="s">
        <v>1403</v>
      </c>
      <c r="C6" s="1298">
        <f ca="1">ROUND(F6*F8*F7*(1-F9)/10000,0)</f>
        <v>0</v>
      </c>
      <c r="D6" s="163" t="s">
        <v>3021</v>
      </c>
      <c r="E6" s="346" t="s">
        <v>1405</v>
      </c>
      <c r="F6" s="347">
        <f ca="1">INDIRECT("'数据-取费表'!u"&amp;$G$1)</f>
        <v>0</v>
      </c>
      <c r="G6" s="1853"/>
      <c r="H6" s="1293" t="s">
        <v>1035</v>
      </c>
      <c r="I6" s="3252" t="s">
        <v>1403</v>
      </c>
      <c r="J6" s="345">
        <f ca="1">ROUND(M6*M8*M7*(1-M9)/10000,0)</f>
        <v>0</v>
      </c>
      <c r="K6" s="163" t="s">
        <v>3020</v>
      </c>
      <c r="L6" s="346" t="s">
        <v>1405</v>
      </c>
      <c r="M6" s="347">
        <f ca="1">INDIRECT("'数据-取费表'!z"&amp;$G$1)</f>
        <v>0</v>
      </c>
    </row>
    <row r="7" spans="1:37" ht="18" customHeight="1">
      <c r="A7" s="1297"/>
      <c r="B7" s="3253"/>
      <c r="C7" s="1299"/>
      <c r="D7" s="351"/>
      <c r="E7" s="1300" t="s">
        <v>1406</v>
      </c>
      <c r="F7" s="347">
        <f ca="1">IF(INDIRECT("'数据-取费表'!ah"&amp;$G$1)="",INDIRECT("'数据-取费表'!k"&amp;$G$1),INDIRECT("'数据-取费表'!ah"&amp;$G$1))</f>
        <v>123402</v>
      </c>
      <c r="G7" s="1853"/>
      <c r="H7" s="348"/>
      <c r="I7" s="3253"/>
      <c r="J7" s="350"/>
      <c r="K7" s="351"/>
      <c r="L7" s="346" t="s">
        <v>1406</v>
      </c>
      <c r="M7" s="347">
        <f ca="1">F7</f>
        <v>123402</v>
      </c>
    </row>
    <row r="8" spans="1:37" ht="18" customHeight="1">
      <c r="A8" s="348"/>
      <c r="B8" s="3253"/>
      <c r="C8" s="350"/>
      <c r="D8" s="351"/>
      <c r="E8" s="346" t="s">
        <v>1407</v>
      </c>
      <c r="F8" s="347">
        <f ca="1">INDIRECT("'数据-取费表'!ai"&amp;$G$1)</f>
        <v>365</v>
      </c>
      <c r="G8" s="1853"/>
      <c r="H8" s="348"/>
      <c r="I8" s="3253"/>
      <c r="J8" s="350"/>
      <c r="K8" s="351"/>
      <c r="L8" s="346" t="s">
        <v>1407</v>
      </c>
      <c r="M8" s="347">
        <f ca="1">INDIRECT("'数据-取费表'!ai"&amp;$G$1)</f>
        <v>365</v>
      </c>
    </row>
    <row r="9" spans="1:37" ht="18" customHeight="1">
      <c r="A9" s="348"/>
      <c r="B9" s="3254"/>
      <c r="C9" s="350"/>
      <c r="D9" s="351"/>
      <c r="E9" s="346" t="s">
        <v>1408</v>
      </c>
      <c r="F9" s="356">
        <f ca="1">INDIRECT("'数据-取费表'!w"&amp;$G$1)</f>
        <v>0.1</v>
      </c>
      <c r="G9" s="1853"/>
      <c r="H9" s="348"/>
      <c r="I9" s="3254"/>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3030</v>
      </c>
      <c r="E10" s="357" t="s">
        <v>1410</v>
      </c>
      <c r="F10" s="1368" t="s">
        <v>3115</v>
      </c>
      <c r="G10" s="1853"/>
      <c r="H10" s="1293" t="s">
        <v>1039</v>
      </c>
      <c r="I10" s="1825" t="s">
        <v>1409</v>
      </c>
      <c r="J10" s="345">
        <f ca="1">ROUND(IF(M10="押一",J6/12*M11,IF(M10="押二",J6/12*2*M11,IF(M10="押三",J6/12*3*M11,J11*M11))),0)</f>
        <v>0</v>
      </c>
      <c r="K10" s="1826" t="s">
        <v>3029</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87630</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64044</v>
      </c>
      <c r="D14" s="1802" t="s">
        <v>1418</v>
      </c>
      <c r="E14" s="1796"/>
      <c r="F14" s="363"/>
      <c r="G14" s="1853"/>
      <c r="H14" s="1203" t="s">
        <v>1035</v>
      </c>
      <c r="I14" s="346" t="s">
        <v>1419</v>
      </c>
      <c r="J14" s="24">
        <f ca="1">C29</f>
        <v>87630</v>
      </c>
      <c r="K14" s="15"/>
      <c r="L14" s="981"/>
      <c r="M14" s="982"/>
    </row>
    <row r="15" spans="1:37" s="1860" customFormat="1" ht="18" customHeight="1" thickBot="1">
      <c r="A15" s="1203" t="s">
        <v>1036</v>
      </c>
      <c r="B15" s="346" t="s">
        <v>1420</v>
      </c>
      <c r="C15" s="24">
        <f ca="1">ROUND(C14*F15,0)</f>
        <v>1921</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2074</v>
      </c>
      <c r="K16" s="1339" t="s">
        <v>1425</v>
      </c>
      <c r="L16" s="1340"/>
      <c r="M16" s="1296"/>
    </row>
    <row r="17" spans="1:37" s="1860" customFormat="1" ht="18" customHeight="1">
      <c r="A17" s="1203" t="s">
        <v>1390</v>
      </c>
      <c r="B17" s="346" t="s">
        <v>1426</v>
      </c>
      <c r="C17" s="24">
        <f ca="1">ROUND(F17*(F43+INDIRECT("'数据-取费表'!S"&amp;$G$1))/10000,0)</f>
        <v>2572</v>
      </c>
      <c r="D17" s="346" t="s">
        <v>1427</v>
      </c>
      <c r="E17" s="346" t="s">
        <v>1428</v>
      </c>
      <c r="F17" s="26">
        <f>'数据-取费表'!B35</f>
        <v>200</v>
      </c>
      <c r="G17" s="1856"/>
      <c r="H17" s="1203" t="s">
        <v>1035</v>
      </c>
      <c r="I17" s="346" t="s">
        <v>1429</v>
      </c>
      <c r="J17" s="24">
        <f ca="1">ROUND(IF(项目基本情况!B11="自然人",J5*M17,J18+J19+J20),1)</f>
        <v>759.5</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961</v>
      </c>
      <c r="D18" s="346" t="s">
        <v>1421</v>
      </c>
      <c r="E18" s="346" t="s">
        <v>1422</v>
      </c>
      <c r="F18" s="366">
        <f>'数据-取费表'!B36</f>
        <v>1.4999999999999999E-2</v>
      </c>
      <c r="G18" s="1856"/>
      <c r="H18" s="1203" t="s">
        <v>1034</v>
      </c>
      <c r="I18" s="346" t="s">
        <v>1433</v>
      </c>
      <c r="J18" s="24">
        <f ca="1">ROUND(J5*M18/(1+'数据-取费表'!C42),2)</f>
        <v>0</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69498</v>
      </c>
      <c r="D19" s="139" t="s">
        <v>1436</v>
      </c>
      <c r="E19" s="1820"/>
      <c r="F19" s="26"/>
      <c r="G19" s="1853"/>
      <c r="H19" s="1203" t="s">
        <v>1036</v>
      </c>
      <c r="I19" s="346" t="s">
        <v>1437</v>
      </c>
      <c r="J19" s="24">
        <f ca="1">IF(K19="按租金收入计税",ROUND(J5*M19,2),ROUND(C29*M19*0.7,2))</f>
        <v>736.09</v>
      </c>
      <c r="K19" s="1830" t="s">
        <v>1438</v>
      </c>
      <c r="L19" s="346" t="s">
        <v>1422</v>
      </c>
      <c r="M19" s="366">
        <f>IF(K19="按租金收入计税",'数据-取费表'!B51,'数据-取费表'!B50)</f>
        <v>1.2E-2</v>
      </c>
    </row>
    <row r="20" spans="1:37" s="1860" customFormat="1" ht="18" customHeight="1">
      <c r="A20" s="1203" t="s">
        <v>1039</v>
      </c>
      <c r="B20" s="346" t="s">
        <v>1439</v>
      </c>
      <c r="C20" s="24">
        <f ca="1">ROUND(C19*F20,0)</f>
        <v>1042</v>
      </c>
      <c r="D20" s="368" t="s">
        <v>1440</v>
      </c>
      <c r="E20" s="346" t="s">
        <v>1422</v>
      </c>
      <c r="F20" s="366">
        <f>'数据-取费表'!B37</f>
        <v>1.4999999999999999E-2</v>
      </c>
      <c r="G20" s="1856"/>
      <c r="H20" s="1203" t="s">
        <v>1389</v>
      </c>
      <c r="I20" s="163" t="s">
        <v>1441</v>
      </c>
      <c r="J20" s="25">
        <f ca="1">ROUND(M20*M21/10000,2)</f>
        <v>23.39</v>
      </c>
      <c r="K20" s="369" t="s">
        <v>1442</v>
      </c>
      <c r="L20" s="346" t="s">
        <v>1443</v>
      </c>
      <c r="M20" s="370">
        <f>'数据-取费表'!B52</f>
        <v>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0.02</v>
      </c>
      <c r="G21" s="1856"/>
      <c r="H21" s="371"/>
      <c r="I21" s="355"/>
      <c r="J21" s="29"/>
      <c r="K21" s="372"/>
      <c r="L21" s="346" t="s">
        <v>1447</v>
      </c>
      <c r="M21" s="347">
        <f ca="1">INDIRECT("'数据-取费表'!r"&amp;$G$1)</f>
        <v>58467.710000000006</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ROUND(J14*M22,1)</f>
        <v>1314.5</v>
      </c>
      <c r="K22" s="1800"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3350</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ROUND(J13*M23,1)</f>
        <v>0</v>
      </c>
      <c r="K23" s="1800" t="s">
        <v>1454</v>
      </c>
      <c r="L23" s="346" t="s">
        <v>1455</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ROUND(J5*M24,1)</f>
        <v>0</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1820"/>
      <c r="F25" s="26"/>
      <c r="G25" s="1853"/>
      <c r="H25" s="1331" t="s">
        <v>1031</v>
      </c>
      <c r="I25" s="1346" t="s">
        <v>1463</v>
      </c>
      <c r="J25" s="354">
        <f ca="1">J5-J16</f>
        <v>-2074</v>
      </c>
      <c r="K25" s="1347" t="s">
        <v>1464</v>
      </c>
      <c r="L25" s="1348"/>
      <c r="M25" s="1349"/>
    </row>
    <row r="26" spans="1:37">
      <c r="A26" s="1203" t="s">
        <v>1034</v>
      </c>
      <c r="B26" s="346" t="s">
        <v>1465</v>
      </c>
      <c r="C26" s="24">
        <f ca="1">ROUND((C19+C20)*F26,0)</f>
        <v>7054</v>
      </c>
      <c r="D26" s="368" t="s">
        <v>1466</v>
      </c>
      <c r="E26" s="357" t="s">
        <v>1467</v>
      </c>
      <c r="F26" s="356">
        <f ca="1">INDIRECT("'数据-取费表'!q"&amp;$G$1)</f>
        <v>0.1</v>
      </c>
      <c r="G26" s="1853"/>
      <c r="H26" s="343" t="s">
        <v>1032</v>
      </c>
      <c r="I26" s="344" t="s">
        <v>1468</v>
      </c>
      <c r="J26" s="345">
        <f ca="1">IF(J5&lt;&gt;0,ROUND(J25*(1-((1+M28)/(1+M26))^M27)/(M26-M28),0),0)</f>
        <v>0</v>
      </c>
      <c r="K26" s="369" t="s">
        <v>1469</v>
      </c>
      <c r="L26" s="346" t="s">
        <v>1470</v>
      </c>
      <c r="M26" s="356">
        <f ca="1">INDIRECT("'数据-取费表'!I"&amp;$G$1)</f>
        <v>5.5E-2</v>
      </c>
    </row>
    <row r="27" spans="1:37" ht="18" customHeight="1">
      <c r="A27" s="1203" t="s">
        <v>1036</v>
      </c>
      <c r="B27" s="346" t="s">
        <v>1471</v>
      </c>
      <c r="C27" s="24">
        <f ca="1">ROUND(F21*F26,4)</f>
        <v>2E-3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87630</v>
      </c>
      <c r="D29" s="1344"/>
      <c r="E29" s="1342"/>
      <c r="F29" s="1345"/>
      <c r="G29" s="1856"/>
      <c r="H29" s="379" t="s">
        <v>1033</v>
      </c>
      <c r="I29" s="380" t="s">
        <v>1479</v>
      </c>
      <c r="J29" s="381">
        <f ca="1">ROUND(J26/(1+F40)^F41,0)</f>
        <v>0</v>
      </c>
      <c r="K29" s="382" t="s">
        <v>1480</v>
      </c>
      <c r="L29" s="383"/>
      <c r="M29" s="384">
        <f ca="1">INDIRECT("'数据-取费表'!k"&amp;$G$1)</f>
        <v>123402</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2205</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ROUND(IF(项目基本情况!B11="自然人",C5*F31,C32+C33+C34),1)</f>
        <v>759.5</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0</v>
      </c>
      <c r="D32" s="1800" t="s">
        <v>1434</v>
      </c>
      <c r="E32" s="346" t="s">
        <v>1422</v>
      </c>
      <c r="F32" s="376">
        <f>'数据-取费表'!B41</f>
        <v>5.6000000000000001E-2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736.09</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IF(项目基本情况!B11="自然人","——",ROUND(F34*F35/10000,2))</f>
        <v>23.39</v>
      </c>
      <c r="D34" s="369" t="s">
        <v>1442</v>
      </c>
      <c r="E34" s="346" t="s">
        <v>1443</v>
      </c>
      <c r="F34" s="370">
        <f>'数据-取费表'!B52</f>
        <v>4</v>
      </c>
      <c r="G34" s="1853"/>
      <c r="H34" s="744"/>
      <c r="I34" s="1862"/>
      <c r="J34" s="1863"/>
      <c r="K34" s="1865"/>
      <c r="L34" s="1866"/>
      <c r="M34" s="1866"/>
    </row>
    <row r="35" spans="1:18" ht="18" customHeight="1">
      <c r="A35" s="1355"/>
      <c r="B35" s="1353"/>
      <c r="C35" s="29"/>
      <c r="D35" s="372"/>
      <c r="E35" s="346" t="s">
        <v>1447</v>
      </c>
      <c r="F35" s="347">
        <f ca="1">INDIRECT("'数据-取费表'!r"&amp;$G$1)</f>
        <v>58467.710000000006</v>
      </c>
      <c r="G35" s="1853"/>
      <c r="H35" s="744"/>
      <c r="I35" s="1862"/>
      <c r="J35" s="1863"/>
      <c r="K35" s="1864"/>
      <c r="L35" s="1861"/>
      <c r="M35" s="1861"/>
    </row>
    <row r="36" spans="1:18" ht="18" customHeight="1">
      <c r="A36" s="1354" t="s">
        <v>1039</v>
      </c>
      <c r="B36" s="346" t="s">
        <v>1449</v>
      </c>
      <c r="C36" s="24">
        <f ca="1">ROUND(C29*F36,1)</f>
        <v>1314.5</v>
      </c>
      <c r="D36" s="1800"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ROUND(C13*F37,1)</f>
        <v>131.4</v>
      </c>
      <c r="D37" s="1800" t="s">
        <v>1454</v>
      </c>
      <c r="E37" s="346" t="s">
        <v>1455</v>
      </c>
      <c r="F37" s="375">
        <f ca="1">INDIRECT("'数据-取费表'!Al"&amp;$G$1)</f>
        <v>1.5E-3</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4">
        <f ca="1">C5-C30</f>
        <v>-2205</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-53493</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38.89</v>
      </c>
      <c r="G41" s="1853"/>
      <c r="H41" s="731"/>
      <c r="I41" s="1862"/>
      <c r="J41" s="1863"/>
      <c r="K41" s="750"/>
      <c r="L41" s="731"/>
      <c r="M41" s="731"/>
    </row>
    <row r="42" spans="1:18" ht="18" customHeight="1">
      <c r="A42" s="352"/>
      <c r="B42" s="353"/>
      <c r="C42" s="354"/>
      <c r="D42" s="372"/>
      <c r="E42" s="346" t="s">
        <v>1477</v>
      </c>
      <c r="F42" s="356">
        <f ca="1">INDIRECT("'数据-取费表'!v"&amp;$G$1)</f>
        <v>0.03</v>
      </c>
      <c r="G42" s="1853"/>
      <c r="H42" s="731"/>
      <c r="I42" s="1862"/>
      <c r="J42" s="1863"/>
      <c r="K42" s="750"/>
      <c r="L42" s="731"/>
      <c r="M42" s="731"/>
    </row>
    <row r="43" spans="1:18" ht="18" customHeight="1" thickBot="1">
      <c r="A43" s="379" t="s">
        <v>1033</v>
      </c>
      <c r="B43" s="380" t="s">
        <v>1487</v>
      </c>
      <c r="C43" s="381">
        <f ca="1">ROUND(C40*10000/F43,0)</f>
        <v>-4335</v>
      </c>
      <c r="D43" s="382" t="s">
        <v>1488</v>
      </c>
      <c r="E43" s="383" t="s">
        <v>1489</v>
      </c>
      <c r="F43" s="384">
        <f ca="1">INDIRECT("'数据-取费表'!k"&amp;$G$1)</f>
        <v>123402</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18400</v>
      </c>
      <c r="D46" s="1874" t="str">
        <f>C2</f>
        <v>万元</v>
      </c>
      <c r="E46" s="1868"/>
      <c r="F46" s="1868"/>
      <c r="I46" s="1875" t="s">
        <v>1521</v>
      </c>
      <c r="J46" s="1876"/>
      <c r="K46" s="1877"/>
      <c r="L46" s="1878">
        <f ca="1">IF(M47="住宅",0,IF(L48&gt;J51,L60,J60))</f>
        <v>35052</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3116</v>
      </c>
      <c r="K47" s="1884" t="s">
        <v>1527</v>
      </c>
      <c r="L47" s="1885">
        <f ca="1">INDIRECT("'数据-取费表'!d"&amp;$G$1)</f>
        <v>40</v>
      </c>
      <c r="M47" s="1840" t="str">
        <f>IF(ISNUMBER(FIND("住宅",C1)),"住宅","非住宅")</f>
        <v>非住宅</v>
      </c>
      <c r="O47" s="1886" t="s">
        <v>1040</v>
      </c>
      <c r="P47" s="1887" t="s">
        <v>1528</v>
      </c>
      <c r="Q47" s="1888">
        <f ca="1">C40+J29</f>
        <v>-53493</v>
      </c>
      <c r="R47" s="1888" t="s">
        <v>1529</v>
      </c>
    </row>
    <row r="48" spans="1:18" s="1844" customFormat="1" ht="28.5" thickBot="1">
      <c r="A48" s="1362" t="s">
        <v>1135</v>
      </c>
      <c r="B48" s="344" t="s">
        <v>1401</v>
      </c>
      <c r="C48" s="1819">
        <f ca="1">C49+C53+C55</f>
        <v>0</v>
      </c>
      <c r="D48" s="1364"/>
      <c r="E48" s="1365"/>
      <c r="F48" s="1183"/>
      <c r="G48" s="791"/>
      <c r="H48" s="792"/>
      <c r="I48" s="1889" t="s">
        <v>1530</v>
      </c>
      <c r="J48" s="1890" t="s">
        <v>3117</v>
      </c>
      <c r="K48" s="1891" t="s">
        <v>1531</v>
      </c>
      <c r="L48" s="1892">
        <f ca="1">INDIRECT("'数据-取费表'!f"&amp;$G$1)</f>
        <v>38.99</v>
      </c>
      <c r="O48" s="1886" t="s">
        <v>1041</v>
      </c>
      <c r="P48" s="1887" t="s">
        <v>1532</v>
      </c>
      <c r="Q48" s="1888">
        <f ca="1">J60</f>
        <v>35052</v>
      </c>
      <c r="R48" s="1888" t="s">
        <v>1533</v>
      </c>
    </row>
    <row r="49" spans="1:18" s="1844" customFormat="1" ht="13.5" thickBot="1">
      <c r="A49" s="1196" t="s">
        <v>1136</v>
      </c>
      <c r="B49" s="1831" t="s">
        <v>1490</v>
      </c>
      <c r="C49" s="1366">
        <f ca="1">ROUND(F49*F51*F50*(1-F52)/10000,0)</f>
        <v>0</v>
      </c>
      <c r="D49" s="1278" t="s">
        <v>3022</v>
      </c>
      <c r="E49" s="1832" t="s">
        <v>1491</v>
      </c>
      <c r="F49" s="1283"/>
      <c r="G49" s="1893"/>
      <c r="H49" s="792"/>
      <c r="I49" s="1889" t="s">
        <v>1534</v>
      </c>
      <c r="J49" s="1894"/>
      <c r="K49" s="1891" t="s">
        <v>1535</v>
      </c>
      <c r="L49" s="1895"/>
      <c r="O49" s="1896" t="s">
        <v>1042</v>
      </c>
      <c r="P49" s="1887" t="s">
        <v>1536</v>
      </c>
      <c r="Q49" s="1888">
        <f ca="1">C29</f>
        <v>87630</v>
      </c>
      <c r="R49" s="1888" t="s">
        <v>1529</v>
      </c>
    </row>
    <row r="50" spans="1:18" s="1844" customFormat="1" ht="13.5" thickBot="1">
      <c r="A50" s="1197"/>
      <c r="B50" s="1200"/>
      <c r="C50" s="1370"/>
      <c r="D50" s="1174"/>
      <c r="E50" s="1279" t="s">
        <v>1406</v>
      </c>
      <c r="F50" s="1280">
        <f ca="1">F7</f>
        <v>123402</v>
      </c>
      <c r="H50" s="792"/>
      <c r="I50" s="1889" t="s">
        <v>1537</v>
      </c>
      <c r="J50" s="1897">
        <f>SUMPRODUCT((I63:I65=J47)*(J62:L62=J48)*(J63:L65))</f>
        <v>60</v>
      </c>
      <c r="K50" s="1891" t="s">
        <v>1538</v>
      </c>
      <c r="L50" s="1895"/>
      <c r="M50" s="1898"/>
      <c r="O50" s="1896" t="s">
        <v>1043</v>
      </c>
      <c r="P50" s="1887" t="s">
        <v>1539</v>
      </c>
      <c r="Q50" s="1899">
        <f ca="1">J58</f>
        <v>0.4</v>
      </c>
      <c r="R50" s="1888"/>
    </row>
    <row r="51" spans="1:18" s="1844" customFormat="1" ht="13.5" thickBot="1">
      <c r="A51" s="1198"/>
      <c r="B51" s="1200"/>
      <c r="C51" s="1201"/>
      <c r="D51" s="1174"/>
      <c r="E51" s="1202" t="s">
        <v>1407</v>
      </c>
      <c r="F51" s="347">
        <f ca="1">F8</f>
        <v>365</v>
      </c>
      <c r="I51" s="1900" t="s">
        <v>1540</v>
      </c>
      <c r="J51" s="1901">
        <f>IF(J49="",J50,J49+J50-YEAR('数据-取费表'!B2))</f>
        <v>60</v>
      </c>
      <c r="K51" s="1902" t="s">
        <v>1541</v>
      </c>
      <c r="L51" s="1903">
        <f ca="1">ROUND(-PV(INDIRECT("'数据-取费表'!h"&amp;$G$1),L48,(C39-C13*C76),0),0)</f>
        <v>-175964</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f ca="1">J53</f>
        <v>38.89</v>
      </c>
      <c r="R52" s="1888" t="s">
        <v>1546</v>
      </c>
    </row>
    <row r="53" spans="1:18" s="1844" customFormat="1" ht="24.75" thickBot="1">
      <c r="A53" s="1407" t="s">
        <v>1137</v>
      </c>
      <c r="B53" s="1833" t="s">
        <v>1409</v>
      </c>
      <c r="C53" s="360">
        <f ca="1">ROUND(IF(F53="押一",C49/12*F11,IF(F53="押二",C49/12*2*F11,IF(F53="押三",C49/12*3*F11,C54*F11))),0)</f>
        <v>0</v>
      </c>
      <c r="D53" s="1826" t="s">
        <v>3029</v>
      </c>
      <c r="E53" s="357" t="s">
        <v>1410</v>
      </c>
      <c r="F53" s="1368"/>
      <c r="I53" s="1907" t="s">
        <v>1547</v>
      </c>
      <c r="J53" s="1908">
        <f ca="1">IF(M47="住宅",J51,IF(D1="——",MIN(J51,L48),IF(D1="在建（套用方法）",MIN(J51,L48-'数据-取费表'!B24),IF(D1="土地（套用方法）",MIN(J51,L48-'数据-取费表'!B20)))))</f>
        <v>38.89</v>
      </c>
      <c r="K53" s="3250" t="s">
        <v>1548</v>
      </c>
      <c r="L53" s="3251"/>
      <c r="O53" s="1886" t="s">
        <v>1046</v>
      </c>
      <c r="P53" s="1887" t="s">
        <v>1549</v>
      </c>
      <c r="Q53" s="1888">
        <f ca="1">Q47+Q48</f>
        <v>-18441</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f ca="1">ROUND(IF(J47="钢混",J57/J50,1-(1-2%)*(J50-J57)/J50),3)</f>
        <v>0.35</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87630</v>
      </c>
      <c r="D56" s="1916"/>
      <c r="E56" s="1917"/>
      <c r="F56" s="1909"/>
      <c r="I56" s="1918" t="s">
        <v>1554</v>
      </c>
      <c r="J56" s="1919"/>
      <c r="K56" s="1889" t="s">
        <v>1555</v>
      </c>
      <c r="L56" s="1892" t="str">
        <f ca="1">IF(L48&lt;J51,"——",L48-J53)</f>
        <v>——</v>
      </c>
      <c r="O56" s="1886" t="s">
        <v>1040</v>
      </c>
      <c r="P56" s="1887" t="s">
        <v>1528</v>
      </c>
      <c r="Q56" s="1888">
        <f ca="1">C40+J29</f>
        <v>-53493</v>
      </c>
      <c r="R56" s="1888" t="s">
        <v>1529</v>
      </c>
    </row>
    <row r="57" spans="1:18" s="1844" customFormat="1" ht="24.75" thickBot="1">
      <c r="A57" s="1920"/>
      <c r="B57" s="1171" t="s">
        <v>1478</v>
      </c>
      <c r="C57" s="281">
        <f ca="1">C29</f>
        <v>87630</v>
      </c>
      <c r="D57" s="1921"/>
      <c r="E57" s="1922"/>
      <c r="F57" s="1923"/>
      <c r="I57" s="1924" t="s">
        <v>1556</v>
      </c>
      <c r="J57" s="1925">
        <f ca="1">IF(OR(M47="住宅",J51&lt;L48,J56="是"),"——",J51-L48)</f>
        <v>21.009999999999998</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2205</v>
      </c>
      <c r="D58" s="1181" t="s">
        <v>1425</v>
      </c>
      <c r="E58" s="1182"/>
      <c r="F58" s="1183"/>
      <c r="I58" s="1924" t="s">
        <v>1560</v>
      </c>
      <c r="J58" s="1926">
        <f ca="1">IF(J55&lt;0.4,0.4,J55)</f>
        <v>0.4</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759.5</v>
      </c>
      <c r="D59" s="1184" t="s">
        <v>1430</v>
      </c>
      <c r="E59" s="1185" t="s">
        <v>1431</v>
      </c>
      <c r="F59" s="367" t="str">
        <f ca="1">IF(项目基本情况!B11="企业","",IF(INDIRECT("'数据-取费表'!c"&amp;$G$1)="住宅",5%,IF(F49*F50*F51/12/(1+'数据-取费表'!C42)&gt;20000,12%,7%)))</f>
        <v/>
      </c>
      <c r="I59" s="1924" t="s">
        <v>1563</v>
      </c>
      <c r="J59" s="1925">
        <f ca="1">IF(OR(M47="住宅",J51&lt;L48,J56="是"),"——",ROUND(C29*J58,0))</f>
        <v>35052</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5.6000000000000001E-2</v>
      </c>
      <c r="I60" s="1927" t="s">
        <v>1565</v>
      </c>
      <c r="J60" s="1928">
        <f ca="1">IF(OR(M47="住宅",J51&lt;L48,J56="是"),"0",ROUND(J59/(1+J52)^J53,0))</f>
        <v>35052</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IF(项目基本情况!B11="自然人","——",IF(D61="按租金收入计税",ROUND(C48*F61,2),IF(D61="按房产原值计税",ROUND(C57*F61*0.7,2),INDIRECT("'数据-取费表'!Aj"&amp;$G$1))))</f>
        <v>736.09</v>
      </c>
      <c r="D61" s="1830" t="s">
        <v>1438</v>
      </c>
      <c r="E61" s="1171" t="s">
        <v>1494</v>
      </c>
      <c r="F61" s="366">
        <f t="shared" si="0"/>
        <v>1.2E-2</v>
      </c>
      <c r="I61" s="1930"/>
      <c r="J61" s="1930"/>
      <c r="K61" s="1930"/>
      <c r="L61" s="1930"/>
      <c r="O61" s="1896" t="s">
        <v>1045</v>
      </c>
      <c r="P61" s="1887" t="str">
        <f>K59</f>
        <v>续建工期及建筑物耐用年限下的土地年期修正系数Kn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23.39</v>
      </c>
      <c r="D62" s="1186" t="s">
        <v>1497</v>
      </c>
      <c r="E62" s="1171" t="s">
        <v>1498</v>
      </c>
      <c r="F62" s="370">
        <f t="shared" si="0"/>
        <v>4</v>
      </c>
      <c r="I62" s="1931" t="s">
        <v>1570</v>
      </c>
      <c r="J62" s="1932" t="s">
        <v>1571</v>
      </c>
      <c r="K62" s="1932" t="s">
        <v>1572</v>
      </c>
      <c r="L62" s="1932" t="s">
        <v>1573</v>
      </c>
      <c r="M62" s="1933" t="s">
        <v>1574</v>
      </c>
      <c r="O62" s="1886" t="s">
        <v>1046</v>
      </c>
      <c r="P62" s="1887" t="s">
        <v>1575</v>
      </c>
      <c r="Q62" s="1888">
        <f ca="1">Q56+Q57</f>
        <v>-53493</v>
      </c>
      <c r="R62" s="1888" t="s">
        <v>1047</v>
      </c>
    </row>
    <row r="63" spans="1:18" s="1844" customFormat="1" ht="13.5" thickBot="1">
      <c r="A63" s="371"/>
      <c r="B63" s="1177"/>
      <c r="C63" s="29"/>
      <c r="D63" s="1187"/>
      <c r="E63" s="1171" t="s">
        <v>1499</v>
      </c>
      <c r="F63" s="347">
        <f t="shared" ca="1" si="0"/>
        <v>58467.710000000006</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1314.5</v>
      </c>
      <c r="D64" s="1185" t="s">
        <v>1502</v>
      </c>
      <c r="E64" s="1171" t="s">
        <v>1494</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131.4</v>
      </c>
      <c r="D65" s="1185" t="s">
        <v>1454</v>
      </c>
      <c r="E65" s="1171" t="s">
        <v>1455</v>
      </c>
      <c r="F65" s="375">
        <f t="shared" ca="1" si="0"/>
        <v>1.5E-3</v>
      </c>
      <c r="I65" s="1931" t="s">
        <v>1579</v>
      </c>
      <c r="J65" s="1932">
        <v>40</v>
      </c>
      <c r="K65" s="1932">
        <v>30</v>
      </c>
      <c r="L65" s="1932">
        <v>50</v>
      </c>
      <c r="M65" s="1934">
        <v>0.02</v>
      </c>
      <c r="O65" s="1886" t="s">
        <v>1040</v>
      </c>
      <c r="P65" s="1887" t="s">
        <v>1580</v>
      </c>
      <c r="Q65" s="1888">
        <f ca="1">C40+J29</f>
        <v>-53493</v>
      </c>
      <c r="R65" s="1888" t="s">
        <v>1529</v>
      </c>
    </row>
    <row r="66" spans="1:18" s="1844" customFormat="1" ht="16.5" thickBot="1">
      <c r="A66" s="1203" t="s">
        <v>1504</v>
      </c>
      <c r="B66" s="1171" t="s">
        <v>1439</v>
      </c>
      <c r="C66" s="24">
        <f ca="1">ROUND(C48*F66,1)</f>
        <v>0</v>
      </c>
      <c r="D66" s="1185" t="s">
        <v>1505</v>
      </c>
      <c r="E66" s="1171" t="s">
        <v>1422</v>
      </c>
      <c r="F66" s="356">
        <f t="shared" ca="1" si="0"/>
        <v>0.01</v>
      </c>
      <c r="O66" s="1886" t="s">
        <v>1041</v>
      </c>
      <c r="P66" s="1887" t="s">
        <v>1558</v>
      </c>
      <c r="Q66" s="1888">
        <f ca="1">L60</f>
        <v>0</v>
      </c>
      <c r="R66" s="1888" t="s">
        <v>1581</v>
      </c>
    </row>
    <row r="67" spans="1:18" s="1844" customFormat="1" ht="16.5" thickBot="1">
      <c r="A67" s="1178" t="s">
        <v>1031</v>
      </c>
      <c r="B67" s="1188" t="s">
        <v>1463</v>
      </c>
      <c r="C67" s="360">
        <f ca="1">C48-C58</f>
        <v>-2205</v>
      </c>
      <c r="D67" s="1184" t="s">
        <v>1464</v>
      </c>
      <c r="E67" s="1189"/>
      <c r="F67" s="1190"/>
      <c r="O67" s="1896" t="s">
        <v>1042</v>
      </c>
      <c r="P67" s="1887" t="s">
        <v>1562</v>
      </c>
      <c r="Q67" s="1935">
        <f ca="1">L51</f>
        <v>-175964</v>
      </c>
      <c r="R67" s="1888" t="s">
        <v>1582</v>
      </c>
    </row>
    <row r="68" spans="1:18" s="1844" customFormat="1" ht="16.5" thickBot="1">
      <c r="A68" s="1168" t="s">
        <v>1032</v>
      </c>
      <c r="B68" s="1169" t="s">
        <v>1485</v>
      </c>
      <c r="C68" s="345">
        <f ca="1">ROUND(C67*(1-((1+F70)/(1+F68))^F69)/(F68-F70),0)</f>
        <v>-35093</v>
      </c>
      <c r="D68" s="1186" t="s">
        <v>1469</v>
      </c>
      <c r="E68" s="1171" t="s">
        <v>1470</v>
      </c>
      <c r="F68" s="356">
        <f ca="1">F40</f>
        <v>5.5E-2</v>
      </c>
      <c r="O68" s="1896" t="s">
        <v>1043</v>
      </c>
      <c r="P68" s="1936" t="s">
        <v>1583</v>
      </c>
      <c r="Q68" s="1888">
        <f ca="1">ROUND(Q69-Q70*Q71,0)</f>
        <v>-9654</v>
      </c>
      <c r="R68" s="1888" t="s">
        <v>1051</v>
      </c>
    </row>
    <row r="69" spans="1:18" s="1844" customFormat="1" ht="13.5" thickBot="1">
      <c r="A69" s="1172"/>
      <c r="B69" s="1173"/>
      <c r="C69" s="350"/>
      <c r="D69" s="1191" t="s">
        <v>1473</v>
      </c>
      <c r="E69" s="1171" t="s">
        <v>1474</v>
      </c>
      <c r="F69" s="378">
        <f ca="1">F41</f>
        <v>38.89</v>
      </c>
      <c r="O69" s="1896" t="s">
        <v>1048</v>
      </c>
      <c r="P69" s="1936" t="s">
        <v>1584</v>
      </c>
      <c r="Q69" s="1888">
        <f ca="1">C39</f>
        <v>-2205</v>
      </c>
      <c r="R69" s="1888" t="s">
        <v>1529</v>
      </c>
    </row>
    <row r="70" spans="1:18" s="1844" customFormat="1" ht="13.5" thickBot="1">
      <c r="A70" s="1175"/>
      <c r="B70" s="1176"/>
      <c r="C70" s="354"/>
      <c r="D70" s="1187"/>
      <c r="E70" s="1171" t="s">
        <v>1477</v>
      </c>
      <c r="F70" s="1277"/>
      <c r="O70" s="1896" t="s">
        <v>1049</v>
      </c>
      <c r="P70" s="1936" t="s">
        <v>1585</v>
      </c>
      <c r="Q70" s="1888">
        <f ca="1">C13</f>
        <v>87630</v>
      </c>
      <c r="R70" s="1888" t="s">
        <v>1529</v>
      </c>
    </row>
    <row r="71" spans="1:18" s="1844" customFormat="1" ht="13.5" thickBot="1">
      <c r="A71" s="1192" t="s">
        <v>1033</v>
      </c>
      <c r="B71" s="1193" t="s">
        <v>1487</v>
      </c>
      <c r="C71" s="381">
        <f ca="1">ROUND(C68*10000/F71,0)</f>
        <v>-2844</v>
      </c>
      <c r="D71" s="1194" t="s">
        <v>1488</v>
      </c>
      <c r="E71" s="1195" t="s">
        <v>1489</v>
      </c>
      <c r="F71" s="384">
        <f ca="1">F43</f>
        <v>123402</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续建工期及建筑物耐用年限下的土地年期修正系数Kn</v>
      </c>
      <c r="Q74" s="1888" t="e">
        <f ca="1">L59</f>
        <v>#DIV/0!</v>
      </c>
      <c r="R74" s="1888" t="s">
        <v>1569</v>
      </c>
    </row>
    <row r="75" spans="1:18" ht="13.5" thickBot="1">
      <c r="A75" s="1844"/>
      <c r="B75" s="385" t="s">
        <v>1506</v>
      </c>
      <c r="C75" s="386">
        <f ca="1">ROUND(C13*C76,0)</f>
        <v>7449</v>
      </c>
      <c r="D75" s="1844"/>
      <c r="E75" s="1844"/>
      <c r="F75" s="1844"/>
      <c r="K75" s="1870"/>
      <c r="L75" s="1844"/>
      <c r="O75" s="1886" t="s">
        <v>1046</v>
      </c>
      <c r="P75" s="1887" t="s">
        <v>1549</v>
      </c>
      <c r="Q75" s="1888">
        <f ca="1">Q65+Q66</f>
        <v>-53493</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4.3780000000000001</v>
      </c>
    </row>
    <row r="80" spans="1:18">
      <c r="B80" s="385" t="s">
        <v>1511</v>
      </c>
      <c r="C80" s="317">
        <f ca="1">ROUND(C75/C39,3)</f>
        <v>-3.3780000000000001</v>
      </c>
    </row>
    <row r="81" spans="2:3">
      <c r="B81" s="313" t="s">
        <v>1512</v>
      </c>
      <c r="C81" s="281"/>
    </row>
    <row r="82" spans="2:3">
      <c r="B82" s="316" t="s">
        <v>1513</v>
      </c>
      <c r="C82" s="318">
        <f ca="1">1-C83</f>
        <v>2.6379999999999999</v>
      </c>
    </row>
    <row r="83" spans="2:3">
      <c r="B83" s="316" t="s">
        <v>1514</v>
      </c>
      <c r="C83" s="317">
        <f ca="1">ROUND(C13/C40,3)</f>
        <v>-1.6379999999999999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48" sqref="J48"/>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48</v>
      </c>
      <c r="D1" s="1822" t="s">
        <v>3114</v>
      </c>
      <c r="E1" s="1823" t="s">
        <v>1387</v>
      </c>
      <c r="F1" s="1285">
        <f ca="1">J53</f>
        <v>38.89</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-5284</v>
      </c>
      <c r="C2" s="1847" t="s">
        <v>1516</v>
      </c>
      <c r="D2" s="1847"/>
      <c r="E2" s="1848"/>
      <c r="F2" s="1849"/>
      <c r="G2" s="1850"/>
      <c r="H2" s="1842"/>
      <c r="I2" s="1842"/>
      <c r="J2" s="1842"/>
      <c r="K2" s="1843"/>
      <c r="L2" s="1842"/>
      <c r="M2" s="1842"/>
    </row>
    <row r="3" spans="1:37" ht="18" customHeight="1" thickBot="1">
      <c r="A3" s="1851" t="s">
        <v>1517</v>
      </c>
      <c r="B3" s="1852">
        <f ca="1">IF(ISERROR(B2*10000/F43),0,ROUND(B2*10000/F43,0))</f>
        <v>-1593</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0</v>
      </c>
      <c r="D5" s="1824" t="s">
        <v>1402</v>
      </c>
      <c r="E5" s="1295"/>
      <c r="F5" s="1296"/>
      <c r="G5" s="1853"/>
      <c r="H5" s="343">
        <v>1</v>
      </c>
      <c r="I5" s="344" t="s">
        <v>1401</v>
      </c>
      <c r="J5" s="1294">
        <f ca="1">J6+J10+J12</f>
        <v>0</v>
      </c>
      <c r="K5" s="1824" t="s">
        <v>1402</v>
      </c>
      <c r="L5" s="1295"/>
      <c r="M5" s="1296"/>
    </row>
    <row r="6" spans="1:37" ht="18" customHeight="1">
      <c r="A6" s="1293" t="s">
        <v>1035</v>
      </c>
      <c r="B6" s="3252" t="s">
        <v>1403</v>
      </c>
      <c r="C6" s="1298">
        <f ca="1">ROUND(F6*F8*F7*(1-F9)/10000,0)</f>
        <v>0</v>
      </c>
      <c r="D6" s="163" t="s">
        <v>3021</v>
      </c>
      <c r="E6" s="346" t="s">
        <v>1405</v>
      </c>
      <c r="F6" s="347">
        <f ca="1">INDIRECT("'数据-取费表'!u"&amp;$G$1)</f>
        <v>0</v>
      </c>
      <c r="G6" s="1853"/>
      <c r="H6" s="1293" t="s">
        <v>1035</v>
      </c>
      <c r="I6" s="3252" t="s">
        <v>1403</v>
      </c>
      <c r="J6" s="345">
        <f ca="1">ROUND(M6*M8*M7*(1-M9)/10000,0)</f>
        <v>0</v>
      </c>
      <c r="K6" s="163" t="s">
        <v>3020</v>
      </c>
      <c r="L6" s="346" t="s">
        <v>1405</v>
      </c>
      <c r="M6" s="347">
        <f ca="1">INDIRECT("'数据-取费表'!z"&amp;$G$1)</f>
        <v>0</v>
      </c>
    </row>
    <row r="7" spans="1:37" ht="18" customHeight="1">
      <c r="A7" s="1297"/>
      <c r="B7" s="3253"/>
      <c r="C7" s="1299"/>
      <c r="D7" s="351"/>
      <c r="E7" s="2953" t="s">
        <v>1406</v>
      </c>
      <c r="F7" s="347">
        <f ca="1">IF(INDIRECT("'数据-取费表'!ah"&amp;$G$1)="",INDIRECT("'数据-取费表'!k"&amp;$G$1),INDIRECT("'数据-取费表'!ah"&amp;$G$1))</f>
        <v>33170</v>
      </c>
      <c r="G7" s="1853"/>
      <c r="H7" s="348"/>
      <c r="I7" s="3253"/>
      <c r="J7" s="350"/>
      <c r="K7" s="351"/>
      <c r="L7" s="346" t="s">
        <v>1406</v>
      </c>
      <c r="M7" s="347">
        <f ca="1">F7</f>
        <v>33170</v>
      </c>
    </row>
    <row r="8" spans="1:37" ht="18" customHeight="1">
      <c r="A8" s="348"/>
      <c r="B8" s="3253"/>
      <c r="C8" s="350"/>
      <c r="D8" s="351"/>
      <c r="E8" s="346" t="s">
        <v>1407</v>
      </c>
      <c r="F8" s="347">
        <f ca="1">INDIRECT("'数据-取费表'!ai"&amp;$G$1)</f>
        <v>365</v>
      </c>
      <c r="G8" s="1853"/>
      <c r="H8" s="348"/>
      <c r="I8" s="3253"/>
      <c r="J8" s="350"/>
      <c r="K8" s="351"/>
      <c r="L8" s="346" t="s">
        <v>1407</v>
      </c>
      <c r="M8" s="347">
        <f ca="1">INDIRECT("'数据-取费表'!ai"&amp;$G$1)</f>
        <v>365</v>
      </c>
    </row>
    <row r="9" spans="1:37" ht="18" customHeight="1">
      <c r="A9" s="348"/>
      <c r="B9" s="3254"/>
      <c r="C9" s="350"/>
      <c r="D9" s="351"/>
      <c r="E9" s="346" t="s">
        <v>1408</v>
      </c>
      <c r="F9" s="356">
        <f ca="1">INDIRECT("'数据-取费表'!w"&amp;$G$1)</f>
        <v>0.1</v>
      </c>
      <c r="G9" s="1853"/>
      <c r="H9" s="348"/>
      <c r="I9" s="3254"/>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3029</v>
      </c>
      <c r="E10" s="357" t="s">
        <v>1410</v>
      </c>
      <c r="F10" s="1368"/>
      <c r="G10" s="1853"/>
      <c r="H10" s="1293" t="s">
        <v>1039</v>
      </c>
      <c r="I10" s="1825" t="s">
        <v>1409</v>
      </c>
      <c r="J10" s="345">
        <f ca="1">ROUND(IF(M10="押一",J6/12*M11,IF(M10="押二",J6/12*2*M11,IF(M10="押三",J6/12*3*M11,J11*M11))),0)</f>
        <v>0</v>
      </c>
      <c r="K10" s="1826" t="s">
        <v>3029</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20036</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15557</v>
      </c>
      <c r="D14" s="2956" t="s">
        <v>1418</v>
      </c>
      <c r="E14" s="2955"/>
      <c r="F14" s="363"/>
      <c r="G14" s="1853"/>
      <c r="H14" s="1203" t="s">
        <v>1035</v>
      </c>
      <c r="I14" s="346" t="s">
        <v>1419</v>
      </c>
      <c r="J14" s="24">
        <f ca="1">C29</f>
        <v>20036</v>
      </c>
      <c r="K14" s="2952"/>
      <c r="L14" s="981"/>
      <c r="M14" s="982"/>
    </row>
    <row r="15" spans="1:37" s="1860" customFormat="1" ht="18" customHeight="1" thickBot="1">
      <c r="A15" s="1203" t="s">
        <v>1036</v>
      </c>
      <c r="B15" s="346" t="s">
        <v>1420</v>
      </c>
      <c r="C15" s="24">
        <f ca="1">ROUND(C14*F15,0)</f>
        <v>467</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475</v>
      </c>
      <c r="K16" s="1339" t="s">
        <v>1425</v>
      </c>
      <c r="L16" s="2958"/>
      <c r="M16" s="1296"/>
    </row>
    <row r="17" spans="1:37" s="1860" customFormat="1" ht="18" customHeight="1">
      <c r="A17" s="1203" t="s">
        <v>1390</v>
      </c>
      <c r="B17" s="346" t="s">
        <v>1426</v>
      </c>
      <c r="C17" s="24">
        <f ca="1">ROUND(F17*(F43+INDIRECT("'数据-取费表'!S"&amp;$G$1))/10000,0)</f>
        <v>691</v>
      </c>
      <c r="D17" s="346" t="s">
        <v>1427</v>
      </c>
      <c r="E17" s="346" t="s">
        <v>1428</v>
      </c>
      <c r="F17" s="26">
        <f>'数据-取费表'!B35</f>
        <v>200</v>
      </c>
      <c r="G17" s="1856"/>
      <c r="H17" s="1203" t="s">
        <v>1035</v>
      </c>
      <c r="I17" s="346" t="s">
        <v>1429</v>
      </c>
      <c r="J17" s="24">
        <f ca="1">ROUND(IF(项目基本情况!B11="自然人",J5*M17,J18+J19+J20),1)</f>
        <v>174.6</v>
      </c>
      <c r="K17" s="2956" t="s">
        <v>1430</v>
      </c>
      <c r="L17" s="2957"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233</v>
      </c>
      <c r="D18" s="346" t="s">
        <v>1421</v>
      </c>
      <c r="E18" s="346" t="s">
        <v>1422</v>
      </c>
      <c r="F18" s="366">
        <f>'数据-取费表'!B36</f>
        <v>1.4999999999999999E-2</v>
      </c>
      <c r="G18" s="1856"/>
      <c r="H18" s="1203" t="s">
        <v>1034</v>
      </c>
      <c r="I18" s="346" t="s">
        <v>1433</v>
      </c>
      <c r="J18" s="24">
        <f ca="1">ROUND(J5*M18/(1+'数据-取费表'!C42),2)</f>
        <v>0</v>
      </c>
      <c r="K18" s="2957"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16948</v>
      </c>
      <c r="D19" s="139" t="s">
        <v>1436</v>
      </c>
      <c r="E19" s="2951"/>
      <c r="F19" s="26"/>
      <c r="G19" s="1853"/>
      <c r="H19" s="1203" t="s">
        <v>1036</v>
      </c>
      <c r="I19" s="346" t="s">
        <v>1437</v>
      </c>
      <c r="J19" s="24">
        <f ca="1">IF(K19="按租金收入计税",ROUND(J5*M19,2),ROUND(C29*M19*0.7,2))</f>
        <v>168.3</v>
      </c>
      <c r="K19" s="1830" t="s">
        <v>1438</v>
      </c>
      <c r="L19" s="346" t="s">
        <v>1422</v>
      </c>
      <c r="M19" s="366">
        <f>IF(K19="按租金收入计税",'数据-取费表'!B51,'数据-取费表'!B50)</f>
        <v>1.2E-2</v>
      </c>
    </row>
    <row r="20" spans="1:37" s="1860" customFormat="1" ht="18" customHeight="1">
      <c r="A20" s="1203" t="s">
        <v>1039</v>
      </c>
      <c r="B20" s="346" t="s">
        <v>1439</v>
      </c>
      <c r="C20" s="24">
        <f ca="1">ROUND(C19*F20,0)</f>
        <v>254</v>
      </c>
      <c r="D20" s="368" t="s">
        <v>1440</v>
      </c>
      <c r="E20" s="346" t="s">
        <v>1422</v>
      </c>
      <c r="F20" s="366">
        <f>'数据-取费表'!B37</f>
        <v>1.4999999999999999E-2</v>
      </c>
      <c r="G20" s="1856"/>
      <c r="H20" s="1203" t="s">
        <v>1389</v>
      </c>
      <c r="I20" s="163" t="s">
        <v>1441</v>
      </c>
      <c r="J20" s="25">
        <f ca="1">ROUND(M20*M21/10000,2)</f>
        <v>6.29</v>
      </c>
      <c r="K20" s="369" t="s">
        <v>1442</v>
      </c>
      <c r="L20" s="346" t="s">
        <v>1443</v>
      </c>
      <c r="M20" s="370">
        <f>'数据-取费表'!B52</f>
        <v>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0.02</v>
      </c>
      <c r="G21" s="1856"/>
      <c r="H21" s="371"/>
      <c r="I21" s="355"/>
      <c r="J21" s="29"/>
      <c r="K21" s="372"/>
      <c r="L21" s="346" t="s">
        <v>1447</v>
      </c>
      <c r="M21" s="347">
        <f ca="1">INDIRECT("'数据-取费表'!r"&amp;$G$1)</f>
        <v>15715.9</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2951"/>
      <c r="F22" s="26"/>
      <c r="G22" s="1853"/>
      <c r="H22" s="1203" t="s">
        <v>1039</v>
      </c>
      <c r="I22" s="346" t="s">
        <v>1449</v>
      </c>
      <c r="J22" s="24">
        <f ca="1">ROUND(J14*M22,1)</f>
        <v>300.5</v>
      </c>
      <c r="K22" s="2957"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817</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ROUND(J13*M23,1)</f>
        <v>0</v>
      </c>
      <c r="K23" s="2957" t="s">
        <v>1454</v>
      </c>
      <c r="L23" s="346" t="s">
        <v>1422</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1392</v>
      </c>
      <c r="I24" s="1342" t="s">
        <v>1439</v>
      </c>
      <c r="J24" s="1343">
        <f ca="1">ROUND(J5*M24,1)</f>
        <v>0</v>
      </c>
      <c r="K24" s="1344" t="s">
        <v>1459</v>
      </c>
      <c r="L24" s="1342" t="s">
        <v>1422</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2951"/>
      <c r="F25" s="26"/>
      <c r="G25" s="1853"/>
      <c r="H25" s="1331" t="s">
        <v>1031</v>
      </c>
      <c r="I25" s="1346" t="s">
        <v>1463</v>
      </c>
      <c r="J25" s="354">
        <f ca="1">J5-J16</f>
        <v>-475</v>
      </c>
      <c r="K25" s="1347" t="s">
        <v>1464</v>
      </c>
      <c r="L25" s="1348"/>
      <c r="M25" s="1349"/>
    </row>
    <row r="26" spans="1:37">
      <c r="A26" s="1203" t="s">
        <v>1034</v>
      </c>
      <c r="B26" s="346" t="s">
        <v>1465</v>
      </c>
      <c r="C26" s="24">
        <f ca="1">ROUND((C19+C20)*F26,0)</f>
        <v>516</v>
      </c>
      <c r="D26" s="368" t="s">
        <v>1466</v>
      </c>
      <c r="E26" s="357" t="s">
        <v>1467</v>
      </c>
      <c r="F26" s="356">
        <f ca="1">INDIRECT("'数据-取费表'!q"&amp;$G$1)</f>
        <v>0.03</v>
      </c>
      <c r="G26" s="1853"/>
      <c r="H26" s="343" t="s">
        <v>1032</v>
      </c>
      <c r="I26" s="344" t="s">
        <v>1468</v>
      </c>
      <c r="J26" s="345">
        <f ca="1">IF(J5&lt;&gt;0,ROUND(J25*(1-((1+M28)/(1+M26))^M27)/(M26-M28),0),0)</f>
        <v>0</v>
      </c>
      <c r="K26" s="369" t="s">
        <v>1469</v>
      </c>
      <c r="L26" s="346" t="s">
        <v>1470</v>
      </c>
      <c r="M26" s="356">
        <f ca="1">INDIRECT("'数据-取费表'!I"&amp;$G$1)</f>
        <v>0.05</v>
      </c>
    </row>
    <row r="27" spans="1:37" ht="18" customHeight="1">
      <c r="A27" s="1203" t="s">
        <v>1036</v>
      </c>
      <c r="B27" s="346" t="s">
        <v>1471</v>
      </c>
      <c r="C27" s="24">
        <f ca="1">ROUND(F21*F26,4)</f>
        <v>5.9999999999999995E-4</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20036</v>
      </c>
      <c r="D29" s="1344"/>
      <c r="E29" s="1342"/>
      <c r="F29" s="1345"/>
      <c r="G29" s="1856"/>
      <c r="H29" s="379" t="s">
        <v>1033</v>
      </c>
      <c r="I29" s="380" t="s">
        <v>1479</v>
      </c>
      <c r="J29" s="381">
        <f ca="1">ROUND(J26/(1+F40)^F41,0)</f>
        <v>0</v>
      </c>
      <c r="K29" s="382" t="s">
        <v>1480</v>
      </c>
      <c r="L29" s="383"/>
      <c r="M29" s="384">
        <f ca="1">INDIRECT("'数据-取费表'!k"&amp;$G$1)</f>
        <v>33170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505</v>
      </c>
      <c r="D30" s="1339" t="s">
        <v>1425</v>
      </c>
      <c r="E30" s="2958"/>
      <c r="F30" s="1296"/>
      <c r="G30" s="1853"/>
      <c r="H30" s="744"/>
      <c r="I30" s="745"/>
      <c r="J30" s="746"/>
      <c r="K30" s="747"/>
      <c r="L30" s="748"/>
      <c r="M30" s="749"/>
    </row>
    <row r="31" spans="1:37" ht="18" customHeight="1">
      <c r="A31" s="1203" t="s">
        <v>1035</v>
      </c>
      <c r="B31" s="346" t="s">
        <v>1429</v>
      </c>
      <c r="C31" s="24">
        <f ca="1">ROUND(IF(项目基本情况!B11="自然人",C5*F31,C32+C33+C34),1)</f>
        <v>174.6</v>
      </c>
      <c r="D31" s="2956" t="s">
        <v>1430</v>
      </c>
      <c r="E31" s="2957"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0</v>
      </c>
      <c r="D32" s="2957" t="s">
        <v>1434</v>
      </c>
      <c r="E32" s="346" t="s">
        <v>1422</v>
      </c>
      <c r="F32" s="376">
        <f>'数据-取费表'!B41</f>
        <v>5.6000000000000001E-2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168.3</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IF(项目基本情况!B11="自然人","——",ROUND(F34*F35/10000,2))</f>
        <v>6.29</v>
      </c>
      <c r="D34" s="369" t="s">
        <v>1442</v>
      </c>
      <c r="E34" s="346" t="s">
        <v>1443</v>
      </c>
      <c r="F34" s="370">
        <f>'数据-取费表'!B52</f>
        <v>4</v>
      </c>
      <c r="G34" s="1853"/>
      <c r="H34" s="744"/>
      <c r="I34" s="1862"/>
      <c r="J34" s="1863"/>
      <c r="K34" s="1865"/>
      <c r="L34" s="1866"/>
      <c r="M34" s="1866"/>
    </row>
    <row r="35" spans="1:18" ht="18" customHeight="1">
      <c r="A35" s="1355"/>
      <c r="B35" s="1353"/>
      <c r="C35" s="29"/>
      <c r="D35" s="372"/>
      <c r="E35" s="346" t="s">
        <v>1447</v>
      </c>
      <c r="F35" s="347">
        <f ca="1">INDIRECT("'数据-取费表'!r"&amp;$G$1)</f>
        <v>15715.9</v>
      </c>
      <c r="G35" s="1853"/>
      <c r="H35" s="744"/>
      <c r="I35" s="1862"/>
      <c r="J35" s="1863"/>
      <c r="K35" s="1864"/>
      <c r="L35" s="1861"/>
      <c r="M35" s="1861"/>
    </row>
    <row r="36" spans="1:18" ht="18" customHeight="1">
      <c r="A36" s="1354" t="s">
        <v>1039</v>
      </c>
      <c r="B36" s="346" t="s">
        <v>1449</v>
      </c>
      <c r="C36" s="24">
        <f ca="1">ROUND(C29*F36,1)</f>
        <v>300.5</v>
      </c>
      <c r="D36" s="2957"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ROUND(C13*F37,1)</f>
        <v>30.1</v>
      </c>
      <c r="D37" s="2957" t="s">
        <v>1454</v>
      </c>
      <c r="E37" s="346" t="s">
        <v>1422</v>
      </c>
      <c r="F37" s="375">
        <f ca="1">INDIRECT("'数据-取费表'!Al"&amp;$G$1)</f>
        <v>1.5E-3</v>
      </c>
      <c r="G37" s="1853"/>
      <c r="H37" s="1861"/>
      <c r="I37" s="1862"/>
      <c r="J37" s="1863"/>
      <c r="K37" s="750"/>
      <c r="L37" s="1861"/>
      <c r="M37" s="1861"/>
    </row>
    <row r="38" spans="1:18" ht="18" customHeight="1" thickBot="1">
      <c r="A38" s="1341" t="s">
        <v>1392</v>
      </c>
      <c r="B38" s="1342" t="s">
        <v>1439</v>
      </c>
      <c r="C38" s="1343">
        <f ca="1">ROUND(C5*F38,1)</f>
        <v>0</v>
      </c>
      <c r="D38" s="1344" t="s">
        <v>1459</v>
      </c>
      <c r="E38" s="1342" t="s">
        <v>1422</v>
      </c>
      <c r="F38" s="1338">
        <f ca="1">INDIRECT("'数据-取费表'!Am"&amp;$G$1)</f>
        <v>0.01</v>
      </c>
      <c r="G38" s="1853"/>
      <c r="H38" s="1861"/>
      <c r="I38" s="1862"/>
      <c r="J38" s="1863"/>
      <c r="K38" s="1867"/>
      <c r="L38" s="1861"/>
      <c r="M38" s="1861"/>
    </row>
    <row r="39" spans="1:18" ht="24.6" customHeight="1" thickTop="1">
      <c r="A39" s="1331" t="s">
        <v>1031</v>
      </c>
      <c r="B39" s="1346" t="s">
        <v>1463</v>
      </c>
      <c r="C39" s="354">
        <f ca="1">C5-C30</f>
        <v>-505</v>
      </c>
      <c r="D39" s="1347" t="s">
        <v>1464</v>
      </c>
      <c r="E39" s="1348"/>
      <c r="F39" s="1349"/>
      <c r="G39" s="1853"/>
      <c r="H39" s="1861"/>
      <c r="I39" s="1862"/>
      <c r="J39" s="1863"/>
      <c r="K39" s="1867"/>
      <c r="L39" s="1861"/>
      <c r="M39" s="1861"/>
    </row>
    <row r="40" spans="1:18" ht="18" customHeight="1">
      <c r="A40" s="343" t="s">
        <v>1032</v>
      </c>
      <c r="B40" s="344" t="s">
        <v>1485</v>
      </c>
      <c r="C40" s="345">
        <f ca="1">ROUND(C39*(1-((1+F42)/(1+F40))^F41)/(F40-F42),0)</f>
        <v>-13298</v>
      </c>
      <c r="D40" s="369" t="s">
        <v>1469</v>
      </c>
      <c r="E40" s="346" t="s">
        <v>1470</v>
      </c>
      <c r="F40" s="356">
        <f ca="1">INDIRECT("'数据-取费表'!I"&amp;$G$1)</f>
        <v>0.05</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38.89</v>
      </c>
      <c r="G41" s="1853"/>
      <c r="H41" s="731"/>
      <c r="I41" s="1862"/>
      <c r="J41" s="1863"/>
      <c r="K41" s="750"/>
      <c r="L41" s="731"/>
      <c r="M41" s="731"/>
    </row>
    <row r="42" spans="1:18" ht="18" customHeight="1">
      <c r="A42" s="352"/>
      <c r="B42" s="353"/>
      <c r="C42" s="354"/>
      <c r="D42" s="372"/>
      <c r="E42" s="346" t="s">
        <v>1477</v>
      </c>
      <c r="F42" s="356">
        <f ca="1">INDIRECT("'数据-取费表'!v"&amp;$G$1)</f>
        <v>0.03</v>
      </c>
      <c r="G42" s="1853"/>
      <c r="H42" s="731"/>
      <c r="I42" s="1862"/>
      <c r="J42" s="1863"/>
      <c r="K42" s="750"/>
      <c r="L42" s="731"/>
      <c r="M42" s="731"/>
    </row>
    <row r="43" spans="1:18" ht="18" customHeight="1" thickBot="1">
      <c r="A43" s="379" t="s">
        <v>1033</v>
      </c>
      <c r="B43" s="380" t="s">
        <v>1487</v>
      </c>
      <c r="C43" s="381">
        <f ca="1">ROUND(C40*10000/F43,0)</f>
        <v>-4009</v>
      </c>
      <c r="D43" s="382" t="s">
        <v>1488</v>
      </c>
      <c r="E43" s="383" t="s">
        <v>1489</v>
      </c>
      <c r="F43" s="384">
        <f ca="1">INDIRECT("'数据-取费表'!k"&amp;$G$1)</f>
        <v>33170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4713</v>
      </c>
      <c r="D46" s="1874" t="str">
        <f>C2</f>
        <v>万元</v>
      </c>
      <c r="E46" s="1868"/>
      <c r="F46" s="1868"/>
      <c r="I46" s="1875" t="s">
        <v>1521</v>
      </c>
      <c r="J46" s="1876"/>
      <c r="K46" s="1877"/>
      <c r="L46" s="1878">
        <f ca="1">IF(M47="住宅",0,IF(L48&gt;J51,L60,J60))</f>
        <v>8014</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3116</v>
      </c>
      <c r="K47" s="1884" t="s">
        <v>1527</v>
      </c>
      <c r="L47" s="1885">
        <f ca="1">INDIRECT("'数据-取费表'!d"&amp;$G$1)</f>
        <v>40</v>
      </c>
      <c r="M47" s="1840" t="str">
        <f>IF(ISNUMBER(FIND("住宅",C1)),"住宅","非住宅")</f>
        <v>非住宅</v>
      </c>
      <c r="O47" s="1886" t="s">
        <v>1040</v>
      </c>
      <c r="P47" s="1887" t="s">
        <v>1528</v>
      </c>
      <c r="Q47" s="1888">
        <f ca="1">C40+J29</f>
        <v>-13298</v>
      </c>
      <c r="R47" s="1888" t="s">
        <v>1529</v>
      </c>
    </row>
    <row r="48" spans="1:18" s="1844" customFormat="1" ht="28.5" thickBot="1">
      <c r="A48" s="1362" t="s">
        <v>1135</v>
      </c>
      <c r="B48" s="344" t="s">
        <v>1401</v>
      </c>
      <c r="C48" s="2950">
        <f ca="1">C49+C53+C55</f>
        <v>0</v>
      </c>
      <c r="D48" s="1364"/>
      <c r="E48" s="1365"/>
      <c r="F48" s="1183"/>
      <c r="G48" s="791"/>
      <c r="H48" s="792"/>
      <c r="I48" s="1889" t="s">
        <v>1530</v>
      </c>
      <c r="J48" s="1890" t="s">
        <v>3117</v>
      </c>
      <c r="K48" s="1891" t="s">
        <v>1531</v>
      </c>
      <c r="L48" s="1892">
        <f ca="1">INDIRECT("'数据-取费表'!f"&amp;$G$1)</f>
        <v>38.99</v>
      </c>
      <c r="O48" s="1886" t="s">
        <v>1041</v>
      </c>
      <c r="P48" s="1887" t="s">
        <v>1532</v>
      </c>
      <c r="Q48" s="1888">
        <f ca="1">J60</f>
        <v>8014</v>
      </c>
      <c r="R48" s="1888" t="s">
        <v>1533</v>
      </c>
    </row>
    <row r="49" spans="1:18" s="1844" customFormat="1" ht="13.5" thickBot="1">
      <c r="A49" s="1196" t="s">
        <v>1136</v>
      </c>
      <c r="B49" s="1831" t="s">
        <v>1490</v>
      </c>
      <c r="C49" s="1366">
        <f ca="1">ROUND(F49*F51*F50*(1-F52)/10000,0)</f>
        <v>0</v>
      </c>
      <c r="D49" s="1278" t="s">
        <v>3020</v>
      </c>
      <c r="E49" s="1832" t="s">
        <v>1491</v>
      </c>
      <c r="F49" s="1283"/>
      <c r="G49" s="1893"/>
      <c r="H49" s="792"/>
      <c r="I49" s="1889" t="s">
        <v>1534</v>
      </c>
      <c r="J49" s="1894"/>
      <c r="K49" s="1891" t="s">
        <v>1535</v>
      </c>
      <c r="L49" s="1895"/>
      <c r="O49" s="1896" t="s">
        <v>1042</v>
      </c>
      <c r="P49" s="1887" t="s">
        <v>1536</v>
      </c>
      <c r="Q49" s="1888">
        <f ca="1">C29</f>
        <v>20036</v>
      </c>
      <c r="R49" s="1888" t="s">
        <v>1529</v>
      </c>
    </row>
    <row r="50" spans="1:18" s="1844" customFormat="1" ht="13.5" thickBot="1">
      <c r="A50" s="1197"/>
      <c r="B50" s="1200"/>
      <c r="C50" s="1370"/>
      <c r="D50" s="1174"/>
      <c r="E50" s="1279" t="s">
        <v>1406</v>
      </c>
      <c r="F50" s="1280">
        <f ca="1">F7</f>
        <v>33170</v>
      </c>
      <c r="H50" s="792"/>
      <c r="I50" s="1889" t="s">
        <v>1537</v>
      </c>
      <c r="J50" s="1897">
        <f>SUMPRODUCT((I63:I65=J47)*(J62:L62=J48)*(J63:L65))</f>
        <v>60</v>
      </c>
      <c r="K50" s="1891" t="s">
        <v>1538</v>
      </c>
      <c r="L50" s="1895"/>
      <c r="M50" s="1898"/>
      <c r="O50" s="1896" t="s">
        <v>1043</v>
      </c>
      <c r="P50" s="1887" t="s">
        <v>1539</v>
      </c>
      <c r="Q50" s="1899">
        <f ca="1">J58</f>
        <v>0.4</v>
      </c>
      <c r="R50" s="1888"/>
    </row>
    <row r="51" spans="1:18" s="1844" customFormat="1" ht="13.5" thickBot="1">
      <c r="A51" s="1198"/>
      <c r="B51" s="1200"/>
      <c r="C51" s="1201"/>
      <c r="D51" s="1174"/>
      <c r="E51" s="1202" t="s">
        <v>1407</v>
      </c>
      <c r="F51" s="347">
        <f ca="1">F8</f>
        <v>365</v>
      </c>
      <c r="I51" s="1900" t="s">
        <v>1540</v>
      </c>
      <c r="J51" s="1901">
        <f>IF(J49="",J50,J49+J50-YEAR('数据-取费表'!B2))</f>
        <v>60</v>
      </c>
      <c r="K51" s="1902" t="s">
        <v>1541</v>
      </c>
      <c r="L51" s="1903">
        <f ca="1">ROUND(-PV(INDIRECT("'数据-取费表'!h"&amp;$G$1),L48,(C39-C13*C76),0),0)</f>
        <v>-43239</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f ca="1">J53</f>
        <v>38.89</v>
      </c>
      <c r="R52" s="1888" t="s">
        <v>1546</v>
      </c>
    </row>
    <row r="53" spans="1:18" s="1844" customFormat="1" ht="24.75" thickBot="1">
      <c r="A53" s="1407" t="s">
        <v>1137</v>
      </c>
      <c r="B53" s="1833" t="s">
        <v>1409</v>
      </c>
      <c r="C53" s="360">
        <f ca="1">ROUND(IF(F53="押一",C49/12*F11,IF(F53="押二",C49/12*2*F11,IF(F53="押三",C49/12*3*F11,C54*F11))),0)</f>
        <v>0</v>
      </c>
      <c r="D53" s="1826" t="s">
        <v>3029</v>
      </c>
      <c r="E53" s="357" t="s">
        <v>1410</v>
      </c>
      <c r="F53" s="1368"/>
      <c r="I53" s="1907" t="s">
        <v>1547</v>
      </c>
      <c r="J53" s="1908">
        <f ca="1">IF(M47="住宅",J51,IF(D1="——",MIN(J51,L48),IF(D1="在建（套用方法）",MIN(J51,L48-'数据-取费表'!B24),IF(D1="土地（套用方法）",MIN(J51,L48-'数据-取费表'!B20)))))</f>
        <v>38.89</v>
      </c>
      <c r="K53" s="3250" t="s">
        <v>1548</v>
      </c>
      <c r="L53" s="3251"/>
      <c r="O53" s="1886" t="s">
        <v>1046</v>
      </c>
      <c r="P53" s="1887" t="s">
        <v>1549</v>
      </c>
      <c r="Q53" s="1888">
        <f ca="1">Q47+Q48</f>
        <v>-5284</v>
      </c>
      <c r="R53" s="1888" t="s">
        <v>1047</v>
      </c>
    </row>
    <row r="54" spans="1:18" s="1844" customFormat="1" ht="13.5" thickBot="1">
      <c r="A54" s="1408"/>
      <c r="B54" s="1827" t="s">
        <v>1388</v>
      </c>
      <c r="C54" s="1180"/>
      <c r="D54" s="1826"/>
      <c r="E54" s="295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2954"/>
      <c r="F55" s="1909"/>
      <c r="I55" s="1912" t="s">
        <v>1551</v>
      </c>
      <c r="J55" s="1913">
        <f ca="1">ROUND(IF(J47="钢混",J57/J50,1-(1-2%)*(J50-J57)/J50),3)</f>
        <v>0.35</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20036</v>
      </c>
      <c r="D56" s="1916"/>
      <c r="E56" s="1917"/>
      <c r="F56" s="1909"/>
      <c r="I56" s="1918" t="s">
        <v>1554</v>
      </c>
      <c r="J56" s="1919"/>
      <c r="K56" s="1889" t="s">
        <v>1555</v>
      </c>
      <c r="L56" s="1892" t="str">
        <f ca="1">IF(L48&lt;J51,"——",L48-J53)</f>
        <v>——</v>
      </c>
      <c r="O56" s="1886" t="s">
        <v>1040</v>
      </c>
      <c r="P56" s="1887" t="s">
        <v>1528</v>
      </c>
      <c r="Q56" s="1888">
        <f ca="1">C40+J29</f>
        <v>-13298</v>
      </c>
      <c r="R56" s="1888" t="s">
        <v>1529</v>
      </c>
    </row>
    <row r="57" spans="1:18" s="1844" customFormat="1" ht="24.75" thickBot="1">
      <c r="A57" s="1920"/>
      <c r="B57" s="1171" t="s">
        <v>1478</v>
      </c>
      <c r="C57" s="281">
        <f ca="1">C29</f>
        <v>20036</v>
      </c>
      <c r="D57" s="1921"/>
      <c r="E57" s="1922"/>
      <c r="F57" s="1923"/>
      <c r="I57" s="1924" t="s">
        <v>1556</v>
      </c>
      <c r="J57" s="1925">
        <f ca="1">IF(OR(M47="住宅",J51&lt;L48,J56="是"),"——",J51-L48)</f>
        <v>21.009999999999998</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505</v>
      </c>
      <c r="D58" s="1181" t="s">
        <v>1425</v>
      </c>
      <c r="E58" s="1182"/>
      <c r="F58" s="1183"/>
      <c r="I58" s="1924" t="s">
        <v>1560</v>
      </c>
      <c r="J58" s="1926">
        <f ca="1">IF(J55&lt;0.4,0.4,J55)</f>
        <v>0.4</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174.6</v>
      </c>
      <c r="D59" s="1184" t="s">
        <v>1430</v>
      </c>
      <c r="E59" s="1185" t="s">
        <v>1431</v>
      </c>
      <c r="F59" s="367" t="str">
        <f ca="1">IF(项目基本情况!B11="企业","",IF(INDIRECT("'数据-取费表'!c"&amp;$G$1)="住宅",5%,IF(F49*F50*F51/12/(1+'数据-取费表'!C42)&gt;20000,12%,7%)))</f>
        <v/>
      </c>
      <c r="I59" s="1924" t="s">
        <v>1563</v>
      </c>
      <c r="J59" s="1925">
        <f ca="1">IF(OR(M47="住宅",J51&lt;L48,J56="是"),"——",ROUND(C29*J58,0))</f>
        <v>8014</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5.6000000000000001E-2</v>
      </c>
      <c r="I60" s="1927" t="s">
        <v>1565</v>
      </c>
      <c r="J60" s="1928">
        <f ca="1">IF(OR(M47="住宅",J51&lt;L48,J56="是"),"0",ROUND(J59/(1+J52)^J53,0))</f>
        <v>8014</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1437</v>
      </c>
      <c r="C61" s="24">
        <f ca="1">IF(项目基本情况!B11="自然人","——",IF(D61="按租金收入计税",ROUND(C48*F61,2),IF(D61="按房产原值计税",ROUND(C57*F61*0.7,2),INDIRECT("'数据-取费表'!Aj"&amp;$G$1))))</f>
        <v>168.3</v>
      </c>
      <c r="D61" s="1830" t="s">
        <v>1438</v>
      </c>
      <c r="E61" s="1171" t="s">
        <v>1422</v>
      </c>
      <c r="F61" s="366">
        <f t="shared" si="0"/>
        <v>1.2E-2</v>
      </c>
      <c r="I61" s="1930"/>
      <c r="J61" s="1930"/>
      <c r="K61" s="1930"/>
      <c r="L61" s="1930"/>
      <c r="O61" s="1896" t="s">
        <v>1045</v>
      </c>
      <c r="P61" s="1887" t="str">
        <f>K59</f>
        <v>续建工期及建筑物耐用年限下的土地年期修正系数Kn</v>
      </c>
      <c r="Q61" s="1888" t="e">
        <f ca="1">L59</f>
        <v>#DIV/0!</v>
      </c>
      <c r="R61" s="1888" t="s">
        <v>1569</v>
      </c>
    </row>
    <row r="62" spans="1:18" s="1844" customFormat="1" ht="13.5" thickBot="1">
      <c r="A62" s="1203" t="s">
        <v>1495</v>
      </c>
      <c r="B62" s="1170" t="s">
        <v>1441</v>
      </c>
      <c r="C62" s="25">
        <f ca="1">IF(项目基本情况!B11="自然人","——",ROUND(F62*F63/10000,2))</f>
        <v>6.29</v>
      </c>
      <c r="D62" s="1186" t="s">
        <v>1442</v>
      </c>
      <c r="E62" s="1171" t="s">
        <v>1443</v>
      </c>
      <c r="F62" s="370">
        <f t="shared" si="0"/>
        <v>4</v>
      </c>
      <c r="I62" s="1931" t="s">
        <v>1570</v>
      </c>
      <c r="J62" s="1932" t="s">
        <v>1571</v>
      </c>
      <c r="K62" s="1932" t="s">
        <v>1572</v>
      </c>
      <c r="L62" s="1932" t="s">
        <v>1573</v>
      </c>
      <c r="M62" s="1933" t="s">
        <v>1574</v>
      </c>
      <c r="O62" s="1886" t="s">
        <v>1046</v>
      </c>
      <c r="P62" s="1887" t="s">
        <v>1549</v>
      </c>
      <c r="Q62" s="1888">
        <f ca="1">Q56+Q57</f>
        <v>-13298</v>
      </c>
      <c r="R62" s="1888" t="s">
        <v>1047</v>
      </c>
    </row>
    <row r="63" spans="1:18" s="1844" customFormat="1" ht="13.5" thickBot="1">
      <c r="A63" s="371"/>
      <c r="B63" s="1177"/>
      <c r="C63" s="29"/>
      <c r="D63" s="1187"/>
      <c r="E63" s="1171" t="s">
        <v>1447</v>
      </c>
      <c r="F63" s="347">
        <f t="shared" ca="1" si="0"/>
        <v>15715.9</v>
      </c>
      <c r="I63" s="1931" t="s">
        <v>1576</v>
      </c>
      <c r="J63" s="1932">
        <v>70</v>
      </c>
      <c r="K63" s="1932">
        <v>50</v>
      </c>
      <c r="L63" s="1932">
        <v>80</v>
      </c>
      <c r="M63" s="1934">
        <v>0.02</v>
      </c>
      <c r="O63" s="1871" t="s">
        <v>1577</v>
      </c>
      <c r="P63" s="1841"/>
      <c r="Q63" s="1841"/>
      <c r="R63" s="1841"/>
    </row>
    <row r="64" spans="1:18" s="1844" customFormat="1" ht="13.5" thickBot="1">
      <c r="A64" s="1203" t="s">
        <v>1039</v>
      </c>
      <c r="B64" s="1171" t="s">
        <v>1449</v>
      </c>
      <c r="C64" s="24">
        <f ca="1">ROUND(C57*F64,1)</f>
        <v>300.5</v>
      </c>
      <c r="D64" s="1185" t="s">
        <v>1482</v>
      </c>
      <c r="E64" s="1171" t="s">
        <v>1422</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30.1</v>
      </c>
      <c r="D65" s="1185" t="s">
        <v>1454</v>
      </c>
      <c r="E65" s="1171" t="s">
        <v>1422</v>
      </c>
      <c r="F65" s="375">
        <f t="shared" ca="1" si="0"/>
        <v>1.5E-3</v>
      </c>
      <c r="I65" s="1931" t="s">
        <v>1579</v>
      </c>
      <c r="J65" s="1932">
        <v>40</v>
      </c>
      <c r="K65" s="1932">
        <v>30</v>
      </c>
      <c r="L65" s="1932">
        <v>50</v>
      </c>
      <c r="M65" s="1934">
        <v>0.02</v>
      </c>
      <c r="O65" s="1886" t="s">
        <v>1040</v>
      </c>
      <c r="P65" s="1887" t="s">
        <v>1528</v>
      </c>
      <c r="Q65" s="1888">
        <f ca="1">C40+J29</f>
        <v>-13298</v>
      </c>
      <c r="R65" s="1888" t="s">
        <v>1529</v>
      </c>
    </row>
    <row r="66" spans="1:18" s="1844" customFormat="1" ht="16.5" thickBot="1">
      <c r="A66" s="1203" t="s">
        <v>1504</v>
      </c>
      <c r="B66" s="1171" t="s">
        <v>1439</v>
      </c>
      <c r="C66" s="24">
        <f ca="1">ROUND(C48*F66,1)</f>
        <v>0</v>
      </c>
      <c r="D66" s="1185" t="s">
        <v>1459</v>
      </c>
      <c r="E66" s="1171" t="s">
        <v>1422</v>
      </c>
      <c r="F66" s="356">
        <f t="shared" ca="1" si="0"/>
        <v>0.01</v>
      </c>
      <c r="O66" s="1886" t="s">
        <v>1041</v>
      </c>
      <c r="P66" s="1887" t="s">
        <v>1558</v>
      </c>
      <c r="Q66" s="1888">
        <f ca="1">L60</f>
        <v>0</v>
      </c>
      <c r="R66" s="1888" t="s">
        <v>1581</v>
      </c>
    </row>
    <row r="67" spans="1:18" s="1844" customFormat="1" ht="16.5" thickBot="1">
      <c r="A67" s="1178" t="s">
        <v>1031</v>
      </c>
      <c r="B67" s="1188" t="s">
        <v>1463</v>
      </c>
      <c r="C67" s="360">
        <f ca="1">C48-C58</f>
        <v>-505</v>
      </c>
      <c r="D67" s="1184" t="s">
        <v>1464</v>
      </c>
      <c r="E67" s="1189"/>
      <c r="F67" s="1190"/>
      <c r="O67" s="1896" t="s">
        <v>1042</v>
      </c>
      <c r="P67" s="1887" t="s">
        <v>1562</v>
      </c>
      <c r="Q67" s="1935">
        <f ca="1">L51</f>
        <v>-43239</v>
      </c>
      <c r="R67" s="1888" t="s">
        <v>1582</v>
      </c>
    </row>
    <row r="68" spans="1:18" s="1844" customFormat="1" ht="16.5" thickBot="1">
      <c r="A68" s="1168" t="s">
        <v>1032</v>
      </c>
      <c r="B68" s="1169" t="s">
        <v>1485</v>
      </c>
      <c r="C68" s="345">
        <f ca="1">ROUND(C67*(1-((1+F70)/(1+F68))^F69)/(F68-F70),0)</f>
        <v>-8585</v>
      </c>
      <c r="D68" s="1186" t="s">
        <v>1469</v>
      </c>
      <c r="E68" s="1171" t="s">
        <v>1470</v>
      </c>
      <c r="F68" s="356">
        <f ca="1">F40</f>
        <v>0.05</v>
      </c>
      <c r="O68" s="1896" t="s">
        <v>1043</v>
      </c>
      <c r="P68" s="1936" t="s">
        <v>1583</v>
      </c>
      <c r="Q68" s="1888">
        <f ca="1">ROUND(Q69-Q70*Q71,0)</f>
        <v>-2208</v>
      </c>
      <c r="R68" s="1888" t="s">
        <v>1051</v>
      </c>
    </row>
    <row r="69" spans="1:18" s="1844" customFormat="1" ht="13.5" thickBot="1">
      <c r="A69" s="1172"/>
      <c r="B69" s="1173"/>
      <c r="C69" s="350"/>
      <c r="D69" s="1191" t="s">
        <v>1473</v>
      </c>
      <c r="E69" s="1171" t="s">
        <v>1474</v>
      </c>
      <c r="F69" s="378">
        <f ca="1">F41</f>
        <v>38.89</v>
      </c>
      <c r="O69" s="1896" t="s">
        <v>1048</v>
      </c>
      <c r="P69" s="1936" t="s">
        <v>1584</v>
      </c>
      <c r="Q69" s="1888">
        <f ca="1">C39</f>
        <v>-505</v>
      </c>
      <c r="R69" s="1888" t="s">
        <v>1529</v>
      </c>
    </row>
    <row r="70" spans="1:18" s="1844" customFormat="1" ht="13.5" thickBot="1">
      <c r="A70" s="1175"/>
      <c r="B70" s="1176"/>
      <c r="C70" s="354"/>
      <c r="D70" s="1187"/>
      <c r="E70" s="1171" t="s">
        <v>1477</v>
      </c>
      <c r="F70" s="1277"/>
      <c r="O70" s="1896" t="s">
        <v>1049</v>
      </c>
      <c r="P70" s="1936" t="s">
        <v>1585</v>
      </c>
      <c r="Q70" s="1888">
        <f ca="1">C13</f>
        <v>20036</v>
      </c>
      <c r="R70" s="1888" t="s">
        <v>1529</v>
      </c>
    </row>
    <row r="71" spans="1:18" s="1844" customFormat="1" ht="13.5" thickBot="1">
      <c r="A71" s="1192" t="s">
        <v>1033</v>
      </c>
      <c r="B71" s="1193" t="s">
        <v>1487</v>
      </c>
      <c r="C71" s="381">
        <f ca="1">ROUND(C68*10000/F71,0)</f>
        <v>-2588</v>
      </c>
      <c r="D71" s="1194" t="s">
        <v>1488</v>
      </c>
      <c r="E71" s="1195" t="s">
        <v>1489</v>
      </c>
      <c r="F71" s="384">
        <f ca="1">F43</f>
        <v>33170</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续建工期及建筑物耐用年限下的土地年期修正系数Kn</v>
      </c>
      <c r="Q74" s="1888" t="e">
        <f ca="1">L59</f>
        <v>#DIV/0!</v>
      </c>
      <c r="R74" s="1888" t="s">
        <v>1569</v>
      </c>
    </row>
    <row r="75" spans="1:18" ht="13.5" thickBot="1">
      <c r="A75" s="1844"/>
      <c r="B75" s="385" t="s">
        <v>1506</v>
      </c>
      <c r="C75" s="386">
        <f ca="1">ROUND(C13*C76,0)</f>
        <v>1703</v>
      </c>
      <c r="D75" s="1844"/>
      <c r="E75" s="1844"/>
      <c r="F75" s="1844"/>
      <c r="K75" s="1870"/>
      <c r="L75" s="1844"/>
      <c r="O75" s="1886" t="s">
        <v>1046</v>
      </c>
      <c r="P75" s="1887" t="s">
        <v>1549</v>
      </c>
      <c r="Q75" s="1888">
        <f ca="1">Q65+Q66</f>
        <v>-13298</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4.3719999999999999</v>
      </c>
    </row>
    <row r="80" spans="1:18">
      <c r="B80" s="385" t="s">
        <v>1511</v>
      </c>
      <c r="C80" s="317">
        <f ca="1">ROUND(C75/C39,3)</f>
        <v>-3.3719999999999999</v>
      </c>
    </row>
    <row r="81" spans="2:3">
      <c r="B81" s="313" t="s">
        <v>1512</v>
      </c>
      <c r="C81" s="281"/>
    </row>
    <row r="82" spans="2:3">
      <c r="B82" s="316" t="s">
        <v>1513</v>
      </c>
      <c r="C82" s="318">
        <f ca="1">1-C83</f>
        <v>2.5069999999999997</v>
      </c>
    </row>
    <row r="83" spans="2:3">
      <c r="B83" s="316" t="s">
        <v>1514</v>
      </c>
      <c r="C83" s="317">
        <f ca="1">ROUND(C13/C40,3)</f>
        <v>-1.5069999999999999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48" sqref="J48"/>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3097</v>
      </c>
      <c r="D1" s="1822" t="s">
        <v>3114</v>
      </c>
      <c r="E1" s="1823" t="s">
        <v>1387</v>
      </c>
      <c r="F1" s="1285">
        <f ca="1">J53</f>
        <v>38.89</v>
      </c>
      <c r="G1" s="1838">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-794</v>
      </c>
      <c r="C2" s="1847" t="s">
        <v>1516</v>
      </c>
      <c r="D2" s="1847"/>
      <c r="E2" s="1848"/>
      <c r="F2" s="1849"/>
      <c r="G2" s="1850"/>
      <c r="H2" s="1842"/>
      <c r="I2" s="1842"/>
      <c r="J2" s="1842"/>
      <c r="K2" s="1843"/>
      <c r="L2" s="1842"/>
      <c r="M2" s="1842"/>
    </row>
    <row r="3" spans="1:37" ht="18" customHeight="1" thickBot="1">
      <c r="A3" s="1851" t="s">
        <v>1517</v>
      </c>
      <c r="B3" s="1852">
        <f ca="1">IF(ISERROR(B2*10000/F43),0,ROUND(B2*10000/F43,0))</f>
        <v>-1399</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0</v>
      </c>
      <c r="D5" s="1824" t="s">
        <v>1402</v>
      </c>
      <c r="E5" s="1295"/>
      <c r="F5" s="1296"/>
      <c r="G5" s="1853"/>
      <c r="H5" s="343">
        <v>1</v>
      </c>
      <c r="I5" s="344" t="s">
        <v>1401</v>
      </c>
      <c r="J5" s="1294">
        <f ca="1">J6+J10+J12</f>
        <v>0</v>
      </c>
      <c r="K5" s="1824" t="s">
        <v>1402</v>
      </c>
      <c r="L5" s="1295"/>
      <c r="M5" s="1296"/>
    </row>
    <row r="6" spans="1:37" ht="18" customHeight="1">
      <c r="A6" s="1293" t="s">
        <v>1035</v>
      </c>
      <c r="B6" s="3252" t="s">
        <v>1403</v>
      </c>
      <c r="C6" s="1298">
        <f ca="1">ROUND(F6*F8*F7*(1-F9)/10000,0)</f>
        <v>0</v>
      </c>
      <c r="D6" s="163" t="s">
        <v>3021</v>
      </c>
      <c r="E6" s="346" t="s">
        <v>1405</v>
      </c>
      <c r="F6" s="347">
        <f ca="1">INDIRECT("'数据-取费表'!u"&amp;$G$1)</f>
        <v>0</v>
      </c>
      <c r="G6" s="1853"/>
      <c r="H6" s="1293" t="s">
        <v>1035</v>
      </c>
      <c r="I6" s="3252" t="s">
        <v>1403</v>
      </c>
      <c r="J6" s="345">
        <f ca="1">ROUND(M6*M8*M7*(1-M9)/10000,0)</f>
        <v>0</v>
      </c>
      <c r="K6" s="163" t="s">
        <v>3020</v>
      </c>
      <c r="L6" s="346" t="s">
        <v>1405</v>
      </c>
      <c r="M6" s="347">
        <f ca="1">INDIRECT("'数据-取费表'!z"&amp;$G$1)</f>
        <v>0</v>
      </c>
    </row>
    <row r="7" spans="1:37" ht="18" customHeight="1">
      <c r="A7" s="1297"/>
      <c r="B7" s="3253"/>
      <c r="C7" s="1299"/>
      <c r="D7" s="351"/>
      <c r="E7" s="2953" t="s">
        <v>1406</v>
      </c>
      <c r="F7" s="347">
        <f ca="1">IF(INDIRECT("'数据-取费表'!ah"&amp;$G$1)="",INDIRECT("'数据-取费表'!k"&amp;$G$1),INDIRECT("'数据-取费表'!ah"&amp;$G$1))</f>
        <v>5676</v>
      </c>
      <c r="G7" s="1853"/>
      <c r="H7" s="348"/>
      <c r="I7" s="3253"/>
      <c r="J7" s="350"/>
      <c r="K7" s="351"/>
      <c r="L7" s="346" t="s">
        <v>1406</v>
      </c>
      <c r="M7" s="347">
        <f ca="1">F7</f>
        <v>5676</v>
      </c>
    </row>
    <row r="8" spans="1:37" ht="18" customHeight="1">
      <c r="A8" s="348"/>
      <c r="B8" s="3253"/>
      <c r="C8" s="350"/>
      <c r="D8" s="351"/>
      <c r="E8" s="346" t="s">
        <v>1407</v>
      </c>
      <c r="F8" s="347">
        <f ca="1">INDIRECT("'数据-取费表'!ai"&amp;$G$1)</f>
        <v>365</v>
      </c>
      <c r="G8" s="1853"/>
      <c r="H8" s="348"/>
      <c r="I8" s="3253"/>
      <c r="J8" s="350"/>
      <c r="K8" s="351"/>
      <c r="L8" s="346" t="s">
        <v>1407</v>
      </c>
      <c r="M8" s="347">
        <f ca="1">INDIRECT("'数据-取费表'!ai"&amp;$G$1)</f>
        <v>365</v>
      </c>
    </row>
    <row r="9" spans="1:37" ht="18" customHeight="1">
      <c r="A9" s="348"/>
      <c r="B9" s="3254"/>
      <c r="C9" s="350"/>
      <c r="D9" s="351"/>
      <c r="E9" s="346" t="s">
        <v>1408</v>
      </c>
      <c r="F9" s="356">
        <f ca="1">INDIRECT("'数据-取费表'!w"&amp;$G$1)</f>
        <v>0.1</v>
      </c>
      <c r="G9" s="1853"/>
      <c r="H9" s="348"/>
      <c r="I9" s="3254"/>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3029</v>
      </c>
      <c r="E10" s="357" t="s">
        <v>1410</v>
      </c>
      <c r="F10" s="1368"/>
      <c r="G10" s="1853"/>
      <c r="H10" s="1293" t="s">
        <v>1039</v>
      </c>
      <c r="I10" s="1825" t="s">
        <v>1409</v>
      </c>
      <c r="J10" s="345">
        <f ca="1">ROUND(IF(M10="押一",J6/12*M11,IF(M10="押二",J6/12*2*M11,IF(M10="押三",J6/12*3*M11,J11*M11))),0)</f>
        <v>0</v>
      </c>
      <c r="K10" s="1826" t="s">
        <v>3029</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3778</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2946</v>
      </c>
      <c r="D14" s="2956" t="s">
        <v>1418</v>
      </c>
      <c r="E14" s="2955"/>
      <c r="F14" s="363"/>
      <c r="G14" s="1853"/>
      <c r="H14" s="1203" t="s">
        <v>1035</v>
      </c>
      <c r="I14" s="346" t="s">
        <v>1419</v>
      </c>
      <c r="J14" s="24">
        <f ca="1">C29</f>
        <v>3778</v>
      </c>
      <c r="K14" s="2952"/>
      <c r="L14" s="981"/>
      <c r="M14" s="982"/>
    </row>
    <row r="15" spans="1:37" s="1860" customFormat="1" ht="18" customHeight="1" thickBot="1">
      <c r="A15" s="1203" t="s">
        <v>1036</v>
      </c>
      <c r="B15" s="346" t="s">
        <v>1420</v>
      </c>
      <c r="C15" s="24">
        <f ca="1">ROUND(C14*F15,0)</f>
        <v>88</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90</v>
      </c>
      <c r="K16" s="1339" t="s">
        <v>1425</v>
      </c>
      <c r="L16" s="2958"/>
      <c r="M16" s="1296"/>
    </row>
    <row r="17" spans="1:37" s="1860" customFormat="1" ht="18" customHeight="1">
      <c r="A17" s="1203" t="s">
        <v>1390</v>
      </c>
      <c r="B17" s="346" t="s">
        <v>1426</v>
      </c>
      <c r="C17" s="24">
        <f ca="1">ROUND(F17*(F43+INDIRECT("'数据-取费表'!S"&amp;$G$1))/10000,0)</f>
        <v>118</v>
      </c>
      <c r="D17" s="346" t="s">
        <v>1427</v>
      </c>
      <c r="E17" s="346" t="s">
        <v>1428</v>
      </c>
      <c r="F17" s="26">
        <f>'数据-取费表'!B35</f>
        <v>200</v>
      </c>
      <c r="G17" s="1856"/>
      <c r="H17" s="1203" t="s">
        <v>1035</v>
      </c>
      <c r="I17" s="346" t="s">
        <v>1429</v>
      </c>
      <c r="J17" s="24">
        <f ca="1">ROUND(IF(项目基本情况!B11="自然人",J5*M17,J18+J19+J20),1)</f>
        <v>32.799999999999997</v>
      </c>
      <c r="K17" s="2956" t="s">
        <v>1430</v>
      </c>
      <c r="L17" s="2957"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44</v>
      </c>
      <c r="D18" s="346" t="s">
        <v>1421</v>
      </c>
      <c r="E18" s="346" t="s">
        <v>1422</v>
      </c>
      <c r="F18" s="366">
        <f>'数据-取费表'!B36</f>
        <v>1.4999999999999999E-2</v>
      </c>
      <c r="G18" s="1856"/>
      <c r="H18" s="1203" t="s">
        <v>1034</v>
      </c>
      <c r="I18" s="346" t="s">
        <v>1433</v>
      </c>
      <c r="J18" s="24">
        <f ca="1">ROUND(J5*M18/(1+'数据-取费表'!C42),2)</f>
        <v>0</v>
      </c>
      <c r="K18" s="2957"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3196</v>
      </c>
      <c r="D19" s="139" t="s">
        <v>1436</v>
      </c>
      <c r="E19" s="2951"/>
      <c r="F19" s="26"/>
      <c r="G19" s="1853"/>
      <c r="H19" s="1203" t="s">
        <v>1036</v>
      </c>
      <c r="I19" s="346" t="s">
        <v>1437</v>
      </c>
      <c r="J19" s="24">
        <f ca="1">IF(K19="按租金收入计税",ROUND(J5*M19,2),ROUND(C29*M19*0.7,2))</f>
        <v>31.74</v>
      </c>
      <c r="K19" s="1830" t="s">
        <v>1438</v>
      </c>
      <c r="L19" s="346" t="s">
        <v>1422</v>
      </c>
      <c r="M19" s="366">
        <f>IF(K19="按租金收入计税",'数据-取费表'!B51,'数据-取费表'!B50)</f>
        <v>1.2E-2</v>
      </c>
    </row>
    <row r="20" spans="1:37" s="1860" customFormat="1" ht="18" customHeight="1">
      <c r="A20" s="1203" t="s">
        <v>1039</v>
      </c>
      <c r="B20" s="346" t="s">
        <v>1439</v>
      </c>
      <c r="C20" s="24">
        <f ca="1">ROUND(C19*F20,0)</f>
        <v>48</v>
      </c>
      <c r="D20" s="368" t="s">
        <v>1440</v>
      </c>
      <c r="E20" s="346" t="s">
        <v>1422</v>
      </c>
      <c r="F20" s="366">
        <f>'数据-取费表'!B37</f>
        <v>1.4999999999999999E-2</v>
      </c>
      <c r="G20" s="1856"/>
      <c r="H20" s="1203" t="s">
        <v>1389</v>
      </c>
      <c r="I20" s="163" t="s">
        <v>1441</v>
      </c>
      <c r="J20" s="25">
        <f ca="1">ROUND(M20*M21/10000,2)</f>
        <v>1.08</v>
      </c>
      <c r="K20" s="369" t="s">
        <v>1442</v>
      </c>
      <c r="L20" s="346" t="s">
        <v>1443</v>
      </c>
      <c r="M20" s="370">
        <f>'数据-取费表'!B52</f>
        <v>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0.02</v>
      </c>
      <c r="G21" s="1856"/>
      <c r="H21" s="371"/>
      <c r="I21" s="355"/>
      <c r="J21" s="29"/>
      <c r="K21" s="372"/>
      <c r="L21" s="346" t="s">
        <v>1447</v>
      </c>
      <c r="M21" s="347">
        <f ca="1">INDIRECT("'数据-取费表'!r"&amp;$G$1)</f>
        <v>2689.28</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2951"/>
      <c r="F22" s="26"/>
      <c r="G22" s="1853"/>
      <c r="H22" s="1203" t="s">
        <v>1039</v>
      </c>
      <c r="I22" s="346" t="s">
        <v>1449</v>
      </c>
      <c r="J22" s="24">
        <f ca="1">ROUND(J14*M22,1)</f>
        <v>56.7</v>
      </c>
      <c r="K22" s="2957"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154</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ROUND(J13*M23,1)</f>
        <v>0</v>
      </c>
      <c r="K23" s="2957" t="s">
        <v>1454</v>
      </c>
      <c r="L23" s="346" t="s">
        <v>1422</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1392</v>
      </c>
      <c r="I24" s="1342" t="s">
        <v>1439</v>
      </c>
      <c r="J24" s="1343">
        <f ca="1">ROUND(J5*M24,1)</f>
        <v>0</v>
      </c>
      <c r="K24" s="1344" t="s">
        <v>1459</v>
      </c>
      <c r="L24" s="1342" t="s">
        <v>1422</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2951"/>
      <c r="F25" s="26"/>
      <c r="G25" s="1853"/>
      <c r="H25" s="1331" t="s">
        <v>1031</v>
      </c>
      <c r="I25" s="1346" t="s">
        <v>1463</v>
      </c>
      <c r="J25" s="354">
        <f ca="1">J5-J16</f>
        <v>-90</v>
      </c>
      <c r="K25" s="1347" t="s">
        <v>1464</v>
      </c>
      <c r="L25" s="1348"/>
      <c r="M25" s="1349"/>
    </row>
    <row r="26" spans="1:37">
      <c r="A26" s="1203" t="s">
        <v>1034</v>
      </c>
      <c r="B26" s="346" t="s">
        <v>1465</v>
      </c>
      <c r="C26" s="24">
        <f ca="1">ROUND((C19+C20)*F26,0)</f>
        <v>97</v>
      </c>
      <c r="D26" s="368" t="s">
        <v>1466</v>
      </c>
      <c r="E26" s="357" t="s">
        <v>1467</v>
      </c>
      <c r="F26" s="356">
        <f ca="1">INDIRECT("'数据-取费表'!q"&amp;$G$1)</f>
        <v>0.03</v>
      </c>
      <c r="G26" s="1853"/>
      <c r="H26" s="343" t="s">
        <v>1032</v>
      </c>
      <c r="I26" s="344" t="s">
        <v>1468</v>
      </c>
      <c r="J26" s="345">
        <f ca="1">IF(J5&lt;&gt;0,ROUND(J25*(1-((1+M28)/(1+M26))^M27)/(M26-M28),0),0)</f>
        <v>0</v>
      </c>
      <c r="K26" s="369" t="s">
        <v>1469</v>
      </c>
      <c r="L26" s="346" t="s">
        <v>1470</v>
      </c>
      <c r="M26" s="356">
        <f ca="1">INDIRECT("'数据-取费表'!I"&amp;$G$1)</f>
        <v>5.5E-2</v>
      </c>
    </row>
    <row r="27" spans="1:37" ht="18" customHeight="1">
      <c r="A27" s="1203" t="s">
        <v>1036</v>
      </c>
      <c r="B27" s="346" t="s">
        <v>1471</v>
      </c>
      <c r="C27" s="24">
        <f ca="1">ROUND(F21*F26,4)</f>
        <v>5.9999999999999995E-4</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3778</v>
      </c>
      <c r="D29" s="1344"/>
      <c r="E29" s="1342"/>
      <c r="F29" s="1345"/>
      <c r="G29" s="1856"/>
      <c r="H29" s="379" t="s">
        <v>1033</v>
      </c>
      <c r="I29" s="380" t="s">
        <v>1479</v>
      </c>
      <c r="J29" s="381">
        <f ca="1">ROUND(J26/(1+F40)^F41,0)</f>
        <v>0</v>
      </c>
      <c r="K29" s="382" t="s">
        <v>1480</v>
      </c>
      <c r="L29" s="383"/>
      <c r="M29" s="384">
        <f ca="1">INDIRECT("'数据-取费表'!k"&amp;$G$1)</f>
        <v>5676</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95</v>
      </c>
      <c r="D30" s="1339" t="s">
        <v>1425</v>
      </c>
      <c r="E30" s="2958"/>
      <c r="F30" s="1296"/>
      <c r="G30" s="1853"/>
      <c r="H30" s="744"/>
      <c r="I30" s="745"/>
      <c r="J30" s="746"/>
      <c r="K30" s="747"/>
      <c r="L30" s="748"/>
      <c r="M30" s="749"/>
    </row>
    <row r="31" spans="1:37" ht="18" customHeight="1">
      <c r="A31" s="1203" t="s">
        <v>1035</v>
      </c>
      <c r="B31" s="346" t="s">
        <v>1429</v>
      </c>
      <c r="C31" s="24">
        <f ca="1">ROUND(IF(项目基本情况!B11="自然人",C5*F31,C32+C33+C34),1)</f>
        <v>32.799999999999997</v>
      </c>
      <c r="D31" s="2956" t="s">
        <v>1430</v>
      </c>
      <c r="E31" s="2957"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0</v>
      </c>
      <c r="D32" s="2957" t="s">
        <v>1434</v>
      </c>
      <c r="E32" s="346" t="s">
        <v>1422</v>
      </c>
      <c r="F32" s="376">
        <f>'数据-取费表'!B41</f>
        <v>5.6000000000000001E-2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31.74</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IF(项目基本情况!B11="自然人","——",ROUND(F34*F35/10000,2))</f>
        <v>1.08</v>
      </c>
      <c r="D34" s="369" t="s">
        <v>1442</v>
      </c>
      <c r="E34" s="346" t="s">
        <v>1443</v>
      </c>
      <c r="F34" s="370">
        <f>'数据-取费表'!B52</f>
        <v>4</v>
      </c>
      <c r="G34" s="1853"/>
      <c r="H34" s="744"/>
      <c r="I34" s="1862"/>
      <c r="J34" s="1863"/>
      <c r="K34" s="1865"/>
      <c r="L34" s="1866"/>
      <c r="M34" s="1866"/>
    </row>
    <row r="35" spans="1:18" ht="18" customHeight="1">
      <c r="A35" s="1355"/>
      <c r="B35" s="1353"/>
      <c r="C35" s="29"/>
      <c r="D35" s="372"/>
      <c r="E35" s="346" t="s">
        <v>1447</v>
      </c>
      <c r="F35" s="347">
        <f ca="1">INDIRECT("'数据-取费表'!r"&amp;$G$1)</f>
        <v>2689.28</v>
      </c>
      <c r="G35" s="1853"/>
      <c r="H35" s="744"/>
      <c r="I35" s="1862"/>
      <c r="J35" s="1863"/>
      <c r="K35" s="1864"/>
      <c r="L35" s="1861"/>
      <c r="M35" s="1861"/>
    </row>
    <row r="36" spans="1:18" ht="18" customHeight="1">
      <c r="A36" s="1354" t="s">
        <v>1039</v>
      </c>
      <c r="B36" s="346" t="s">
        <v>1449</v>
      </c>
      <c r="C36" s="24">
        <f ca="1">ROUND(C29*F36,1)</f>
        <v>56.7</v>
      </c>
      <c r="D36" s="2957"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ROUND(C13*F37,1)</f>
        <v>5.7</v>
      </c>
      <c r="D37" s="2957" t="s">
        <v>1454</v>
      </c>
      <c r="E37" s="346" t="s">
        <v>1422</v>
      </c>
      <c r="F37" s="375">
        <f ca="1">INDIRECT("'数据-取费表'!Al"&amp;$G$1)</f>
        <v>1.5E-3</v>
      </c>
      <c r="G37" s="1853"/>
      <c r="H37" s="1861"/>
      <c r="I37" s="1862"/>
      <c r="J37" s="1863"/>
      <c r="K37" s="750"/>
      <c r="L37" s="1861"/>
      <c r="M37" s="1861"/>
    </row>
    <row r="38" spans="1:18" ht="18" customHeight="1" thickBot="1">
      <c r="A38" s="1341" t="s">
        <v>1392</v>
      </c>
      <c r="B38" s="1342" t="s">
        <v>1439</v>
      </c>
      <c r="C38" s="1343">
        <f ca="1">ROUND(C5*F38,1)</f>
        <v>0</v>
      </c>
      <c r="D38" s="1344" t="s">
        <v>1459</v>
      </c>
      <c r="E38" s="1342" t="s">
        <v>1422</v>
      </c>
      <c r="F38" s="1338">
        <f ca="1">INDIRECT("'数据-取费表'!Am"&amp;$G$1)</f>
        <v>0.01</v>
      </c>
      <c r="G38" s="1853"/>
      <c r="H38" s="1861"/>
      <c r="I38" s="1862"/>
      <c r="J38" s="1863"/>
      <c r="K38" s="1867"/>
      <c r="L38" s="1861"/>
      <c r="M38" s="1861"/>
    </row>
    <row r="39" spans="1:18" ht="24.6" customHeight="1" thickTop="1">
      <c r="A39" s="1331" t="s">
        <v>1031</v>
      </c>
      <c r="B39" s="1346" t="s">
        <v>1463</v>
      </c>
      <c r="C39" s="354">
        <f ca="1">C5-C30</f>
        <v>-95</v>
      </c>
      <c r="D39" s="1347" t="s">
        <v>1464</v>
      </c>
      <c r="E39" s="1348"/>
      <c r="F39" s="1349"/>
      <c r="G39" s="1853"/>
      <c r="H39" s="1861"/>
      <c r="I39" s="1862"/>
      <c r="J39" s="1863"/>
      <c r="K39" s="1867"/>
      <c r="L39" s="1861"/>
      <c r="M39" s="1861"/>
    </row>
    <row r="40" spans="1:18" ht="18" customHeight="1">
      <c r="A40" s="343" t="s">
        <v>1032</v>
      </c>
      <c r="B40" s="344" t="s">
        <v>1485</v>
      </c>
      <c r="C40" s="345">
        <f ca="1">ROUND(C39*(1-((1+F42)/(1+F40))^F41)/(F40-F42),0)</f>
        <v>-2305</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38.89</v>
      </c>
      <c r="G41" s="1853"/>
      <c r="H41" s="731"/>
      <c r="I41" s="1862"/>
      <c r="J41" s="1863"/>
      <c r="K41" s="750"/>
      <c r="L41" s="731"/>
      <c r="M41" s="731"/>
    </row>
    <row r="42" spans="1:18" ht="18" customHeight="1">
      <c r="A42" s="352"/>
      <c r="B42" s="353"/>
      <c r="C42" s="354"/>
      <c r="D42" s="372"/>
      <c r="E42" s="346" t="s">
        <v>1477</v>
      </c>
      <c r="F42" s="356">
        <f ca="1">INDIRECT("'数据-取费表'!v"&amp;$G$1)</f>
        <v>0.03</v>
      </c>
      <c r="G42" s="1853"/>
      <c r="H42" s="731"/>
      <c r="I42" s="1862"/>
      <c r="J42" s="1863"/>
      <c r="K42" s="750"/>
      <c r="L42" s="731"/>
      <c r="M42" s="731"/>
    </row>
    <row r="43" spans="1:18" ht="18" customHeight="1" thickBot="1">
      <c r="A43" s="379" t="s">
        <v>1033</v>
      </c>
      <c r="B43" s="380" t="s">
        <v>1487</v>
      </c>
      <c r="C43" s="381">
        <f ca="1">ROUND(C40*10000/F43,0)</f>
        <v>-4061</v>
      </c>
      <c r="D43" s="382" t="s">
        <v>1488</v>
      </c>
      <c r="E43" s="383" t="s">
        <v>1489</v>
      </c>
      <c r="F43" s="384">
        <f ca="1">INDIRECT("'数据-取费表'!k"&amp;$G$1)</f>
        <v>5676</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793</v>
      </c>
      <c r="D46" s="1874" t="str">
        <f>C2</f>
        <v>万元</v>
      </c>
      <c r="E46" s="1868"/>
      <c r="F46" s="1868"/>
      <c r="I46" s="1875" t="s">
        <v>1521</v>
      </c>
      <c r="J46" s="1876"/>
      <c r="K46" s="1877"/>
      <c r="L46" s="1878">
        <f ca="1">IF(M47="住宅",0,IF(L48&gt;J51,L60,J60))</f>
        <v>1511</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3116</v>
      </c>
      <c r="K47" s="1884" t="s">
        <v>1527</v>
      </c>
      <c r="L47" s="1885">
        <f ca="1">INDIRECT("'数据-取费表'!d"&amp;$G$1)</f>
        <v>40</v>
      </c>
      <c r="M47" s="1840" t="str">
        <f>IF(ISNUMBER(FIND("住宅",C1)),"住宅","非住宅")</f>
        <v>非住宅</v>
      </c>
      <c r="O47" s="1886" t="s">
        <v>1040</v>
      </c>
      <c r="P47" s="1887" t="s">
        <v>1528</v>
      </c>
      <c r="Q47" s="1888">
        <f ca="1">C40+J29</f>
        <v>-2305</v>
      </c>
      <c r="R47" s="1888" t="s">
        <v>1529</v>
      </c>
    </row>
    <row r="48" spans="1:18" s="1844" customFormat="1" ht="28.5" thickBot="1">
      <c r="A48" s="1362" t="s">
        <v>1135</v>
      </c>
      <c r="B48" s="344" t="s">
        <v>1401</v>
      </c>
      <c r="C48" s="2950">
        <f ca="1">C49+C53+C55</f>
        <v>0</v>
      </c>
      <c r="D48" s="1364"/>
      <c r="E48" s="1365"/>
      <c r="F48" s="1183"/>
      <c r="G48" s="791"/>
      <c r="H48" s="792"/>
      <c r="I48" s="1889" t="s">
        <v>1530</v>
      </c>
      <c r="J48" s="1890" t="s">
        <v>3117</v>
      </c>
      <c r="K48" s="1891" t="s">
        <v>1531</v>
      </c>
      <c r="L48" s="1892">
        <f ca="1">INDIRECT("'数据-取费表'!f"&amp;$G$1)</f>
        <v>38.99</v>
      </c>
      <c r="O48" s="1886" t="s">
        <v>1041</v>
      </c>
      <c r="P48" s="1887" t="s">
        <v>1532</v>
      </c>
      <c r="Q48" s="1888">
        <f ca="1">J60</f>
        <v>1511</v>
      </c>
      <c r="R48" s="1888" t="s">
        <v>1533</v>
      </c>
    </row>
    <row r="49" spans="1:18" s="1844" customFormat="1" ht="13.5" thickBot="1">
      <c r="A49" s="1196" t="s">
        <v>1136</v>
      </c>
      <c r="B49" s="1831" t="s">
        <v>1490</v>
      </c>
      <c r="C49" s="1366">
        <f ca="1">ROUND(F49*F51*F50*(1-F52)/10000,0)</f>
        <v>0</v>
      </c>
      <c r="D49" s="1278" t="s">
        <v>3020</v>
      </c>
      <c r="E49" s="1832" t="s">
        <v>1491</v>
      </c>
      <c r="F49" s="1283"/>
      <c r="G49" s="1893"/>
      <c r="H49" s="792"/>
      <c r="I49" s="1889" t="s">
        <v>1534</v>
      </c>
      <c r="J49" s="1894"/>
      <c r="K49" s="1891" t="s">
        <v>1535</v>
      </c>
      <c r="L49" s="1895"/>
      <c r="O49" s="1896" t="s">
        <v>1042</v>
      </c>
      <c r="P49" s="1887" t="s">
        <v>1536</v>
      </c>
      <c r="Q49" s="1888">
        <f ca="1">C29</f>
        <v>3778</v>
      </c>
      <c r="R49" s="1888" t="s">
        <v>1529</v>
      </c>
    </row>
    <row r="50" spans="1:18" s="1844" customFormat="1" ht="13.5" thickBot="1">
      <c r="A50" s="1197"/>
      <c r="B50" s="1200"/>
      <c r="C50" s="1370"/>
      <c r="D50" s="1174"/>
      <c r="E50" s="1279" t="s">
        <v>1406</v>
      </c>
      <c r="F50" s="1280">
        <f ca="1">F7</f>
        <v>5676</v>
      </c>
      <c r="H50" s="792"/>
      <c r="I50" s="1889" t="s">
        <v>1537</v>
      </c>
      <c r="J50" s="1897">
        <f>SUMPRODUCT((I63:I65=J47)*(J62:L62=J48)*(J63:L65))</f>
        <v>60</v>
      </c>
      <c r="K50" s="1891" t="s">
        <v>1538</v>
      </c>
      <c r="L50" s="1895"/>
      <c r="M50" s="1898"/>
      <c r="O50" s="1896" t="s">
        <v>1043</v>
      </c>
      <c r="P50" s="1887" t="s">
        <v>1539</v>
      </c>
      <c r="Q50" s="1899">
        <f ca="1">J58</f>
        <v>0.4</v>
      </c>
      <c r="R50" s="1888"/>
    </row>
    <row r="51" spans="1:18" s="1844" customFormat="1" ht="13.5" thickBot="1">
      <c r="A51" s="1198"/>
      <c r="B51" s="1200"/>
      <c r="C51" s="1201"/>
      <c r="D51" s="1174"/>
      <c r="E51" s="1202" t="s">
        <v>1407</v>
      </c>
      <c r="F51" s="347">
        <f ca="1">F8</f>
        <v>365</v>
      </c>
      <c r="I51" s="1900" t="s">
        <v>1540</v>
      </c>
      <c r="J51" s="1901">
        <f>IF(J49="",J50,J49+J50-YEAR('数据-取费表'!B2))</f>
        <v>60</v>
      </c>
      <c r="K51" s="1902" t="s">
        <v>1541</v>
      </c>
      <c r="L51" s="1903">
        <f ca="1">ROUND(-PV(INDIRECT("'数据-取费表'!h"&amp;$G$1),L48,(C39-C13*C76),0),0)</f>
        <v>-7585</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f ca="1">J53</f>
        <v>38.89</v>
      </c>
      <c r="R52" s="1888" t="s">
        <v>1546</v>
      </c>
    </row>
    <row r="53" spans="1:18" s="1844" customFormat="1" ht="24.75" thickBot="1">
      <c r="A53" s="1407" t="s">
        <v>1137</v>
      </c>
      <c r="B53" s="1833" t="s">
        <v>1409</v>
      </c>
      <c r="C53" s="360">
        <f ca="1">ROUND(IF(F53="押一",C49/12*F11,IF(F53="押二",C49/12*2*F11,IF(F53="押三",C49/12*3*F11,C54*F11))),0)</f>
        <v>0</v>
      </c>
      <c r="D53" s="1826" t="s">
        <v>3029</v>
      </c>
      <c r="E53" s="357" t="s">
        <v>1410</v>
      </c>
      <c r="F53" s="1368"/>
      <c r="I53" s="1907" t="s">
        <v>1547</v>
      </c>
      <c r="J53" s="1908">
        <f ca="1">IF(M47="住宅",J51,IF(D1="——",MIN(J51,L48),IF(D1="在建（套用方法）",MIN(J51,L48-'数据-取费表'!B24),IF(D1="土地（套用方法）",MIN(J51,L48-'数据-取费表'!B20)))))</f>
        <v>38.89</v>
      </c>
      <c r="K53" s="3250" t="s">
        <v>1548</v>
      </c>
      <c r="L53" s="3251"/>
      <c r="O53" s="1886" t="s">
        <v>1046</v>
      </c>
      <c r="P53" s="1887" t="s">
        <v>1549</v>
      </c>
      <c r="Q53" s="1888">
        <f ca="1">Q47+Q48</f>
        <v>-794</v>
      </c>
      <c r="R53" s="1888" t="s">
        <v>1047</v>
      </c>
    </row>
    <row r="54" spans="1:18" s="1844" customFormat="1" ht="13.5" thickBot="1">
      <c r="A54" s="1408"/>
      <c r="B54" s="1827" t="s">
        <v>1388</v>
      </c>
      <c r="C54" s="1180"/>
      <c r="D54" s="1826"/>
      <c r="E54" s="295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2954"/>
      <c r="F55" s="1909"/>
      <c r="I55" s="1912" t="s">
        <v>1551</v>
      </c>
      <c r="J55" s="1913">
        <f ca="1">ROUND(IF(J47="钢混",J57/J50,1-(1-2%)*(J50-J57)/J50),3)</f>
        <v>0.35</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3778</v>
      </c>
      <c r="D56" s="1916"/>
      <c r="E56" s="1917"/>
      <c r="F56" s="1909"/>
      <c r="I56" s="1918" t="s">
        <v>1554</v>
      </c>
      <c r="J56" s="1919"/>
      <c r="K56" s="1889" t="s">
        <v>1555</v>
      </c>
      <c r="L56" s="1892" t="str">
        <f ca="1">IF(L48&lt;J51,"——",L48-J53)</f>
        <v>——</v>
      </c>
      <c r="O56" s="1886" t="s">
        <v>1040</v>
      </c>
      <c r="P56" s="1887" t="s">
        <v>1528</v>
      </c>
      <c r="Q56" s="1888">
        <f ca="1">C40+J29</f>
        <v>-2305</v>
      </c>
      <c r="R56" s="1888" t="s">
        <v>1529</v>
      </c>
    </row>
    <row r="57" spans="1:18" s="1844" customFormat="1" ht="24.75" thickBot="1">
      <c r="A57" s="1920"/>
      <c r="B57" s="1171" t="s">
        <v>1478</v>
      </c>
      <c r="C57" s="281">
        <f ca="1">C29</f>
        <v>3778</v>
      </c>
      <c r="D57" s="1921"/>
      <c r="E57" s="1922"/>
      <c r="F57" s="1923"/>
      <c r="I57" s="1924" t="s">
        <v>1556</v>
      </c>
      <c r="J57" s="1925">
        <f ca="1">IF(OR(M47="住宅",J51&lt;L48,J56="是"),"——",J51-L48)</f>
        <v>21.009999999999998</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95</v>
      </c>
      <c r="D58" s="1181" t="s">
        <v>1425</v>
      </c>
      <c r="E58" s="1182"/>
      <c r="F58" s="1183"/>
      <c r="I58" s="1924" t="s">
        <v>1560</v>
      </c>
      <c r="J58" s="1926">
        <f ca="1">IF(J55&lt;0.4,0.4,J55)</f>
        <v>0.4</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32.799999999999997</v>
      </c>
      <c r="D59" s="1184" t="s">
        <v>1430</v>
      </c>
      <c r="E59" s="1185" t="s">
        <v>1431</v>
      </c>
      <c r="F59" s="367" t="str">
        <f ca="1">IF(项目基本情况!B11="企业","",IF(INDIRECT("'数据-取费表'!c"&amp;$G$1)="住宅",5%,IF(F49*F50*F51/12/(1+'数据-取费表'!C42)&gt;20000,12%,7%)))</f>
        <v/>
      </c>
      <c r="I59" s="1924" t="s">
        <v>1563</v>
      </c>
      <c r="J59" s="1925">
        <f ca="1">IF(OR(M47="住宅",J51&lt;L48,J56="是"),"——",ROUND(C29*J58,0))</f>
        <v>1511</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5.6000000000000001E-2</v>
      </c>
      <c r="I60" s="1927" t="s">
        <v>1565</v>
      </c>
      <c r="J60" s="1928">
        <f ca="1">IF(OR(M47="住宅",J51&lt;L48,J56="是"),"0",ROUND(J59/(1+J52)^J53,0))</f>
        <v>1511</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1437</v>
      </c>
      <c r="C61" s="24">
        <f ca="1">IF(项目基本情况!B11="自然人","——",IF(D61="按租金收入计税",ROUND(C48*F61,2),IF(D61="按房产原值计税",ROUND(C57*F61*0.7,2),INDIRECT("'数据-取费表'!Aj"&amp;$G$1))))</f>
        <v>31.74</v>
      </c>
      <c r="D61" s="1830" t="s">
        <v>1438</v>
      </c>
      <c r="E61" s="1171" t="s">
        <v>1422</v>
      </c>
      <c r="F61" s="366">
        <f t="shared" si="0"/>
        <v>1.2E-2</v>
      </c>
      <c r="I61" s="1930"/>
      <c r="J61" s="1930"/>
      <c r="K61" s="1930"/>
      <c r="L61" s="1930"/>
      <c r="O61" s="1896" t="s">
        <v>1045</v>
      </c>
      <c r="P61" s="1887" t="str">
        <f>K59</f>
        <v>续建工期及建筑物耐用年限下的土地年期修正系数Kn</v>
      </c>
      <c r="Q61" s="1888" t="e">
        <f ca="1">L59</f>
        <v>#DIV/0!</v>
      </c>
      <c r="R61" s="1888" t="s">
        <v>1569</v>
      </c>
    </row>
    <row r="62" spans="1:18" s="1844" customFormat="1" ht="13.5" thickBot="1">
      <c r="A62" s="1203" t="s">
        <v>1495</v>
      </c>
      <c r="B62" s="1170" t="s">
        <v>1441</v>
      </c>
      <c r="C62" s="25">
        <f ca="1">IF(项目基本情况!B11="自然人","——",ROUND(F62*F63/10000,2))</f>
        <v>1.08</v>
      </c>
      <c r="D62" s="1186" t="s">
        <v>1442</v>
      </c>
      <c r="E62" s="1171" t="s">
        <v>1443</v>
      </c>
      <c r="F62" s="370">
        <f t="shared" si="0"/>
        <v>4</v>
      </c>
      <c r="I62" s="1931" t="s">
        <v>1570</v>
      </c>
      <c r="J62" s="1932" t="s">
        <v>1571</v>
      </c>
      <c r="K62" s="1932" t="s">
        <v>1572</v>
      </c>
      <c r="L62" s="1932" t="s">
        <v>1573</v>
      </c>
      <c r="M62" s="1933" t="s">
        <v>1574</v>
      </c>
      <c r="O62" s="1886" t="s">
        <v>1046</v>
      </c>
      <c r="P62" s="1887" t="s">
        <v>1549</v>
      </c>
      <c r="Q62" s="1888">
        <f ca="1">Q56+Q57</f>
        <v>-2305</v>
      </c>
      <c r="R62" s="1888" t="s">
        <v>1047</v>
      </c>
    </row>
    <row r="63" spans="1:18" s="1844" customFormat="1" ht="13.5" thickBot="1">
      <c r="A63" s="371"/>
      <c r="B63" s="1177"/>
      <c r="C63" s="29"/>
      <c r="D63" s="1187"/>
      <c r="E63" s="1171" t="s">
        <v>1447</v>
      </c>
      <c r="F63" s="347">
        <f t="shared" ca="1" si="0"/>
        <v>2689.28</v>
      </c>
      <c r="I63" s="1931" t="s">
        <v>1576</v>
      </c>
      <c r="J63" s="1932">
        <v>70</v>
      </c>
      <c r="K63" s="1932">
        <v>50</v>
      </c>
      <c r="L63" s="1932">
        <v>80</v>
      </c>
      <c r="M63" s="1934">
        <v>0.02</v>
      </c>
      <c r="O63" s="1871" t="s">
        <v>1577</v>
      </c>
      <c r="P63" s="1841"/>
      <c r="Q63" s="1841"/>
      <c r="R63" s="1841"/>
    </row>
    <row r="64" spans="1:18" s="1844" customFormat="1" ht="13.5" thickBot="1">
      <c r="A64" s="1203" t="s">
        <v>1039</v>
      </c>
      <c r="B64" s="1171" t="s">
        <v>1449</v>
      </c>
      <c r="C64" s="24">
        <f ca="1">ROUND(C57*F64,1)</f>
        <v>56.7</v>
      </c>
      <c r="D64" s="1185" t="s">
        <v>1482</v>
      </c>
      <c r="E64" s="1171" t="s">
        <v>1422</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5.7</v>
      </c>
      <c r="D65" s="1185" t="s">
        <v>1454</v>
      </c>
      <c r="E65" s="1171" t="s">
        <v>1422</v>
      </c>
      <c r="F65" s="375">
        <f t="shared" ca="1" si="0"/>
        <v>1.5E-3</v>
      </c>
      <c r="I65" s="1931" t="s">
        <v>1579</v>
      </c>
      <c r="J65" s="1932">
        <v>40</v>
      </c>
      <c r="K65" s="1932">
        <v>30</v>
      </c>
      <c r="L65" s="1932">
        <v>50</v>
      </c>
      <c r="M65" s="1934">
        <v>0.02</v>
      </c>
      <c r="O65" s="1886" t="s">
        <v>1040</v>
      </c>
      <c r="P65" s="1887" t="s">
        <v>1528</v>
      </c>
      <c r="Q65" s="1888">
        <f ca="1">C40+J29</f>
        <v>-2305</v>
      </c>
      <c r="R65" s="1888" t="s">
        <v>1529</v>
      </c>
    </row>
    <row r="66" spans="1:18" s="1844" customFormat="1" ht="16.5" thickBot="1">
      <c r="A66" s="1203" t="s">
        <v>1504</v>
      </c>
      <c r="B66" s="1171" t="s">
        <v>1439</v>
      </c>
      <c r="C66" s="24">
        <f ca="1">ROUND(C48*F66,1)</f>
        <v>0</v>
      </c>
      <c r="D66" s="1185" t="s">
        <v>1459</v>
      </c>
      <c r="E66" s="1171" t="s">
        <v>1422</v>
      </c>
      <c r="F66" s="356">
        <f t="shared" ca="1" si="0"/>
        <v>0.01</v>
      </c>
      <c r="O66" s="1886" t="s">
        <v>1041</v>
      </c>
      <c r="P66" s="1887" t="s">
        <v>1558</v>
      </c>
      <c r="Q66" s="1888">
        <f ca="1">L60</f>
        <v>0</v>
      </c>
      <c r="R66" s="1888" t="s">
        <v>1581</v>
      </c>
    </row>
    <row r="67" spans="1:18" s="1844" customFormat="1" ht="16.5" thickBot="1">
      <c r="A67" s="1178" t="s">
        <v>1031</v>
      </c>
      <c r="B67" s="1188" t="s">
        <v>1463</v>
      </c>
      <c r="C67" s="360">
        <f ca="1">C48-C58</f>
        <v>-95</v>
      </c>
      <c r="D67" s="1184" t="s">
        <v>1464</v>
      </c>
      <c r="E67" s="1189"/>
      <c r="F67" s="1190"/>
      <c r="O67" s="1896" t="s">
        <v>1042</v>
      </c>
      <c r="P67" s="1887" t="s">
        <v>1562</v>
      </c>
      <c r="Q67" s="1935">
        <f ca="1">L51</f>
        <v>-7585</v>
      </c>
      <c r="R67" s="1888" t="s">
        <v>1582</v>
      </c>
    </row>
    <row r="68" spans="1:18" s="1844" customFormat="1" ht="16.5" thickBot="1">
      <c r="A68" s="1168" t="s">
        <v>1032</v>
      </c>
      <c r="B68" s="1169" t="s">
        <v>1485</v>
      </c>
      <c r="C68" s="345">
        <f ca="1">ROUND(C67*(1-((1+F70)/(1+F68))^F69)/(F68-F70),0)</f>
        <v>-1512</v>
      </c>
      <c r="D68" s="1186" t="s">
        <v>1469</v>
      </c>
      <c r="E68" s="1171" t="s">
        <v>1470</v>
      </c>
      <c r="F68" s="356">
        <f ca="1">F40</f>
        <v>5.5E-2</v>
      </c>
      <c r="O68" s="1896" t="s">
        <v>1043</v>
      </c>
      <c r="P68" s="1936" t="s">
        <v>1583</v>
      </c>
      <c r="Q68" s="1888">
        <f ca="1">ROUND(Q69-Q70*Q71,0)</f>
        <v>-416</v>
      </c>
      <c r="R68" s="1888" t="s">
        <v>1051</v>
      </c>
    </row>
    <row r="69" spans="1:18" s="1844" customFormat="1" ht="13.5" thickBot="1">
      <c r="A69" s="1172"/>
      <c r="B69" s="1173"/>
      <c r="C69" s="350"/>
      <c r="D69" s="1191" t="s">
        <v>1473</v>
      </c>
      <c r="E69" s="1171" t="s">
        <v>1474</v>
      </c>
      <c r="F69" s="378">
        <f ca="1">F41</f>
        <v>38.89</v>
      </c>
      <c r="O69" s="1896" t="s">
        <v>1048</v>
      </c>
      <c r="P69" s="1936" t="s">
        <v>1584</v>
      </c>
      <c r="Q69" s="1888">
        <f ca="1">C39</f>
        <v>-95</v>
      </c>
      <c r="R69" s="1888" t="s">
        <v>1529</v>
      </c>
    </row>
    <row r="70" spans="1:18" s="1844" customFormat="1" ht="13.5" thickBot="1">
      <c r="A70" s="1175"/>
      <c r="B70" s="1176"/>
      <c r="C70" s="354"/>
      <c r="D70" s="1187"/>
      <c r="E70" s="1171" t="s">
        <v>1477</v>
      </c>
      <c r="F70" s="1277"/>
      <c r="O70" s="1896" t="s">
        <v>1049</v>
      </c>
      <c r="P70" s="1936" t="s">
        <v>1585</v>
      </c>
      <c r="Q70" s="1888">
        <f ca="1">C13</f>
        <v>3778</v>
      </c>
      <c r="R70" s="1888" t="s">
        <v>1529</v>
      </c>
    </row>
    <row r="71" spans="1:18" s="1844" customFormat="1" ht="13.5" thickBot="1">
      <c r="A71" s="1192" t="s">
        <v>1033</v>
      </c>
      <c r="B71" s="1193" t="s">
        <v>1487</v>
      </c>
      <c r="C71" s="381">
        <f ca="1">ROUND(C68*10000/F71,0)</f>
        <v>-2664</v>
      </c>
      <c r="D71" s="1194" t="s">
        <v>1488</v>
      </c>
      <c r="E71" s="1195" t="s">
        <v>1489</v>
      </c>
      <c r="F71" s="384">
        <f ca="1">F43</f>
        <v>5676</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续建工期及建筑物耐用年限下的土地年期修正系数Kn</v>
      </c>
      <c r="Q74" s="1888" t="e">
        <f ca="1">L59</f>
        <v>#DIV/0!</v>
      </c>
      <c r="R74" s="1888" t="s">
        <v>1569</v>
      </c>
    </row>
    <row r="75" spans="1:18" ht="13.5" thickBot="1">
      <c r="A75" s="1844"/>
      <c r="B75" s="385" t="s">
        <v>1506</v>
      </c>
      <c r="C75" s="386">
        <f ca="1">ROUND(C13*C76,0)</f>
        <v>321</v>
      </c>
      <c r="D75" s="1844"/>
      <c r="E75" s="1844"/>
      <c r="F75" s="1844"/>
      <c r="K75" s="1870"/>
      <c r="L75" s="1844"/>
      <c r="O75" s="1886" t="s">
        <v>1046</v>
      </c>
      <c r="P75" s="1887" t="s">
        <v>1549</v>
      </c>
      <c r="Q75" s="1888">
        <f ca="1">Q65+Q66</f>
        <v>-2305</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4.3789999999999996</v>
      </c>
    </row>
    <row r="80" spans="1:18">
      <c r="B80" s="385" t="s">
        <v>1511</v>
      </c>
      <c r="C80" s="317">
        <f ca="1">ROUND(C75/C39,3)</f>
        <v>-3.379</v>
      </c>
    </row>
    <row r="81" spans="2:3">
      <c r="B81" s="313" t="s">
        <v>1512</v>
      </c>
      <c r="C81" s="281"/>
    </row>
    <row r="82" spans="2:3">
      <c r="B82" s="316" t="s">
        <v>1513</v>
      </c>
      <c r="C82" s="318">
        <f ca="1">1-C83</f>
        <v>2.6390000000000002</v>
      </c>
    </row>
    <row r="83" spans="2:3">
      <c r="B83" s="316" t="s">
        <v>1514</v>
      </c>
      <c r="C83" s="317">
        <f ca="1">ROUND(C13/C40,3)</f>
        <v>-1.639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48" sqref="J48"/>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3113</v>
      </c>
      <c r="D1" s="1822" t="s">
        <v>3114</v>
      </c>
      <c r="E1" s="1823" t="s">
        <v>1387</v>
      </c>
      <c r="F1" s="1285">
        <f ca="1">J53</f>
        <v>38.89</v>
      </c>
      <c r="G1" s="1838">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-1279</v>
      </c>
      <c r="C2" s="1847" t="s">
        <v>1516</v>
      </c>
      <c r="D2" s="1847"/>
      <c r="E2" s="1848"/>
      <c r="F2" s="1849"/>
      <c r="G2" s="1850"/>
      <c r="H2" s="1842"/>
      <c r="I2" s="1842"/>
      <c r="J2" s="1842"/>
      <c r="K2" s="1843"/>
      <c r="L2" s="1842"/>
      <c r="M2" s="1842"/>
    </row>
    <row r="3" spans="1:37" ht="18" customHeight="1" thickBot="1">
      <c r="A3" s="1851" t="s">
        <v>1517</v>
      </c>
      <c r="B3" s="1852">
        <f ca="1">IF(ISERROR(B2*10000/F43),0,ROUND(B2*10000/F43,0))</f>
        <v>-1400</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0</v>
      </c>
      <c r="D5" s="1824" t="s">
        <v>1402</v>
      </c>
      <c r="E5" s="1295"/>
      <c r="F5" s="1296"/>
      <c r="G5" s="1853"/>
      <c r="H5" s="343">
        <v>1</v>
      </c>
      <c r="I5" s="344" t="s">
        <v>1401</v>
      </c>
      <c r="J5" s="1294">
        <f ca="1">J6+J10+J12</f>
        <v>0</v>
      </c>
      <c r="K5" s="1824" t="s">
        <v>1402</v>
      </c>
      <c r="L5" s="1295"/>
      <c r="M5" s="1296"/>
    </row>
    <row r="6" spans="1:37" ht="18" customHeight="1">
      <c r="A6" s="1293" t="s">
        <v>1035</v>
      </c>
      <c r="B6" s="3252" t="s">
        <v>1403</v>
      </c>
      <c r="C6" s="1298">
        <f ca="1">ROUND(F6*F8*F7*(1-F9)/10000,0)</f>
        <v>0</v>
      </c>
      <c r="D6" s="163" t="s">
        <v>3021</v>
      </c>
      <c r="E6" s="346" t="s">
        <v>1405</v>
      </c>
      <c r="F6" s="347">
        <f ca="1">INDIRECT("'数据-取费表'!u"&amp;$G$1)</f>
        <v>0</v>
      </c>
      <c r="G6" s="1853"/>
      <c r="H6" s="1293" t="s">
        <v>1035</v>
      </c>
      <c r="I6" s="3252" t="s">
        <v>1403</v>
      </c>
      <c r="J6" s="345">
        <f ca="1">ROUND(M6*M8*M7*(1-M9)/10000,0)</f>
        <v>0</v>
      </c>
      <c r="K6" s="163" t="s">
        <v>3020</v>
      </c>
      <c r="L6" s="346" t="s">
        <v>1405</v>
      </c>
      <c r="M6" s="347">
        <f ca="1">INDIRECT("'数据-取费表'!z"&amp;$G$1)</f>
        <v>0</v>
      </c>
    </row>
    <row r="7" spans="1:37" ht="18" customHeight="1">
      <c r="A7" s="1297"/>
      <c r="B7" s="3253"/>
      <c r="C7" s="1299"/>
      <c r="D7" s="351"/>
      <c r="E7" s="2953" t="s">
        <v>1406</v>
      </c>
      <c r="F7" s="347">
        <f ca="1">IF(INDIRECT("'数据-取费表'!ah"&amp;$G$1)="",INDIRECT("'数据-取费表'!k"&amp;$G$1),INDIRECT("'数据-取费表'!ah"&amp;$G$1))</f>
        <v>9137</v>
      </c>
      <c r="G7" s="1853"/>
      <c r="H7" s="348"/>
      <c r="I7" s="3253"/>
      <c r="J7" s="350"/>
      <c r="K7" s="351"/>
      <c r="L7" s="346" t="s">
        <v>1406</v>
      </c>
      <c r="M7" s="347">
        <f ca="1">F7</f>
        <v>9137</v>
      </c>
    </row>
    <row r="8" spans="1:37" ht="18" customHeight="1">
      <c r="A8" s="348"/>
      <c r="B8" s="3253"/>
      <c r="C8" s="350"/>
      <c r="D8" s="351"/>
      <c r="E8" s="346" t="s">
        <v>1407</v>
      </c>
      <c r="F8" s="347">
        <f ca="1">INDIRECT("'数据-取费表'!ai"&amp;$G$1)</f>
        <v>365</v>
      </c>
      <c r="G8" s="1853"/>
      <c r="H8" s="348"/>
      <c r="I8" s="3253"/>
      <c r="J8" s="350"/>
      <c r="K8" s="351"/>
      <c r="L8" s="346" t="s">
        <v>1407</v>
      </c>
      <c r="M8" s="347">
        <f ca="1">INDIRECT("'数据-取费表'!ai"&amp;$G$1)</f>
        <v>365</v>
      </c>
    </row>
    <row r="9" spans="1:37" ht="18" customHeight="1">
      <c r="A9" s="348"/>
      <c r="B9" s="3254"/>
      <c r="C9" s="350"/>
      <c r="D9" s="351"/>
      <c r="E9" s="346" t="s">
        <v>1408</v>
      </c>
      <c r="F9" s="356">
        <f ca="1">INDIRECT("'数据-取费表'!w"&amp;$G$1)</f>
        <v>0.1</v>
      </c>
      <c r="G9" s="1853"/>
      <c r="H9" s="348"/>
      <c r="I9" s="3254"/>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3029</v>
      </c>
      <c r="E10" s="357" t="s">
        <v>1410</v>
      </c>
      <c r="F10" s="1368" t="s">
        <v>3115</v>
      </c>
      <c r="G10" s="1853"/>
      <c r="H10" s="1293" t="s">
        <v>1039</v>
      </c>
      <c r="I10" s="1825" t="s">
        <v>1409</v>
      </c>
      <c r="J10" s="345">
        <f ca="1">ROUND(IF(M10="押一",J6/12*M11,IF(M10="押二",J6/12*2*M11,IF(M10="押三",J6/12*3*M11,J11*M11))),0)</f>
        <v>0</v>
      </c>
      <c r="K10" s="1826" t="s">
        <v>3029</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6083</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4742</v>
      </c>
      <c r="D14" s="2956" t="s">
        <v>1418</v>
      </c>
      <c r="E14" s="2955"/>
      <c r="F14" s="363"/>
      <c r="G14" s="1853"/>
      <c r="H14" s="1203" t="s">
        <v>1035</v>
      </c>
      <c r="I14" s="346" t="s">
        <v>1419</v>
      </c>
      <c r="J14" s="24">
        <f ca="1">C29</f>
        <v>6083</v>
      </c>
      <c r="K14" s="2952"/>
      <c r="L14" s="981"/>
      <c r="M14" s="982"/>
    </row>
    <row r="15" spans="1:37" s="1860" customFormat="1" ht="18" customHeight="1" thickBot="1">
      <c r="A15" s="1203" t="s">
        <v>1036</v>
      </c>
      <c r="B15" s="346" t="s">
        <v>1420</v>
      </c>
      <c r="C15" s="24">
        <f ca="1">ROUND(C14*F15,0)</f>
        <v>142</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144</v>
      </c>
      <c r="K16" s="1339" t="s">
        <v>1425</v>
      </c>
      <c r="L16" s="2958"/>
      <c r="M16" s="1296"/>
    </row>
    <row r="17" spans="1:37" s="1860" customFormat="1" ht="18" customHeight="1">
      <c r="A17" s="1203" t="s">
        <v>1390</v>
      </c>
      <c r="B17" s="346" t="s">
        <v>1426</v>
      </c>
      <c r="C17" s="24">
        <f ca="1">ROUND(F17*(F43+INDIRECT("'数据-取费表'!S"&amp;$G$1))/10000,0)</f>
        <v>190</v>
      </c>
      <c r="D17" s="346" t="s">
        <v>1427</v>
      </c>
      <c r="E17" s="346" t="s">
        <v>1428</v>
      </c>
      <c r="F17" s="26">
        <f>'数据-取费表'!B35</f>
        <v>200</v>
      </c>
      <c r="G17" s="1856"/>
      <c r="H17" s="1203" t="s">
        <v>1035</v>
      </c>
      <c r="I17" s="346" t="s">
        <v>1429</v>
      </c>
      <c r="J17" s="24">
        <f ca="1">ROUND(IF(项目基本情况!B11="自然人",J5*M17,J18+J19+J20),1)</f>
        <v>52.8</v>
      </c>
      <c r="K17" s="2956" t="s">
        <v>1430</v>
      </c>
      <c r="L17" s="2957"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71</v>
      </c>
      <c r="D18" s="346" t="s">
        <v>1421</v>
      </c>
      <c r="E18" s="346" t="s">
        <v>1422</v>
      </c>
      <c r="F18" s="366">
        <f>'数据-取费表'!B36</f>
        <v>1.4999999999999999E-2</v>
      </c>
      <c r="G18" s="1856"/>
      <c r="H18" s="1203" t="s">
        <v>1034</v>
      </c>
      <c r="I18" s="346" t="s">
        <v>1433</v>
      </c>
      <c r="J18" s="24">
        <f ca="1">ROUND(J5*M18/(1+'数据-取费表'!C42),2)</f>
        <v>0</v>
      </c>
      <c r="K18" s="2957"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5145</v>
      </c>
      <c r="D19" s="139" t="s">
        <v>1436</v>
      </c>
      <c r="E19" s="2951"/>
      <c r="F19" s="26"/>
      <c r="G19" s="1853"/>
      <c r="H19" s="1203" t="s">
        <v>1036</v>
      </c>
      <c r="I19" s="346" t="s">
        <v>1437</v>
      </c>
      <c r="J19" s="24">
        <f ca="1">IF(K19="按租金收入计税",ROUND(J5*M19,2),ROUND(C29*M19*0.7,2))</f>
        <v>51.1</v>
      </c>
      <c r="K19" s="1830" t="s">
        <v>1438</v>
      </c>
      <c r="L19" s="346" t="s">
        <v>1422</v>
      </c>
      <c r="M19" s="366">
        <f>IF(K19="按租金收入计税",'数据-取费表'!B51,'数据-取费表'!B50)</f>
        <v>1.2E-2</v>
      </c>
    </row>
    <row r="20" spans="1:37" s="1860" customFormat="1" ht="18" customHeight="1">
      <c r="A20" s="1203" t="s">
        <v>1039</v>
      </c>
      <c r="B20" s="346" t="s">
        <v>1439</v>
      </c>
      <c r="C20" s="24">
        <f ca="1">ROUND(C19*F20,0)</f>
        <v>77</v>
      </c>
      <c r="D20" s="368" t="s">
        <v>1440</v>
      </c>
      <c r="E20" s="346" t="s">
        <v>1422</v>
      </c>
      <c r="F20" s="366">
        <f>'数据-取费表'!B37</f>
        <v>1.4999999999999999E-2</v>
      </c>
      <c r="G20" s="1856"/>
      <c r="H20" s="1203" t="s">
        <v>1389</v>
      </c>
      <c r="I20" s="163" t="s">
        <v>1441</v>
      </c>
      <c r="J20" s="25">
        <f ca="1">ROUND(M20*M21/10000,2)</f>
        <v>1.73</v>
      </c>
      <c r="K20" s="369" t="s">
        <v>1442</v>
      </c>
      <c r="L20" s="346" t="s">
        <v>1443</v>
      </c>
      <c r="M20" s="370">
        <f>'数据-取费表'!B52</f>
        <v>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0.02</v>
      </c>
      <c r="G21" s="1856"/>
      <c r="H21" s="371"/>
      <c r="I21" s="355"/>
      <c r="J21" s="29"/>
      <c r="K21" s="372"/>
      <c r="L21" s="346" t="s">
        <v>1447</v>
      </c>
      <c r="M21" s="347">
        <f ca="1">INDIRECT("'数据-取费表'!r"&amp;$G$1)</f>
        <v>4329.0999999999995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2951"/>
      <c r="F22" s="26"/>
      <c r="G22" s="1853"/>
      <c r="H22" s="1203" t="s">
        <v>1039</v>
      </c>
      <c r="I22" s="346" t="s">
        <v>1449</v>
      </c>
      <c r="J22" s="24">
        <f ca="1">ROUND(J14*M22,1)</f>
        <v>91.2</v>
      </c>
      <c r="K22" s="2957"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248</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ROUND(J13*M23,1)</f>
        <v>0</v>
      </c>
      <c r="K23" s="2957" t="s">
        <v>1454</v>
      </c>
      <c r="L23" s="346" t="s">
        <v>1422</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1392</v>
      </c>
      <c r="I24" s="1342" t="s">
        <v>1439</v>
      </c>
      <c r="J24" s="1343">
        <f ca="1">ROUND(J5*M24,1)</f>
        <v>0</v>
      </c>
      <c r="K24" s="1344" t="s">
        <v>1459</v>
      </c>
      <c r="L24" s="1342" t="s">
        <v>1422</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2951"/>
      <c r="F25" s="26"/>
      <c r="G25" s="1853"/>
      <c r="H25" s="1331" t="s">
        <v>1031</v>
      </c>
      <c r="I25" s="1346" t="s">
        <v>1463</v>
      </c>
      <c r="J25" s="354">
        <f ca="1">J5-J16</f>
        <v>-144</v>
      </c>
      <c r="K25" s="1347" t="s">
        <v>1464</v>
      </c>
      <c r="L25" s="1348"/>
      <c r="M25" s="1349"/>
    </row>
    <row r="26" spans="1:37">
      <c r="A26" s="1203" t="s">
        <v>1034</v>
      </c>
      <c r="B26" s="346" t="s">
        <v>1465</v>
      </c>
      <c r="C26" s="24">
        <f ca="1">ROUND((C19+C20)*F26,0)</f>
        <v>157</v>
      </c>
      <c r="D26" s="368" t="s">
        <v>1466</v>
      </c>
      <c r="E26" s="357" t="s">
        <v>1467</v>
      </c>
      <c r="F26" s="356">
        <f ca="1">INDIRECT("'数据-取费表'!q"&amp;$G$1)</f>
        <v>0.03</v>
      </c>
      <c r="G26" s="1853"/>
      <c r="H26" s="343" t="s">
        <v>1032</v>
      </c>
      <c r="I26" s="344" t="s">
        <v>1468</v>
      </c>
      <c r="J26" s="345">
        <f ca="1">IF(J5&lt;&gt;0,ROUND(J25*(1-((1+M28)/(1+M26))^M27)/(M26-M28),0),0)</f>
        <v>0</v>
      </c>
      <c r="K26" s="369" t="s">
        <v>1469</v>
      </c>
      <c r="L26" s="346" t="s">
        <v>1470</v>
      </c>
      <c r="M26" s="356">
        <f ca="1">INDIRECT("'数据-取费表'!I"&amp;$G$1)</f>
        <v>5.5E-2</v>
      </c>
    </row>
    <row r="27" spans="1:37" ht="18" customHeight="1">
      <c r="A27" s="1203" t="s">
        <v>1036</v>
      </c>
      <c r="B27" s="346" t="s">
        <v>1471</v>
      </c>
      <c r="C27" s="24">
        <f ca="1">ROUND(F21*F26,4)</f>
        <v>5.9999999999999995E-4</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6083</v>
      </c>
      <c r="D29" s="1344"/>
      <c r="E29" s="1342"/>
      <c r="F29" s="1345"/>
      <c r="G29" s="1856"/>
      <c r="H29" s="379" t="s">
        <v>1033</v>
      </c>
      <c r="I29" s="380" t="s">
        <v>1479</v>
      </c>
      <c r="J29" s="381">
        <f ca="1">ROUND(J26/(1+F40)^F41,0)</f>
        <v>0</v>
      </c>
      <c r="K29" s="382" t="s">
        <v>1480</v>
      </c>
      <c r="L29" s="383"/>
      <c r="M29" s="384">
        <f ca="1">INDIRECT("'数据-取费表'!k"&amp;$G$1)</f>
        <v>9137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153</v>
      </c>
      <c r="D30" s="1339" t="s">
        <v>1425</v>
      </c>
      <c r="E30" s="2958"/>
      <c r="F30" s="1296"/>
      <c r="G30" s="1853"/>
      <c r="H30" s="744"/>
      <c r="I30" s="745"/>
      <c r="J30" s="746"/>
      <c r="K30" s="747"/>
      <c r="L30" s="748"/>
      <c r="M30" s="749"/>
    </row>
    <row r="31" spans="1:37" ht="18" customHeight="1">
      <c r="A31" s="1203" t="s">
        <v>1035</v>
      </c>
      <c r="B31" s="346" t="s">
        <v>1429</v>
      </c>
      <c r="C31" s="24">
        <f ca="1">ROUND(IF(项目基本情况!B11="自然人",C5*F31,C32+C33+C34),1)</f>
        <v>52.8</v>
      </c>
      <c r="D31" s="2956" t="s">
        <v>1430</v>
      </c>
      <c r="E31" s="2957"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0</v>
      </c>
      <c r="D32" s="2957" t="s">
        <v>1434</v>
      </c>
      <c r="E32" s="346" t="s">
        <v>1422</v>
      </c>
      <c r="F32" s="376">
        <f>'数据-取费表'!B41</f>
        <v>5.6000000000000001E-2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51.1</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IF(项目基本情况!B11="自然人","——",ROUND(F34*F35/10000,2))</f>
        <v>1.73</v>
      </c>
      <c r="D34" s="369" t="s">
        <v>1442</v>
      </c>
      <c r="E34" s="346" t="s">
        <v>1443</v>
      </c>
      <c r="F34" s="370">
        <f>'数据-取费表'!B52</f>
        <v>4</v>
      </c>
      <c r="G34" s="1853"/>
      <c r="H34" s="744"/>
      <c r="I34" s="1862"/>
      <c r="J34" s="1863"/>
      <c r="K34" s="1865"/>
      <c r="L34" s="1866"/>
      <c r="M34" s="1866"/>
    </row>
    <row r="35" spans="1:18" ht="18" customHeight="1">
      <c r="A35" s="1355"/>
      <c r="B35" s="1353"/>
      <c r="C35" s="29"/>
      <c r="D35" s="372"/>
      <c r="E35" s="346" t="s">
        <v>1447</v>
      </c>
      <c r="F35" s="347">
        <f ca="1">INDIRECT("'数据-取费表'!r"&amp;$G$1)</f>
        <v>4329.0999999999995</v>
      </c>
      <c r="G35" s="1853"/>
      <c r="H35" s="744"/>
      <c r="I35" s="1862"/>
      <c r="J35" s="1863"/>
      <c r="K35" s="1864"/>
      <c r="L35" s="1861"/>
      <c r="M35" s="1861"/>
    </row>
    <row r="36" spans="1:18" ht="18" customHeight="1">
      <c r="A36" s="1354" t="s">
        <v>1039</v>
      </c>
      <c r="B36" s="346" t="s">
        <v>1449</v>
      </c>
      <c r="C36" s="24">
        <f ca="1">ROUND(C29*F36,1)</f>
        <v>91.2</v>
      </c>
      <c r="D36" s="2957"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ROUND(C13*F37,1)</f>
        <v>9.1</v>
      </c>
      <c r="D37" s="2957" t="s">
        <v>1454</v>
      </c>
      <c r="E37" s="346" t="s">
        <v>1422</v>
      </c>
      <c r="F37" s="375">
        <f ca="1">INDIRECT("'数据-取费表'!Al"&amp;$G$1)</f>
        <v>1.5E-3</v>
      </c>
      <c r="G37" s="1853"/>
      <c r="H37" s="1861"/>
      <c r="I37" s="1862"/>
      <c r="J37" s="1863"/>
      <c r="K37" s="750"/>
      <c r="L37" s="1861"/>
      <c r="M37" s="1861"/>
    </row>
    <row r="38" spans="1:18" ht="18" customHeight="1" thickBot="1">
      <c r="A38" s="1341" t="s">
        <v>1392</v>
      </c>
      <c r="B38" s="1342" t="s">
        <v>1439</v>
      </c>
      <c r="C38" s="1343">
        <f ca="1">ROUND(C5*F38,1)</f>
        <v>0</v>
      </c>
      <c r="D38" s="1344" t="s">
        <v>1459</v>
      </c>
      <c r="E38" s="1342" t="s">
        <v>1422</v>
      </c>
      <c r="F38" s="1338">
        <f ca="1">INDIRECT("'数据-取费表'!Am"&amp;$G$1)</f>
        <v>0.01</v>
      </c>
      <c r="G38" s="1853"/>
      <c r="H38" s="1861"/>
      <c r="I38" s="1862"/>
      <c r="J38" s="1863"/>
      <c r="K38" s="1867"/>
      <c r="L38" s="1861"/>
      <c r="M38" s="1861"/>
    </row>
    <row r="39" spans="1:18" ht="24.6" customHeight="1" thickTop="1">
      <c r="A39" s="1331" t="s">
        <v>1031</v>
      </c>
      <c r="B39" s="1346" t="s">
        <v>1463</v>
      </c>
      <c r="C39" s="354">
        <f ca="1">C5-C30</f>
        <v>-153</v>
      </c>
      <c r="D39" s="1347" t="s">
        <v>1464</v>
      </c>
      <c r="E39" s="1348"/>
      <c r="F39" s="1349"/>
      <c r="G39" s="1853"/>
      <c r="H39" s="1861"/>
      <c r="I39" s="1862"/>
      <c r="J39" s="1863"/>
      <c r="K39" s="1867"/>
      <c r="L39" s="1861"/>
      <c r="M39" s="1861"/>
    </row>
    <row r="40" spans="1:18" ht="18" customHeight="1">
      <c r="A40" s="343" t="s">
        <v>1032</v>
      </c>
      <c r="B40" s="344" t="s">
        <v>1485</v>
      </c>
      <c r="C40" s="345">
        <f ca="1">ROUND(C39*(1-((1+F42)/(1+F40))^F41)/(F40-F42),0)</f>
        <v>-3712</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38.89</v>
      </c>
      <c r="G41" s="1853"/>
      <c r="H41" s="731"/>
      <c r="I41" s="1862"/>
      <c r="J41" s="1863"/>
      <c r="K41" s="750"/>
      <c r="L41" s="731"/>
      <c r="M41" s="731"/>
    </row>
    <row r="42" spans="1:18" ht="18" customHeight="1">
      <c r="A42" s="352"/>
      <c r="B42" s="353"/>
      <c r="C42" s="354"/>
      <c r="D42" s="372"/>
      <c r="E42" s="346" t="s">
        <v>1477</v>
      </c>
      <c r="F42" s="356">
        <f ca="1">INDIRECT("'数据-取费表'!v"&amp;$G$1)</f>
        <v>0.03</v>
      </c>
      <c r="G42" s="1853"/>
      <c r="H42" s="731"/>
      <c r="I42" s="1862"/>
      <c r="J42" s="1863"/>
      <c r="K42" s="750"/>
      <c r="L42" s="731"/>
      <c r="M42" s="731"/>
    </row>
    <row r="43" spans="1:18" ht="18" customHeight="1" thickBot="1">
      <c r="A43" s="379" t="s">
        <v>1033</v>
      </c>
      <c r="B43" s="380" t="s">
        <v>1487</v>
      </c>
      <c r="C43" s="381">
        <f ca="1">ROUND(C40*10000/F43,0)</f>
        <v>-4063</v>
      </c>
      <c r="D43" s="382" t="s">
        <v>1488</v>
      </c>
      <c r="E43" s="383" t="s">
        <v>1489</v>
      </c>
      <c r="F43" s="384">
        <f ca="1">INDIRECT("'数据-取费表'!k"&amp;$G$1)</f>
        <v>9137</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1277</v>
      </c>
      <c r="D46" s="1874" t="str">
        <f>C2</f>
        <v>万元</v>
      </c>
      <c r="E46" s="1868"/>
      <c r="F46" s="1868"/>
      <c r="I46" s="1875" t="s">
        <v>1521</v>
      </c>
      <c r="J46" s="1876"/>
      <c r="K46" s="1877"/>
      <c r="L46" s="1878">
        <f ca="1">IF(M47="住宅",0,IF(L48&gt;J51,L60,J60))</f>
        <v>2433</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3116</v>
      </c>
      <c r="K47" s="1884" t="s">
        <v>1527</v>
      </c>
      <c r="L47" s="1885">
        <f ca="1">INDIRECT("'数据-取费表'!d"&amp;$G$1)</f>
        <v>40</v>
      </c>
      <c r="M47" s="1840" t="str">
        <f>IF(ISNUMBER(FIND("住宅",C1)),"住宅","非住宅")</f>
        <v>非住宅</v>
      </c>
      <c r="O47" s="1886" t="s">
        <v>1040</v>
      </c>
      <c r="P47" s="1887" t="s">
        <v>1528</v>
      </c>
      <c r="Q47" s="1888">
        <f ca="1">C40+J29</f>
        <v>-3712</v>
      </c>
      <c r="R47" s="1888" t="s">
        <v>1529</v>
      </c>
    </row>
    <row r="48" spans="1:18" s="1844" customFormat="1" ht="28.5" thickBot="1">
      <c r="A48" s="1362" t="s">
        <v>1135</v>
      </c>
      <c r="B48" s="344" t="s">
        <v>1401</v>
      </c>
      <c r="C48" s="2950">
        <f ca="1">C49+C53+C55</f>
        <v>0</v>
      </c>
      <c r="D48" s="1364"/>
      <c r="E48" s="1365"/>
      <c r="F48" s="1183"/>
      <c r="G48" s="791"/>
      <c r="H48" s="792"/>
      <c r="I48" s="1889" t="s">
        <v>1530</v>
      </c>
      <c r="J48" s="1890" t="s">
        <v>3117</v>
      </c>
      <c r="K48" s="1891" t="s">
        <v>1531</v>
      </c>
      <c r="L48" s="1892">
        <f ca="1">INDIRECT("'数据-取费表'!f"&amp;$G$1)</f>
        <v>38.99</v>
      </c>
      <c r="O48" s="1886" t="s">
        <v>1041</v>
      </c>
      <c r="P48" s="1887" t="s">
        <v>1532</v>
      </c>
      <c r="Q48" s="1888">
        <f ca="1">J60</f>
        <v>2433</v>
      </c>
      <c r="R48" s="1888" t="s">
        <v>1533</v>
      </c>
    </row>
    <row r="49" spans="1:18" s="1844" customFormat="1" ht="13.5" thickBot="1">
      <c r="A49" s="1196" t="s">
        <v>1136</v>
      </c>
      <c r="B49" s="1831" t="s">
        <v>1490</v>
      </c>
      <c r="C49" s="1366">
        <f ca="1">ROUND(F49*F51*F50*(1-F52)/10000,0)</f>
        <v>0</v>
      </c>
      <c r="D49" s="1278" t="s">
        <v>3020</v>
      </c>
      <c r="E49" s="1832" t="s">
        <v>1491</v>
      </c>
      <c r="F49" s="1283"/>
      <c r="G49" s="1893"/>
      <c r="H49" s="792"/>
      <c r="I49" s="1889" t="s">
        <v>1534</v>
      </c>
      <c r="J49" s="1894"/>
      <c r="K49" s="1891" t="s">
        <v>1535</v>
      </c>
      <c r="L49" s="1895"/>
      <c r="O49" s="1896" t="s">
        <v>1042</v>
      </c>
      <c r="P49" s="1887" t="s">
        <v>1536</v>
      </c>
      <c r="Q49" s="1888">
        <f ca="1">C29</f>
        <v>6083</v>
      </c>
      <c r="R49" s="1888" t="s">
        <v>1529</v>
      </c>
    </row>
    <row r="50" spans="1:18" s="1844" customFormat="1" ht="13.5" thickBot="1">
      <c r="A50" s="1197"/>
      <c r="B50" s="1200"/>
      <c r="C50" s="1370"/>
      <c r="D50" s="1174"/>
      <c r="E50" s="1279" t="s">
        <v>1406</v>
      </c>
      <c r="F50" s="1280">
        <f ca="1">F7</f>
        <v>9137</v>
      </c>
      <c r="H50" s="792"/>
      <c r="I50" s="1889" t="s">
        <v>1537</v>
      </c>
      <c r="J50" s="1897">
        <f>SUMPRODUCT((I63:I65=J47)*(J62:L62=J48)*(J63:L65))</f>
        <v>60</v>
      </c>
      <c r="K50" s="1891" t="s">
        <v>1538</v>
      </c>
      <c r="L50" s="1895"/>
      <c r="M50" s="1898"/>
      <c r="O50" s="1896" t="s">
        <v>1043</v>
      </c>
      <c r="P50" s="1887" t="s">
        <v>1539</v>
      </c>
      <c r="Q50" s="1899">
        <f ca="1">J58</f>
        <v>0.4</v>
      </c>
      <c r="R50" s="1888"/>
    </row>
    <row r="51" spans="1:18" s="1844" customFormat="1" ht="13.5" thickBot="1">
      <c r="A51" s="1198"/>
      <c r="B51" s="1200"/>
      <c r="C51" s="1201"/>
      <c r="D51" s="1174"/>
      <c r="E51" s="1202" t="s">
        <v>1407</v>
      </c>
      <c r="F51" s="347">
        <f ca="1">F8</f>
        <v>365</v>
      </c>
      <c r="I51" s="1900" t="s">
        <v>1540</v>
      </c>
      <c r="J51" s="1901">
        <f>IF(J49="",J50,J49+J50-YEAR('数据-取费表'!B2))</f>
        <v>60</v>
      </c>
      <c r="K51" s="1902" t="s">
        <v>1541</v>
      </c>
      <c r="L51" s="1903">
        <f ca="1">ROUND(-PV(INDIRECT("'数据-取费表'!h"&amp;$G$1),L48,(C39-C13*C76),0),0)</f>
        <v>-12214</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f ca="1">J53</f>
        <v>38.89</v>
      </c>
      <c r="R52" s="1888" t="s">
        <v>1546</v>
      </c>
    </row>
    <row r="53" spans="1:18" s="1844" customFormat="1" ht="24.75" thickBot="1">
      <c r="A53" s="1407" t="s">
        <v>1137</v>
      </c>
      <c r="B53" s="1833" t="s">
        <v>1409</v>
      </c>
      <c r="C53" s="360">
        <f ca="1">ROUND(IF(F53="押一",C49/12*F11,IF(F53="押二",C49/12*2*F11,IF(F53="押三",C49/12*3*F11,C54*F11))),0)</f>
        <v>0</v>
      </c>
      <c r="D53" s="1826" t="s">
        <v>3029</v>
      </c>
      <c r="E53" s="357" t="s">
        <v>1410</v>
      </c>
      <c r="F53" s="1368"/>
      <c r="I53" s="1907" t="s">
        <v>1547</v>
      </c>
      <c r="J53" s="1908">
        <f ca="1">IF(M47="住宅",J51,IF(D1="——",MIN(J51,L48),IF(D1="在建（套用方法）",MIN(J51,L48-'数据-取费表'!B24),IF(D1="土地（套用方法）",MIN(J51,L48-'数据-取费表'!B20)))))</f>
        <v>38.89</v>
      </c>
      <c r="K53" s="3250" t="s">
        <v>1548</v>
      </c>
      <c r="L53" s="3251"/>
      <c r="O53" s="1886" t="s">
        <v>1046</v>
      </c>
      <c r="P53" s="1887" t="s">
        <v>1549</v>
      </c>
      <c r="Q53" s="1888">
        <f ca="1">Q47+Q48</f>
        <v>-1279</v>
      </c>
      <c r="R53" s="1888" t="s">
        <v>1047</v>
      </c>
    </row>
    <row r="54" spans="1:18" s="1844" customFormat="1" ht="13.5" thickBot="1">
      <c r="A54" s="1408"/>
      <c r="B54" s="1827" t="s">
        <v>1388</v>
      </c>
      <c r="C54" s="1180"/>
      <c r="D54" s="1826"/>
      <c r="E54" s="295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2954"/>
      <c r="F55" s="1909"/>
      <c r="I55" s="1912" t="s">
        <v>1551</v>
      </c>
      <c r="J55" s="1913">
        <f ca="1">ROUND(IF(J47="钢混",J57/J50,1-(1-2%)*(J50-J57)/J50),3)</f>
        <v>0.35</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6083</v>
      </c>
      <c r="D56" s="1916"/>
      <c r="E56" s="1917"/>
      <c r="F56" s="1909"/>
      <c r="I56" s="1918" t="s">
        <v>1554</v>
      </c>
      <c r="J56" s="1919"/>
      <c r="K56" s="1889" t="s">
        <v>1555</v>
      </c>
      <c r="L56" s="1892" t="str">
        <f ca="1">IF(L48&lt;J51,"——",L48-J53)</f>
        <v>——</v>
      </c>
      <c r="O56" s="1886" t="s">
        <v>1040</v>
      </c>
      <c r="P56" s="1887" t="s">
        <v>1528</v>
      </c>
      <c r="Q56" s="1888">
        <f ca="1">C40+J29</f>
        <v>-3712</v>
      </c>
      <c r="R56" s="1888" t="s">
        <v>1529</v>
      </c>
    </row>
    <row r="57" spans="1:18" s="1844" customFormat="1" ht="24.75" thickBot="1">
      <c r="A57" s="1920"/>
      <c r="B57" s="1171" t="s">
        <v>1478</v>
      </c>
      <c r="C57" s="281">
        <f ca="1">C29</f>
        <v>6083</v>
      </c>
      <c r="D57" s="1921"/>
      <c r="E57" s="1922"/>
      <c r="F57" s="1923"/>
      <c r="I57" s="1924" t="s">
        <v>1556</v>
      </c>
      <c r="J57" s="1925">
        <f ca="1">IF(OR(M47="住宅",J51&lt;L48,J56="是"),"——",J51-L48)</f>
        <v>21.009999999999998</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153</v>
      </c>
      <c r="D58" s="1181" t="s">
        <v>1425</v>
      </c>
      <c r="E58" s="1182"/>
      <c r="F58" s="1183"/>
      <c r="I58" s="1924" t="s">
        <v>1560</v>
      </c>
      <c r="J58" s="1926">
        <f ca="1">IF(J55&lt;0.4,0.4,J55)</f>
        <v>0.4</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52.8</v>
      </c>
      <c r="D59" s="1184" t="s">
        <v>1430</v>
      </c>
      <c r="E59" s="1185" t="s">
        <v>1431</v>
      </c>
      <c r="F59" s="367" t="str">
        <f ca="1">IF(项目基本情况!B11="企业","",IF(INDIRECT("'数据-取费表'!c"&amp;$G$1)="住宅",5%,IF(F49*F50*F51/12/(1+'数据-取费表'!C42)&gt;20000,12%,7%)))</f>
        <v/>
      </c>
      <c r="I59" s="1924" t="s">
        <v>1563</v>
      </c>
      <c r="J59" s="1925">
        <f ca="1">IF(OR(M47="住宅",J51&lt;L48,J56="是"),"——",ROUND(C29*J58,0))</f>
        <v>2433</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5.6000000000000001E-2</v>
      </c>
      <c r="I60" s="1927" t="s">
        <v>1565</v>
      </c>
      <c r="J60" s="1928">
        <f ca="1">IF(OR(M47="住宅",J51&lt;L48,J56="是"),"0",ROUND(J59/(1+J52)^J53,0))</f>
        <v>2433</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1437</v>
      </c>
      <c r="C61" s="24">
        <f ca="1">IF(项目基本情况!B11="自然人","——",IF(D61="按租金收入计税",ROUND(C48*F61,2),IF(D61="按房产原值计税",ROUND(C57*F61*0.7,2),INDIRECT("'数据-取费表'!Aj"&amp;$G$1))))</f>
        <v>51.1</v>
      </c>
      <c r="D61" s="1830" t="s">
        <v>1438</v>
      </c>
      <c r="E61" s="1171" t="s">
        <v>1422</v>
      </c>
      <c r="F61" s="366">
        <f t="shared" si="0"/>
        <v>1.2E-2</v>
      </c>
      <c r="I61" s="1930"/>
      <c r="J61" s="1930"/>
      <c r="K61" s="1930"/>
      <c r="L61" s="1930"/>
      <c r="O61" s="1896" t="s">
        <v>1045</v>
      </c>
      <c r="P61" s="1887" t="str">
        <f>K59</f>
        <v>续建工期及建筑物耐用年限下的土地年期修正系数Kn</v>
      </c>
      <c r="Q61" s="1888" t="e">
        <f ca="1">L59</f>
        <v>#DIV/0!</v>
      </c>
      <c r="R61" s="1888" t="s">
        <v>1569</v>
      </c>
    </row>
    <row r="62" spans="1:18" s="1844" customFormat="1" ht="13.5" thickBot="1">
      <c r="A62" s="1203" t="s">
        <v>1495</v>
      </c>
      <c r="B62" s="1170" t="s">
        <v>1441</v>
      </c>
      <c r="C62" s="25">
        <f ca="1">IF(项目基本情况!B11="自然人","——",ROUND(F62*F63/10000,2))</f>
        <v>1.73</v>
      </c>
      <c r="D62" s="1186" t="s">
        <v>1442</v>
      </c>
      <c r="E62" s="1171" t="s">
        <v>1443</v>
      </c>
      <c r="F62" s="370">
        <f t="shared" si="0"/>
        <v>4</v>
      </c>
      <c r="I62" s="1931" t="s">
        <v>1570</v>
      </c>
      <c r="J62" s="1932" t="s">
        <v>1571</v>
      </c>
      <c r="K62" s="1932" t="s">
        <v>1572</v>
      </c>
      <c r="L62" s="1932" t="s">
        <v>1573</v>
      </c>
      <c r="M62" s="1933" t="s">
        <v>1574</v>
      </c>
      <c r="O62" s="1886" t="s">
        <v>1046</v>
      </c>
      <c r="P62" s="1887" t="s">
        <v>1549</v>
      </c>
      <c r="Q62" s="1888">
        <f ca="1">Q56+Q57</f>
        <v>-3712</v>
      </c>
      <c r="R62" s="1888" t="s">
        <v>1047</v>
      </c>
    </row>
    <row r="63" spans="1:18" s="1844" customFormat="1" ht="13.5" thickBot="1">
      <c r="A63" s="371"/>
      <c r="B63" s="1177"/>
      <c r="C63" s="29"/>
      <c r="D63" s="1187"/>
      <c r="E63" s="1171" t="s">
        <v>1447</v>
      </c>
      <c r="F63" s="347">
        <f t="shared" ca="1" si="0"/>
        <v>4329.0999999999995</v>
      </c>
      <c r="I63" s="1931" t="s">
        <v>1576</v>
      </c>
      <c r="J63" s="1932">
        <v>70</v>
      </c>
      <c r="K63" s="1932">
        <v>50</v>
      </c>
      <c r="L63" s="1932">
        <v>80</v>
      </c>
      <c r="M63" s="1934">
        <v>0.02</v>
      </c>
      <c r="O63" s="1871" t="s">
        <v>1577</v>
      </c>
      <c r="P63" s="1841"/>
      <c r="Q63" s="1841"/>
      <c r="R63" s="1841"/>
    </row>
    <row r="64" spans="1:18" s="1844" customFormat="1" ht="13.5" thickBot="1">
      <c r="A64" s="1203" t="s">
        <v>1039</v>
      </c>
      <c r="B64" s="1171" t="s">
        <v>1449</v>
      </c>
      <c r="C64" s="24">
        <f ca="1">ROUND(C57*F64,1)</f>
        <v>91.2</v>
      </c>
      <c r="D64" s="1185" t="s">
        <v>1482</v>
      </c>
      <c r="E64" s="1171" t="s">
        <v>1422</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9.1</v>
      </c>
      <c r="D65" s="1185" t="s">
        <v>1454</v>
      </c>
      <c r="E65" s="1171" t="s">
        <v>1422</v>
      </c>
      <c r="F65" s="375">
        <f t="shared" ca="1" si="0"/>
        <v>1.5E-3</v>
      </c>
      <c r="I65" s="1931" t="s">
        <v>1579</v>
      </c>
      <c r="J65" s="1932">
        <v>40</v>
      </c>
      <c r="K65" s="1932">
        <v>30</v>
      </c>
      <c r="L65" s="1932">
        <v>50</v>
      </c>
      <c r="M65" s="1934">
        <v>0.02</v>
      </c>
      <c r="O65" s="1886" t="s">
        <v>1040</v>
      </c>
      <c r="P65" s="1887" t="s">
        <v>1528</v>
      </c>
      <c r="Q65" s="1888">
        <f ca="1">C40+J29</f>
        <v>-3712</v>
      </c>
      <c r="R65" s="1888" t="s">
        <v>1529</v>
      </c>
    </row>
    <row r="66" spans="1:18" s="1844" customFormat="1" ht="16.5" thickBot="1">
      <c r="A66" s="1203" t="s">
        <v>1504</v>
      </c>
      <c r="B66" s="1171" t="s">
        <v>1439</v>
      </c>
      <c r="C66" s="24">
        <f ca="1">ROUND(C48*F66,1)</f>
        <v>0</v>
      </c>
      <c r="D66" s="1185" t="s">
        <v>1459</v>
      </c>
      <c r="E66" s="1171" t="s">
        <v>1422</v>
      </c>
      <c r="F66" s="356">
        <f t="shared" ca="1" si="0"/>
        <v>0.01</v>
      </c>
      <c r="O66" s="1886" t="s">
        <v>1041</v>
      </c>
      <c r="P66" s="1887" t="s">
        <v>1558</v>
      </c>
      <c r="Q66" s="1888">
        <f ca="1">L60</f>
        <v>0</v>
      </c>
      <c r="R66" s="1888" t="s">
        <v>1581</v>
      </c>
    </row>
    <row r="67" spans="1:18" s="1844" customFormat="1" ht="16.5" thickBot="1">
      <c r="A67" s="1178" t="s">
        <v>1031</v>
      </c>
      <c r="B67" s="1188" t="s">
        <v>1463</v>
      </c>
      <c r="C67" s="360">
        <f ca="1">C48-C58</f>
        <v>-153</v>
      </c>
      <c r="D67" s="1184" t="s">
        <v>1464</v>
      </c>
      <c r="E67" s="1189"/>
      <c r="F67" s="1190"/>
      <c r="O67" s="1896" t="s">
        <v>1042</v>
      </c>
      <c r="P67" s="1887" t="s">
        <v>1562</v>
      </c>
      <c r="Q67" s="1935">
        <f ca="1">L51</f>
        <v>-12214</v>
      </c>
      <c r="R67" s="1888" t="s">
        <v>1582</v>
      </c>
    </row>
    <row r="68" spans="1:18" s="1844" customFormat="1" ht="16.5" thickBot="1">
      <c r="A68" s="1168" t="s">
        <v>1032</v>
      </c>
      <c r="B68" s="1169" t="s">
        <v>1485</v>
      </c>
      <c r="C68" s="345">
        <f ca="1">ROUND(C67*(1-((1+F70)/(1+F68))^F69)/(F68-F70),0)</f>
        <v>-2435</v>
      </c>
      <c r="D68" s="1186" t="s">
        <v>1469</v>
      </c>
      <c r="E68" s="1171" t="s">
        <v>1470</v>
      </c>
      <c r="F68" s="356">
        <f ca="1">F40</f>
        <v>5.5E-2</v>
      </c>
      <c r="O68" s="1896" t="s">
        <v>1043</v>
      </c>
      <c r="P68" s="1936" t="s">
        <v>1583</v>
      </c>
      <c r="Q68" s="1888">
        <f ca="1">ROUND(Q69-Q70*Q71,0)</f>
        <v>-670</v>
      </c>
      <c r="R68" s="1888" t="s">
        <v>1051</v>
      </c>
    </row>
    <row r="69" spans="1:18" s="1844" customFormat="1" ht="13.5" thickBot="1">
      <c r="A69" s="1172"/>
      <c r="B69" s="1173"/>
      <c r="C69" s="350"/>
      <c r="D69" s="1191" t="s">
        <v>1473</v>
      </c>
      <c r="E69" s="1171" t="s">
        <v>1474</v>
      </c>
      <c r="F69" s="378">
        <f ca="1">F41</f>
        <v>38.89</v>
      </c>
      <c r="O69" s="1896" t="s">
        <v>1048</v>
      </c>
      <c r="P69" s="1936" t="s">
        <v>1584</v>
      </c>
      <c r="Q69" s="1888">
        <f ca="1">C39</f>
        <v>-153</v>
      </c>
      <c r="R69" s="1888" t="s">
        <v>1529</v>
      </c>
    </row>
    <row r="70" spans="1:18" s="1844" customFormat="1" ht="13.5" thickBot="1">
      <c r="A70" s="1175"/>
      <c r="B70" s="1176"/>
      <c r="C70" s="354"/>
      <c r="D70" s="1187"/>
      <c r="E70" s="1171" t="s">
        <v>1477</v>
      </c>
      <c r="F70" s="1277"/>
      <c r="O70" s="1896" t="s">
        <v>1049</v>
      </c>
      <c r="P70" s="1936" t="s">
        <v>1585</v>
      </c>
      <c r="Q70" s="1888">
        <f ca="1">C13</f>
        <v>6083</v>
      </c>
      <c r="R70" s="1888" t="s">
        <v>1529</v>
      </c>
    </row>
    <row r="71" spans="1:18" s="1844" customFormat="1" ht="13.5" thickBot="1">
      <c r="A71" s="1192" t="s">
        <v>1033</v>
      </c>
      <c r="B71" s="1193" t="s">
        <v>1487</v>
      </c>
      <c r="C71" s="381">
        <f ca="1">ROUND(C68*10000/F71,0)</f>
        <v>-2665</v>
      </c>
      <c r="D71" s="1194" t="s">
        <v>1488</v>
      </c>
      <c r="E71" s="1195" t="s">
        <v>1489</v>
      </c>
      <c r="F71" s="384">
        <f ca="1">F43</f>
        <v>9137</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续建工期及建筑物耐用年限下的土地年期修正系数Kn</v>
      </c>
      <c r="Q74" s="1888" t="e">
        <f ca="1">L59</f>
        <v>#DIV/0!</v>
      </c>
      <c r="R74" s="1888" t="s">
        <v>1569</v>
      </c>
    </row>
    <row r="75" spans="1:18" ht="13.5" thickBot="1">
      <c r="A75" s="1844"/>
      <c r="B75" s="385" t="s">
        <v>1506</v>
      </c>
      <c r="C75" s="386">
        <f ca="1">ROUND(C13*C76,0)</f>
        <v>517</v>
      </c>
      <c r="D75" s="1844"/>
      <c r="E75" s="1844"/>
      <c r="F75" s="1844"/>
      <c r="K75" s="1870"/>
      <c r="L75" s="1844"/>
      <c r="O75" s="1886" t="s">
        <v>1046</v>
      </c>
      <c r="P75" s="1887" t="s">
        <v>1549</v>
      </c>
      <c r="Q75" s="1888">
        <f ca="1">Q65+Q66</f>
        <v>-3712</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4.3789999999999996</v>
      </c>
    </row>
    <row r="80" spans="1:18">
      <c r="B80" s="385" t="s">
        <v>1511</v>
      </c>
      <c r="C80" s="317">
        <f ca="1">ROUND(C75/C39,3)</f>
        <v>-3.379</v>
      </c>
    </row>
    <row r="81" spans="2:3">
      <c r="B81" s="313" t="s">
        <v>1512</v>
      </c>
      <c r="C81" s="281"/>
    </row>
    <row r="82" spans="2:3">
      <c r="B82" s="316" t="s">
        <v>1513</v>
      </c>
      <c r="C82" s="318">
        <f ca="1">1-C83</f>
        <v>2.6390000000000002</v>
      </c>
    </row>
    <row r="83" spans="2:3">
      <c r="B83" s="316" t="s">
        <v>1514</v>
      </c>
      <c r="C83" s="317">
        <f ca="1">ROUND(C13/C40,3)</f>
        <v>-1.639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c r="D1" s="1822"/>
      <c r="E1" s="1823" t="s">
        <v>1387</v>
      </c>
      <c r="F1" s="1285" t="b">
        <f>J53</f>
        <v>0</v>
      </c>
      <c r="G1" s="1838">
        <f>MATCH(C1,'数据-取费表'!A6:A16,0)+5</f>
        <v>10</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0</v>
      </c>
      <c r="D5" s="1824" t="s">
        <v>1601</v>
      </c>
      <c r="E5" s="1295"/>
      <c r="F5" s="1296"/>
      <c r="G5" s="1853"/>
      <c r="H5" s="343">
        <v>1</v>
      </c>
      <c r="I5" s="344" t="s">
        <v>1600</v>
      </c>
      <c r="J5" s="1294">
        <f ca="1">J6+J10+J12</f>
        <v>0</v>
      </c>
      <c r="K5" s="1824" t="s">
        <v>1601</v>
      </c>
      <c r="L5" s="1295"/>
      <c r="M5" s="1296"/>
    </row>
    <row r="6" spans="1:37" ht="18" customHeight="1">
      <c r="A6" s="1293" t="s">
        <v>1035</v>
      </c>
      <c r="B6" s="3252" t="s">
        <v>1403</v>
      </c>
      <c r="C6" s="1298">
        <f ca="1">ROUND(F6*F8*F7*(1-F9),0)</f>
        <v>0</v>
      </c>
      <c r="D6" s="163" t="s">
        <v>3018</v>
      </c>
      <c r="E6" s="346" t="s">
        <v>1405</v>
      </c>
      <c r="F6" s="347">
        <f ca="1">INDIRECT("'数据-取费表'!u"&amp;$G$1)</f>
        <v>0</v>
      </c>
      <c r="G6" s="1853"/>
      <c r="H6" s="1293" t="s">
        <v>1035</v>
      </c>
      <c r="I6" s="3252" t="s">
        <v>1403</v>
      </c>
      <c r="J6" s="345">
        <f ca="1">ROUND(M6*M8*M7*(1-M9),0)</f>
        <v>0</v>
      </c>
      <c r="K6" s="1836" t="s">
        <v>3019</v>
      </c>
      <c r="L6" s="346" t="s">
        <v>1405</v>
      </c>
      <c r="M6" s="347">
        <f ca="1">INDIRECT("'数据-取费表'!z"&amp;$G$1)</f>
        <v>0</v>
      </c>
    </row>
    <row r="7" spans="1:37" ht="18" customHeight="1">
      <c r="A7" s="1297"/>
      <c r="B7" s="3253"/>
      <c r="C7" s="1299"/>
      <c r="D7" s="351"/>
      <c r="E7" s="1300" t="s">
        <v>1406</v>
      </c>
      <c r="F7" s="347">
        <f ca="1">IF(INDIRECT("'数据-取费表'!ah"&amp;$G$1)="",INDIRECT("'数据-取费表'!k"&amp;$G$1),INDIRECT("'数据-取费表'!ah"&amp;$G$1))</f>
        <v>0</v>
      </c>
      <c r="G7" s="1853"/>
      <c r="H7" s="348"/>
      <c r="I7" s="3253"/>
      <c r="J7" s="350"/>
      <c r="K7" s="351"/>
      <c r="L7" s="346" t="s">
        <v>1406</v>
      </c>
      <c r="M7" s="347">
        <f ca="1">F7</f>
        <v>0</v>
      </c>
    </row>
    <row r="8" spans="1:37" ht="18" customHeight="1">
      <c r="A8" s="348"/>
      <c r="B8" s="3253"/>
      <c r="C8" s="350"/>
      <c r="D8" s="351"/>
      <c r="E8" s="346" t="s">
        <v>1407</v>
      </c>
      <c r="F8" s="347">
        <f ca="1">INDIRECT("'数据-取费表'!ai"&amp;$G$1)</f>
        <v>0</v>
      </c>
      <c r="G8" s="1853"/>
      <c r="H8" s="348"/>
      <c r="I8" s="3253"/>
      <c r="J8" s="350"/>
      <c r="K8" s="351"/>
      <c r="L8" s="346" t="s">
        <v>1407</v>
      </c>
      <c r="M8" s="347">
        <f ca="1">INDIRECT("'数据-取费表'!ai"&amp;$G$1)</f>
        <v>0</v>
      </c>
    </row>
    <row r="9" spans="1:37" ht="18" customHeight="1">
      <c r="A9" s="348"/>
      <c r="B9" s="3254"/>
      <c r="C9" s="350"/>
      <c r="D9" s="351"/>
      <c r="E9" s="346" t="s">
        <v>1408</v>
      </c>
      <c r="F9" s="356">
        <f ca="1">INDIRECT("'数据-取费表'!w"&amp;$G$1)</f>
        <v>0</v>
      </c>
      <c r="G9" s="1853"/>
      <c r="H9" s="348"/>
      <c r="I9" s="3254"/>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3029</v>
      </c>
      <c r="E10" s="357" t="s">
        <v>1410</v>
      </c>
      <c r="F10" s="1368"/>
      <c r="G10" s="1853"/>
      <c r="H10" s="1293" t="s">
        <v>1039</v>
      </c>
      <c r="I10" s="1825" t="s">
        <v>1409</v>
      </c>
      <c r="J10" s="345">
        <f ca="1">ROUND(IF(M10="押一",J6/12*M11,IF(M10="押二",J6/12*2*M11,IF(M10="押三",J6/12*3*M11,J11*M11))),0)</f>
        <v>0</v>
      </c>
      <c r="K10" s="1837" t="s">
        <v>3031</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0</v>
      </c>
      <c r="D14" s="1802" t="s">
        <v>1418</v>
      </c>
      <c r="E14" s="1796"/>
      <c r="F14" s="363"/>
      <c r="G14" s="1853"/>
      <c r="H14" s="1203" t="s">
        <v>1035</v>
      </c>
      <c r="I14" s="346" t="s">
        <v>1419</v>
      </c>
      <c r="J14" s="24">
        <f ca="1">C29</f>
        <v>0</v>
      </c>
      <c r="K14" s="15"/>
      <c r="L14" s="981"/>
      <c r="M14" s="982"/>
    </row>
    <row r="15" spans="1:37" s="1860" customFormat="1" ht="18" customHeight="1" thickBot="1">
      <c r="A15" s="1203" t="s">
        <v>1036</v>
      </c>
      <c r="B15" s="346" t="s">
        <v>1420</v>
      </c>
      <c r="C15" s="24">
        <f ca="1">ROUND(C14*F15,0)</f>
        <v>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4">
        <f ca="1">ROUND(F17*(F43+INDIRECT("'数据-取费表'!S"&amp;$G$1)),0)</f>
        <v>0</v>
      </c>
      <c r="D17" s="346" t="s">
        <v>1427</v>
      </c>
      <c r="E17" s="346" t="s">
        <v>1428</v>
      </c>
      <c r="F17" s="26">
        <f>'数据-取费表'!B35</f>
        <v>200</v>
      </c>
      <c r="G17" s="1856"/>
      <c r="H17" s="1203" t="s">
        <v>1035</v>
      </c>
      <c r="I17" s="346" t="s">
        <v>1429</v>
      </c>
      <c r="J17" s="24">
        <f ca="1">ROUND(IF(项目基本情况!B11="自然人",J5*M17,J18+J19+J20),0)</f>
        <v>0</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0</v>
      </c>
      <c r="D18" s="346" t="s">
        <v>1421</v>
      </c>
      <c r="E18" s="346" t="s">
        <v>1422</v>
      </c>
      <c r="F18" s="366">
        <f>'数据-取费表'!B36</f>
        <v>1.4999999999999999E-2</v>
      </c>
      <c r="G18" s="1856"/>
      <c r="H18" s="1203" t="s">
        <v>1034</v>
      </c>
      <c r="I18" s="346" t="s">
        <v>1433</v>
      </c>
      <c r="J18" s="24">
        <f ca="1">ROUND(J5*M18/(1+'数据-取费表'!C42),0)</f>
        <v>0</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0</v>
      </c>
      <c r="D19" s="139" t="s">
        <v>1436</v>
      </c>
      <c r="E19" s="1820"/>
      <c r="F19" s="26"/>
      <c r="G19" s="1853"/>
      <c r="H19" s="1203" t="s">
        <v>1036</v>
      </c>
      <c r="I19" s="346" t="s">
        <v>1437</v>
      </c>
      <c r="J19" s="24">
        <f ca="1">IF(K19="按租金收入计税",ROUND(J5*M19,0),ROUND(C29*M19*0.7,0))</f>
        <v>0</v>
      </c>
      <c r="K19" s="1830" t="s">
        <v>1438</v>
      </c>
      <c r="L19" s="346" t="s">
        <v>1422</v>
      </c>
      <c r="M19" s="366">
        <f>IF(K19="按租金收入计税",'数据-取费表'!B51,'数据-取费表'!B50)</f>
        <v>1.2E-2</v>
      </c>
    </row>
    <row r="20" spans="1:37" s="1860" customFormat="1" ht="18" customHeight="1">
      <c r="A20" s="1203" t="s">
        <v>1039</v>
      </c>
      <c r="B20" s="346" t="s">
        <v>1439</v>
      </c>
      <c r="C20" s="24">
        <f ca="1">ROUND(C19*F20,0)</f>
        <v>0</v>
      </c>
      <c r="D20" s="368" t="s">
        <v>1440</v>
      </c>
      <c r="E20" s="346" t="s">
        <v>1422</v>
      </c>
      <c r="F20" s="366">
        <f>'数据-取费表'!B37</f>
        <v>1.4999999999999999E-2</v>
      </c>
      <c r="G20" s="1856"/>
      <c r="H20" s="1203" t="s">
        <v>1389</v>
      </c>
      <c r="I20" s="163" t="s">
        <v>1441</v>
      </c>
      <c r="J20" s="25">
        <f ca="1">ROUND(M20*M21,0)</f>
        <v>0</v>
      </c>
      <c r="K20" s="369" t="s">
        <v>1442</v>
      </c>
      <c r="L20" s="346" t="s">
        <v>1443</v>
      </c>
      <c r="M20" s="370">
        <f>'数据-取费表'!B52</f>
        <v>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0.02</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ROUND(J14*M22,0)</f>
        <v>0</v>
      </c>
      <c r="K22" s="1800" t="s">
        <v>1450</v>
      </c>
      <c r="L22" s="346" t="s">
        <v>1422</v>
      </c>
      <c r="M22" s="373">
        <f ca="1">INDIRECT("'数据-取费表'!Ak"&amp;$G$1)</f>
        <v>0</v>
      </c>
    </row>
    <row r="23" spans="1:37" s="1860" customFormat="1" ht="18" customHeight="1">
      <c r="A23" s="1203"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ROUND(J13*M23,0)</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1820"/>
      <c r="F25" s="26"/>
      <c r="G25" s="1853"/>
      <c r="H25" s="1331" t="s">
        <v>1031</v>
      </c>
      <c r="I25" s="1346" t="s">
        <v>1463</v>
      </c>
      <c r="J25" s="354">
        <f ca="1">J5-J16</f>
        <v>0</v>
      </c>
      <c r="K25" s="1347" t="s">
        <v>1464</v>
      </c>
      <c r="L25" s="1348"/>
      <c r="M25" s="1349"/>
    </row>
    <row r="26" spans="1:37" ht="18" customHeight="1">
      <c r="A26" s="1203" t="s">
        <v>1034</v>
      </c>
      <c r="B26" s="346" t="s">
        <v>1465</v>
      </c>
      <c r="C26" s="24">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4">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f ca="1">ROUND(J26/(1+F40)^F41,0)</f>
        <v>0</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ROUND(IF(项目基本情况!B11="自然人",C5*F31,C32+C33+C34),0)</f>
        <v>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0</v>
      </c>
      <c r="D32" s="1800" t="s">
        <v>1434</v>
      </c>
      <c r="E32" s="346" t="s">
        <v>1422</v>
      </c>
      <c r="F32" s="376">
        <f>'数据-取费表'!B41</f>
        <v>5.6000000000000001E-2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f>
        <v>0</v>
      </c>
      <c r="D34" s="369" t="s">
        <v>1442</v>
      </c>
      <c r="E34" s="346" t="s">
        <v>1443</v>
      </c>
      <c r="F34" s="370">
        <f>'数据-取费表'!B52</f>
        <v>4</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ROUND(C29*F36,0)</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4">
        <f ca="1">ROUND(C13*F37,0)</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#DIV/0!</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8" t="s">
        <v>1409</v>
      </c>
      <c r="C53" s="360">
        <f ca="1">ROUND(IF(F53="押一",C49/12*F11,IF(F53="押二",C49/12*2*F11,IF(F53="押三",C49/12*3*F11,C54*F11))),0)</f>
        <v>0</v>
      </c>
      <c r="D53" s="1826" t="s">
        <v>3032</v>
      </c>
      <c r="E53" s="357" t="s">
        <v>1410</v>
      </c>
      <c r="F53" s="1368"/>
      <c r="I53" s="1907" t="s">
        <v>1547</v>
      </c>
      <c r="J53" s="1908" t="b">
        <f>IF(M47="住宅",J51,IF(D1="——",MIN(J51,L48),IF(D1="在建（套用方法）",MIN(J51,L48-'数据-取费表'!B24),IF(D1="土地（套用方法）",MIN(J51,L48-'数据-取费表'!B20)))))</f>
        <v>0</v>
      </c>
      <c r="K53" s="3250" t="s">
        <v>1548</v>
      </c>
      <c r="L53" s="3251"/>
      <c r="O53" s="1886" t="s">
        <v>1046</v>
      </c>
      <c r="P53" s="1887" t="s">
        <v>1549</v>
      </c>
      <c r="Q53" s="1888" t="e">
        <f ca="1">Q47+Q48</f>
        <v>#DIV/0!</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1" t="s">
        <v>1478</v>
      </c>
      <c r="C57" s="281">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59" t="s">
        <v>1030</v>
      </c>
      <c r="B58" s="1179" t="s">
        <v>1424</v>
      </c>
      <c r="C58" s="360">
        <f ca="1">ROUND(C59+C64+C65+C66,0)</f>
        <v>0</v>
      </c>
      <c r="D58" s="1181" t="s">
        <v>1425</v>
      </c>
      <c r="E58" s="1182"/>
      <c r="F58" s="1183"/>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7"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6">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IF(项目基本情况!B11="自然人","——",ROUND(F62*F63,0))</f>
        <v>0</v>
      </c>
      <c r="D62" s="1186" t="s">
        <v>1497</v>
      </c>
      <c r="E62" s="1171" t="s">
        <v>1498</v>
      </c>
      <c r="F62" s="370">
        <f t="shared" si="0"/>
        <v>4</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0</v>
      </c>
      <c r="D64" s="1185" t="s">
        <v>1502</v>
      </c>
      <c r="E64" s="1171" t="s">
        <v>1494</v>
      </c>
      <c r="F64" s="373">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5">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3" t="s">
        <v>1504</v>
      </c>
      <c r="B66" s="1171" t="s">
        <v>1439</v>
      </c>
      <c r="C66" s="24">
        <f ca="1">ROUND(C48*F66,0)</f>
        <v>0</v>
      </c>
      <c r="D66" s="1185" t="s">
        <v>1505</v>
      </c>
      <c r="E66" s="1171" t="s">
        <v>1422</v>
      </c>
      <c r="F66" s="356">
        <f t="shared" ca="1" si="0"/>
        <v>0</v>
      </c>
      <c r="O66" s="1886" t="s">
        <v>1041</v>
      </c>
      <c r="P66" s="1887" t="s">
        <v>1558</v>
      </c>
      <c r="Q66" s="1888" t="e">
        <f ca="1">L60</f>
        <v>#DIV/0!</v>
      </c>
      <c r="R66" s="1888" t="s">
        <v>1581</v>
      </c>
    </row>
    <row r="67" spans="1:18" s="1844" customFormat="1" ht="16.5" thickBot="1">
      <c r="A67" s="1178" t="s">
        <v>1031</v>
      </c>
      <c r="B67" s="1188" t="s">
        <v>1463</v>
      </c>
      <c r="C67" s="360">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5" t="e">
        <f ca="1">ROUND(C67*(1-((1+F70)/(1+F68))^F69)/(F68-F70),0)</f>
        <v>#DIV/0!</v>
      </c>
      <c r="D68" s="1186" t="s">
        <v>1469</v>
      </c>
      <c r="E68" s="1171" t="s">
        <v>1470</v>
      </c>
      <c r="F68" s="356">
        <f ca="1">F40</f>
        <v>0</v>
      </c>
      <c r="O68" s="1896" t="s">
        <v>1043</v>
      </c>
      <c r="P68" s="1936" t="s">
        <v>1583</v>
      </c>
      <c r="Q68" s="1888">
        <f ca="1">ROUND(Q69-Q70*Q71,0)</f>
        <v>0</v>
      </c>
      <c r="R68" s="1888" t="s">
        <v>1051</v>
      </c>
    </row>
    <row r="69" spans="1:18" s="1844" customFormat="1" ht="13.5" thickBot="1">
      <c r="A69" s="1172"/>
      <c r="B69" s="1173"/>
      <c r="C69" s="350"/>
      <c r="D69" s="1191" t="s">
        <v>1473</v>
      </c>
      <c r="E69" s="1171" t="s">
        <v>1474</v>
      </c>
      <c r="F69" s="378">
        <f ca="1">F41</f>
        <v>0</v>
      </c>
      <c r="O69" s="1896" t="s">
        <v>1048</v>
      </c>
      <c r="P69" s="1936" t="s">
        <v>1584</v>
      </c>
      <c r="Q69" s="1888">
        <f ca="1">C39</f>
        <v>0</v>
      </c>
      <c r="R69" s="1888" t="s">
        <v>1529</v>
      </c>
    </row>
    <row r="70" spans="1:18" s="1844" customFormat="1" ht="13.5" thickBot="1">
      <c r="A70" s="1175"/>
      <c r="B70" s="1176"/>
      <c r="C70" s="354"/>
      <c r="D70" s="1187"/>
      <c r="E70" s="1171" t="s">
        <v>1477</v>
      </c>
      <c r="F70" s="1277">
        <f ca="1">F42</f>
        <v>0</v>
      </c>
      <c r="O70" s="1896" t="s">
        <v>1049</v>
      </c>
      <c r="P70" s="1936" t="s">
        <v>1585</v>
      </c>
      <c r="Q70" s="1888">
        <f ca="1">C13</f>
        <v>0</v>
      </c>
      <c r="R70" s="1888" t="s">
        <v>1529</v>
      </c>
    </row>
    <row r="71" spans="1:18" s="1844" customFormat="1" ht="13.5" thickBot="1">
      <c r="A71" s="1192" t="s">
        <v>1033</v>
      </c>
      <c r="B71" s="1193" t="s">
        <v>1487</v>
      </c>
      <c r="C71" s="381" t="e">
        <f ca="1">ROUND(C68/F71,0)</f>
        <v>#DIV/0!</v>
      </c>
      <c r="D71" s="1194" t="s">
        <v>1488</v>
      </c>
      <c r="E71" s="1195" t="s">
        <v>1489</v>
      </c>
      <c r="F71" s="384">
        <f ca="1">F43</f>
        <v>0</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t="e">
        <f ca="1">Q65+Q66</f>
        <v>#DIV/0!</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59" t="s">
        <v>2514</v>
      </c>
      <c r="B1" s="2560"/>
      <c r="C1" s="2560"/>
      <c r="D1" s="2560"/>
      <c r="E1" s="2561"/>
    </row>
    <row r="2" spans="1:6" ht="15.75">
      <c r="A2" s="2562" t="s">
        <v>2318</v>
      </c>
      <c r="B2" s="2563">
        <f ca="1">SUMIF(B6:B13,"&lt;&gt;#ref!",B6:B13)</f>
        <v>-25798</v>
      </c>
      <c r="C2" s="2564" t="s">
        <v>2507</v>
      </c>
      <c r="D2" s="2565" t="s">
        <v>2508</v>
      </c>
      <c r="E2" s="2566">
        <f>SUM(E6:E13)</f>
        <v>178615.00000000003</v>
      </c>
    </row>
    <row r="3" spans="1:6" ht="15.75">
      <c r="A3" s="2562" t="s">
        <v>1395</v>
      </c>
      <c r="B3" s="2563">
        <f ca="1">ROUND(B2*10000/E2,0)</f>
        <v>-1444</v>
      </c>
      <c r="C3" s="2564" t="s">
        <v>2515</v>
      </c>
      <c r="D3" s="2567"/>
      <c r="E3" s="2568"/>
    </row>
    <row r="4" spans="1:6" ht="15.75">
      <c r="A4" s="2569"/>
      <c r="B4" s="2567"/>
      <c r="C4" s="2567"/>
      <c r="D4" s="2567"/>
      <c r="E4" s="2568"/>
    </row>
    <row r="5" spans="1:6" ht="15">
      <c r="A5" s="2570" t="s">
        <v>2509</v>
      </c>
      <c r="B5" s="3255" t="s">
        <v>2510</v>
      </c>
      <c r="C5" s="3255"/>
      <c r="D5" s="2571"/>
      <c r="E5" s="2572" t="s">
        <v>2511</v>
      </c>
      <c r="F5" s="2573" t="s">
        <v>2512</v>
      </c>
    </row>
    <row r="6" spans="1:6">
      <c r="A6" s="2574" t="str">
        <f>'数据-取费表'!AN6</f>
        <v>地上办公</v>
      </c>
      <c r="B6" s="2573">
        <f ca="1">IF(F6="是",'数据-取费表'!AO6,0)</f>
        <v>-18441</v>
      </c>
      <c r="C6" s="2564" t="s">
        <v>2507</v>
      </c>
      <c r="D6" s="2567"/>
      <c r="E6" s="2575">
        <f>IF(OR(A6=0,F6="否"),0,'数据-取费表'!K6+'数据-取费表'!S6)</f>
        <v>128607.8</v>
      </c>
      <c r="F6" s="2576" t="s">
        <v>2513</v>
      </c>
    </row>
    <row r="7" spans="1:6">
      <c r="A7" s="2574" t="str">
        <f>'数据-取费表'!AN7</f>
        <v>地下车库</v>
      </c>
      <c r="B7" s="2573">
        <f ca="1">IF(F7="是",'数据-取费表'!AO7,0)</f>
        <v>-5284</v>
      </c>
      <c r="C7" s="2564" t="s">
        <v>2507</v>
      </c>
      <c r="D7" s="2567"/>
      <c r="E7" s="2575">
        <f>IF(OR(A7=0,F7="否"),0,'数据-取费表'!K7+'数据-取费表'!S7)</f>
        <v>34569.300000000003</v>
      </c>
      <c r="F7" s="2576" t="s">
        <v>2513</v>
      </c>
    </row>
    <row r="8" spans="1:6">
      <c r="A8" s="2574" t="str">
        <f>'数据-取费表'!AN8</f>
        <v>地下餐厅</v>
      </c>
      <c r="B8" s="2573">
        <f ca="1">IF(F8="是",'数据-取费表'!AO8,0)</f>
        <v>-794</v>
      </c>
      <c r="C8" s="2564" t="s">
        <v>2507</v>
      </c>
      <c r="D8" s="2567"/>
      <c r="E8" s="2575">
        <f>IF(OR(A8=0,F8="否"),0,'数据-取费表'!K8+'数据-取费表'!S8)</f>
        <v>5915.45</v>
      </c>
      <c r="F8" s="2576" t="s">
        <v>2513</v>
      </c>
    </row>
    <row r="9" spans="1:6">
      <c r="A9" s="2574" t="str">
        <f>'数据-取费表'!AN9</f>
        <v>地下办公</v>
      </c>
      <c r="B9" s="2573">
        <f ca="1">IF(F9="是",'数据-取费表'!AO9,0)</f>
        <v>-1279</v>
      </c>
      <c r="C9" s="2564" t="s">
        <v>2507</v>
      </c>
      <c r="D9" s="2567"/>
      <c r="E9" s="2575">
        <f>IF(OR(A9=0,F9="否"),0,'数据-取费表'!K9+'数据-取费表'!S9)</f>
        <v>9522.4500000000007</v>
      </c>
      <c r="F9" s="2576" t="s">
        <v>2513</v>
      </c>
    </row>
    <row r="10" spans="1:6">
      <c r="A10" s="2574">
        <f>'数据-取费表'!AN10</f>
        <v>0</v>
      </c>
      <c r="B10" s="2573" t="e">
        <f ca="1">IF(F10="是",'数据-取费表'!AO10,0)</f>
        <v>#REF!</v>
      </c>
      <c r="C10" s="2564" t="s">
        <v>2507</v>
      </c>
      <c r="D10" s="2567"/>
      <c r="E10" s="2575">
        <f>IF(OR(A10=0,F10="否"),0,'数据-取费表'!K10+'数据-取费表'!S10)</f>
        <v>0</v>
      </c>
      <c r="F10" s="2576" t="s">
        <v>2513</v>
      </c>
    </row>
    <row r="11" spans="1:6">
      <c r="A11" s="2574">
        <f>'数据-取费表'!AN11</f>
        <v>0</v>
      </c>
      <c r="B11" s="2573" t="e">
        <f ca="1">IF(F11="是",'数据-取费表'!AO11,0)</f>
        <v>#REF!</v>
      </c>
      <c r="C11" s="2564" t="s">
        <v>2507</v>
      </c>
      <c r="D11" s="2567"/>
      <c r="E11" s="2575">
        <f>IF(OR(A11=0,F11="否"),0,'数据-取费表'!K11+'数据-取费表'!S11)</f>
        <v>0</v>
      </c>
      <c r="F11" s="2576" t="s">
        <v>2513</v>
      </c>
    </row>
    <row r="12" spans="1:6">
      <c r="A12" s="2574">
        <f>'数据-取费表'!AN12</f>
        <v>0</v>
      </c>
      <c r="B12" s="2573" t="e">
        <f ca="1">IF(F12="是",'数据-取费表'!AO12,0)</f>
        <v>#REF!</v>
      </c>
      <c r="C12" s="2564" t="s">
        <v>2507</v>
      </c>
      <c r="D12" s="2567"/>
      <c r="E12" s="2575">
        <f>IF(OR(A12=0,F12="否"),0,'数据-取费表'!K12+'数据-取费表'!S12)</f>
        <v>0</v>
      </c>
      <c r="F12" s="2576" t="s">
        <v>2513</v>
      </c>
    </row>
    <row r="13" spans="1:6" ht="15" thickBot="1">
      <c r="A13" s="2577">
        <f>'数据-取费表'!AN13</f>
        <v>0</v>
      </c>
      <c r="B13" s="2573" t="e">
        <f ca="1">IF(F13="是",'数据-取费表'!AO13,0)</f>
        <v>#REF!</v>
      </c>
      <c r="C13" s="2578" t="s">
        <v>2507</v>
      </c>
      <c r="D13" s="2579"/>
      <c r="E13" s="2575">
        <f>IF(OR(A13=0,F13="否"),0,'数据-取费表'!K13+'数据-取费表'!S13)</f>
        <v>0</v>
      </c>
      <c r="F13" s="2576"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2" t="s">
        <v>1076</v>
      </c>
      <c r="B1" s="3273"/>
      <c r="C1" s="3274"/>
      <c r="D1" s="3275">
        <f>SUM(I10,I15,I20,I21,I23)</f>
        <v>0</v>
      </c>
      <c r="E1" s="3275"/>
      <c r="F1" s="3275"/>
      <c r="G1" s="3275"/>
      <c r="H1" s="3275"/>
      <c r="I1" s="3276"/>
    </row>
    <row r="2" spans="1:9">
      <c r="A2" s="3262" t="s">
        <v>1077</v>
      </c>
      <c r="B2" s="3263" t="s">
        <v>1078</v>
      </c>
      <c r="C2" s="3263"/>
      <c r="D2" s="1303" t="s">
        <v>1079</v>
      </c>
      <c r="E2" s="1303" t="s">
        <v>1080</v>
      </c>
      <c r="F2" s="1303" t="s">
        <v>1081</v>
      </c>
      <c r="G2" s="1303" t="s">
        <v>1082</v>
      </c>
      <c r="H2" s="1303" t="s">
        <v>1083</v>
      </c>
      <c r="I2" s="1304" t="s">
        <v>1084</v>
      </c>
    </row>
    <row r="3" spans="1:9">
      <c r="A3" s="3262"/>
      <c r="B3" s="3263" t="s">
        <v>1085</v>
      </c>
      <c r="C3" s="3263"/>
      <c r="D3" s="1305"/>
      <c r="E3" s="1303"/>
      <c r="F3" s="1306"/>
      <c r="G3" s="1306"/>
      <c r="H3" s="1307"/>
      <c r="I3" s="1308">
        <f>ROUND(D3*E3*F3*G3*H3/10000,0)</f>
        <v>0</v>
      </c>
    </row>
    <row r="4" spans="1:9">
      <c r="A4" s="3262"/>
      <c r="B4" s="3263" t="s">
        <v>1086</v>
      </c>
      <c r="C4" s="3263"/>
      <c r="D4" s="1305"/>
      <c r="E4" s="1303"/>
      <c r="F4" s="1306"/>
      <c r="G4" s="1306"/>
      <c r="H4" s="1307"/>
      <c r="I4" s="1308">
        <f t="shared" ref="I4:I9" si="0">ROUND(D4*E4*F4*G4*H4/10000,0)</f>
        <v>0</v>
      </c>
    </row>
    <row r="5" spans="1:9">
      <c r="A5" s="3262"/>
      <c r="B5" s="3263" t="s">
        <v>1087</v>
      </c>
      <c r="C5" s="3263"/>
      <c r="D5" s="1305"/>
      <c r="E5" s="1303"/>
      <c r="F5" s="1306"/>
      <c r="G5" s="1306"/>
      <c r="H5" s="1307"/>
      <c r="I5" s="1308">
        <f t="shared" si="0"/>
        <v>0</v>
      </c>
    </row>
    <row r="6" spans="1:9">
      <c r="A6" s="3262"/>
      <c r="B6" s="3263" t="s">
        <v>1088</v>
      </c>
      <c r="C6" s="3263"/>
      <c r="D6" s="1305"/>
      <c r="E6" s="1303"/>
      <c r="F6" s="1306"/>
      <c r="G6" s="1306"/>
      <c r="H6" s="1307"/>
      <c r="I6" s="1308">
        <f t="shared" si="0"/>
        <v>0</v>
      </c>
    </row>
    <row r="7" spans="1:9">
      <c r="A7" s="3262"/>
      <c r="B7" s="3263" t="s">
        <v>1089</v>
      </c>
      <c r="C7" s="3263"/>
      <c r="D7" s="1305"/>
      <c r="E7" s="1303"/>
      <c r="F7" s="1306"/>
      <c r="G7" s="1306"/>
      <c r="H7" s="1307"/>
      <c r="I7" s="1308">
        <f t="shared" si="0"/>
        <v>0</v>
      </c>
    </row>
    <row r="8" spans="1:9">
      <c r="A8" s="3262"/>
      <c r="B8" s="3263" t="s">
        <v>1090</v>
      </c>
      <c r="C8" s="3263"/>
      <c r="D8" s="1305"/>
      <c r="E8" s="1303"/>
      <c r="F8" s="1306"/>
      <c r="G8" s="1306"/>
      <c r="H8" s="1307"/>
      <c r="I8" s="1308">
        <f t="shared" si="0"/>
        <v>0</v>
      </c>
    </row>
    <row r="9" spans="1:9">
      <c r="A9" s="3262"/>
      <c r="B9" s="3263" t="s">
        <v>1091</v>
      </c>
      <c r="C9" s="3263"/>
      <c r="D9" s="1305"/>
      <c r="E9" s="1303"/>
      <c r="F9" s="1306"/>
      <c r="G9" s="1306"/>
      <c r="H9" s="1307"/>
      <c r="I9" s="1308">
        <f t="shared" si="0"/>
        <v>0</v>
      </c>
    </row>
    <row r="10" spans="1:9">
      <c r="A10" s="3262"/>
      <c r="B10" s="3264" t="s">
        <v>1092</v>
      </c>
      <c r="C10" s="3264"/>
      <c r="D10" s="1309"/>
      <c r="E10" s="1309" t="e">
        <f>ROUND(D1*10000/D10/H9,0)</f>
        <v>#DIV/0!</v>
      </c>
      <c r="F10" s="1310"/>
      <c r="G10" s="1310"/>
      <c r="H10" s="1311"/>
      <c r="I10" s="1312">
        <f>SUM(I3:I9)</f>
        <v>0</v>
      </c>
    </row>
    <row r="11" spans="1:9" ht="14.25">
      <c r="A11" s="3262" t="s">
        <v>1093</v>
      </c>
      <c r="B11" s="3263" t="s">
        <v>1094</v>
      </c>
      <c r="C11" s="3263"/>
      <c r="D11" s="1305" t="s">
        <v>1095</v>
      </c>
      <c r="E11" s="1305" t="s">
        <v>1096</v>
      </c>
      <c r="F11" s="1306" t="s">
        <v>1097</v>
      </c>
      <c r="G11" s="1306" t="s">
        <v>1083</v>
      </c>
      <c r="H11" s="1313" t="s">
        <v>1098</v>
      </c>
      <c r="I11" s="1304" t="s">
        <v>1084</v>
      </c>
    </row>
    <row r="12" spans="1:9">
      <c r="A12" s="3262"/>
      <c r="B12" s="3263" t="s">
        <v>1099</v>
      </c>
      <c r="C12" s="3263"/>
      <c r="D12" s="1305"/>
      <c r="E12" s="1305"/>
      <c r="F12" s="1306"/>
      <c r="G12" s="1307"/>
      <c r="H12" s="1314"/>
      <c r="I12" s="1304">
        <f>ROUND(D12*E12*F12*G12/10000,0)</f>
        <v>0</v>
      </c>
    </row>
    <row r="13" spans="1:9">
      <c r="A13" s="3262"/>
      <c r="B13" s="3263" t="s">
        <v>1100</v>
      </c>
      <c r="C13" s="3263"/>
      <c r="D13" s="1305"/>
      <c r="E13" s="1305"/>
      <c r="F13" s="1306"/>
      <c r="G13" s="1307"/>
      <c r="H13" s="1314"/>
      <c r="I13" s="1304">
        <f>ROUND(D13*E13*F13*G13/10000,0)</f>
        <v>0</v>
      </c>
    </row>
    <row r="14" spans="1:9">
      <c r="A14" s="3262"/>
      <c r="B14" s="3263" t="s">
        <v>1101</v>
      </c>
      <c r="C14" s="3263"/>
      <c r="D14" s="1305"/>
      <c r="E14" s="1305"/>
      <c r="F14" s="1306"/>
      <c r="G14" s="1307"/>
      <c r="H14" s="1314"/>
      <c r="I14" s="1304">
        <f>ROUND(D14*E14*F14*G14/10000,0)</f>
        <v>0</v>
      </c>
    </row>
    <row r="15" spans="1:9">
      <c r="A15" s="3262"/>
      <c r="B15" s="3264" t="s">
        <v>1092</v>
      </c>
      <c r="C15" s="3264"/>
      <c r="D15" s="1309"/>
      <c r="E15" s="1309">
        <f>SUM(E12:E14)</f>
        <v>0</v>
      </c>
      <c r="F15" s="1310"/>
      <c r="G15" s="1307"/>
      <c r="H15" s="1314"/>
      <c r="I15" s="1315">
        <f>SUM(I12:I14)</f>
        <v>0</v>
      </c>
    </row>
    <row r="16" spans="1:9" ht="24">
      <c r="A16" s="3262" t="s">
        <v>1102</v>
      </c>
      <c r="B16" s="3263" t="s">
        <v>1103</v>
      </c>
      <c r="C16" s="3263"/>
      <c r="D16" s="1305" t="s">
        <v>1079</v>
      </c>
      <c r="E16" s="1316" t="s">
        <v>1104</v>
      </c>
      <c r="F16" s="1306" t="s">
        <v>1105</v>
      </c>
      <c r="G16" s="1307" t="s">
        <v>1083</v>
      </c>
      <c r="H16" s="1313" t="s">
        <v>1098</v>
      </c>
      <c r="I16" s="1304" t="s">
        <v>1084</v>
      </c>
    </row>
    <row r="17" spans="1:9" ht="14.25">
      <c r="A17" s="3262"/>
      <c r="B17" s="3263" t="s">
        <v>1106</v>
      </c>
      <c r="C17" s="3263"/>
      <c r="D17" s="1305"/>
      <c r="E17" s="1305"/>
      <c r="F17" s="1306"/>
      <c r="G17" s="1307"/>
      <c r="H17" s="1317"/>
      <c r="I17" s="1318">
        <f>ROUND(D17*E17*F17*G17/10000,0)</f>
        <v>0</v>
      </c>
    </row>
    <row r="18" spans="1:9" ht="14.25">
      <c r="A18" s="3262"/>
      <c r="B18" s="3263" t="s">
        <v>1107</v>
      </c>
      <c r="C18" s="3263"/>
      <c r="D18" s="1305"/>
      <c r="E18" s="1305"/>
      <c r="F18" s="1306"/>
      <c r="G18" s="1307"/>
      <c r="H18" s="1317"/>
      <c r="I18" s="1318">
        <f>ROUND(D18*E18*F18*G18/10000,0)</f>
        <v>0</v>
      </c>
    </row>
    <row r="19" spans="1:9" ht="14.25">
      <c r="A19" s="3262"/>
      <c r="B19" s="3263" t="s">
        <v>1108</v>
      </c>
      <c r="C19" s="3263"/>
      <c r="D19" s="1305"/>
      <c r="E19" s="1305"/>
      <c r="F19" s="1306"/>
      <c r="G19" s="1307"/>
      <c r="H19" s="1317"/>
      <c r="I19" s="1318">
        <f>ROUND(D19*E19*F19*G19/10000,0)</f>
        <v>0</v>
      </c>
    </row>
    <row r="20" spans="1:9">
      <c r="A20" s="3262"/>
      <c r="B20" s="3264" t="s">
        <v>1092</v>
      </c>
      <c r="C20" s="3264"/>
      <c r="D20" s="1309">
        <f>SUM(D17:D19)</f>
        <v>0</v>
      </c>
      <c r="E20" s="1309"/>
      <c r="F20" s="1310"/>
      <c r="G20" s="1307"/>
      <c r="H20" s="1314"/>
      <c r="I20" s="1315">
        <f>SUM(I17:I19)</f>
        <v>0</v>
      </c>
    </row>
    <row r="21" spans="1:9">
      <c r="A21" s="3262" t="s">
        <v>1109</v>
      </c>
      <c r="B21" s="3265"/>
      <c r="C21" s="3265"/>
      <c r="D21" s="3265"/>
      <c r="E21" s="3265"/>
      <c r="F21" s="3265"/>
      <c r="G21" s="3265"/>
      <c r="H21" s="1767">
        <v>0.1</v>
      </c>
      <c r="I21" s="1312">
        <f>ROUND(I10*H21,0)</f>
        <v>0</v>
      </c>
    </row>
    <row r="22" spans="1:9" ht="14.25">
      <c r="A22" s="3266" t="s">
        <v>1110</v>
      </c>
      <c r="B22" s="3267"/>
      <c r="C22" s="3268"/>
      <c r="D22" s="1319" t="s">
        <v>1111</v>
      </c>
      <c r="E22" s="1319" t="s">
        <v>1112</v>
      </c>
      <c r="F22" s="1320" t="s">
        <v>1113</v>
      </c>
      <c r="G22" s="1320" t="s">
        <v>1114</v>
      </c>
      <c r="H22" s="1313" t="s">
        <v>1115</v>
      </c>
      <c r="I22" s="1304" t="s">
        <v>1116</v>
      </c>
    </row>
    <row r="23" spans="1:9" ht="14.25" thickBot="1">
      <c r="A23" s="3269"/>
      <c r="B23" s="3270"/>
      <c r="C23" s="3271"/>
      <c r="D23" s="1321"/>
      <c r="E23" s="1321"/>
      <c r="F23" s="1321"/>
      <c r="G23" s="1322"/>
      <c r="H23" s="1323"/>
      <c r="I23" s="1324">
        <f>ROUND(E23*D23*F23*(1-G23)/10000,0)</f>
        <v>0</v>
      </c>
    </row>
    <row r="26" spans="1:9">
      <c r="A26" s="1325" t="s">
        <v>1117</v>
      </c>
      <c r="B26" s="1325"/>
      <c r="C26" s="1325"/>
      <c r="D26" s="1325"/>
      <c r="E26" s="3259">
        <f>C27-C30-C31-C32</f>
        <v>0</v>
      </c>
      <c r="F26" s="3259"/>
      <c r="G26" s="3259"/>
      <c r="H26" s="1739" t="s">
        <v>1340</v>
      </c>
    </row>
    <row r="27" spans="1:9">
      <c r="A27" s="1326">
        <v>1</v>
      </c>
      <c r="B27" s="1327" t="s">
        <v>1118</v>
      </c>
      <c r="C27" s="1327">
        <f>C28+C29</f>
        <v>0</v>
      </c>
      <c r="D27" s="1327"/>
      <c r="E27" s="3260"/>
      <c r="F27" s="3260"/>
      <c r="G27" s="3260"/>
    </row>
    <row r="28" spans="1:9">
      <c r="A28" s="1328" t="s">
        <v>1119</v>
      </c>
      <c r="B28" s="1327" t="s">
        <v>1120</v>
      </c>
      <c r="C28" s="1327"/>
      <c r="D28" s="1327"/>
      <c r="E28" s="3260"/>
      <c r="F28" s="3260"/>
      <c r="G28" s="3260"/>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61"/>
      <c r="F32" s="3261"/>
      <c r="G32" s="3261"/>
    </row>
    <row r="33" spans="1:7" hidden="1">
      <c r="A33" s="3256" t="s">
        <v>1129</v>
      </c>
      <c r="B33" s="3257"/>
      <c r="C33" s="3257"/>
      <c r="D33" s="3258"/>
      <c r="E33" s="3259"/>
      <c r="F33" s="3259"/>
      <c r="G33" s="3259"/>
    </row>
    <row r="34" spans="1:7" hidden="1">
      <c r="A34" s="1330">
        <v>1</v>
      </c>
      <c r="B34" s="1327" t="s">
        <v>1130</v>
      </c>
      <c r="C34" s="1327"/>
      <c r="D34" s="1327"/>
      <c r="E34" s="3260"/>
      <c r="F34" s="3260"/>
      <c r="G34" s="3260"/>
    </row>
    <row r="35" spans="1:7" hidden="1">
      <c r="A35" s="1330">
        <v>2</v>
      </c>
      <c r="B35" s="1327" t="s">
        <v>1131</v>
      </c>
      <c r="C35" s="1327"/>
      <c r="D35" s="1327"/>
      <c r="E35" s="3260"/>
      <c r="F35" s="3260"/>
      <c r="G35" s="3260"/>
    </row>
    <row r="36" spans="1:7" hidden="1">
      <c r="A36" s="1330">
        <v>3</v>
      </c>
      <c r="B36" s="1327" t="s">
        <v>1132</v>
      </c>
      <c r="C36" s="1327"/>
      <c r="D36" s="1327"/>
      <c r="E36" s="3260"/>
      <c r="F36" s="3260"/>
      <c r="G36" s="3260"/>
    </row>
    <row r="37" spans="1:7" hidden="1">
      <c r="A37" s="1330">
        <v>4</v>
      </c>
      <c r="B37" s="1327" t="s">
        <v>1133</v>
      </c>
      <c r="C37" s="1327"/>
      <c r="D37" s="1327"/>
      <c r="E37" s="3260"/>
      <c r="F37" s="3260"/>
      <c r="G37" s="3260"/>
    </row>
    <row r="38" spans="1:7" hidden="1">
      <c r="A38" s="3256" t="s">
        <v>1134</v>
      </c>
      <c r="B38" s="3257"/>
      <c r="C38" s="3257"/>
      <c r="D38" s="3258"/>
      <c r="E38" s="3259"/>
      <c r="F38" s="3259"/>
      <c r="G38" s="325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7" customWidth="1"/>
    <col min="2" max="16384" width="9" style="1947"/>
  </cols>
  <sheetData>
    <row r="1" spans="1:1" ht="23.25">
      <c r="A1" s="1946" t="s">
        <v>1611</v>
      </c>
    </row>
    <row r="2" spans="1:1">
      <c r="A2" s="1948"/>
    </row>
    <row r="3" spans="1:1" ht="18">
      <c r="A3" s="1949" t="str">
        <f>项目基本情况!B5&amp;"："</f>
        <v>中信信托有限责任公司：</v>
      </c>
    </row>
    <row r="4" spans="1:1" ht="36">
      <c r="A4" s="1950" t="str">
        <f>"受贵公司委托，我公司对"&amp;项目基本情况!S1&amp;"进行了预评估。"</f>
        <v>受贵公司委托，我公司对贵州省遵义市新蒲新区府前路出让国有建设用地使用权及在建建筑物房地产抵押价值进行了预评估。</v>
      </c>
    </row>
    <row r="5" spans="1:1" ht="18.75">
      <c r="A5" s="1951" t="s">
        <v>1612</v>
      </c>
    </row>
    <row r="6" spans="1:1" ht="18.75">
      <c r="A6" s="1952" t="s">
        <v>1613</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遵义市新蒲新区府前路出让国有建设用地使用权及在建建筑物房地产，为遵义市新区建投集团有限公司所有。根据《不动产权证书》[黔（2017）遵义市不动产权第0014085号]，估价对象（分摊）出让国有建设用地使用权面积为81202平方米，建筑面积为178615平方米。</v>
      </c>
    </row>
    <row r="8" spans="1:1" ht="57.75">
      <c r="A8" s="1953" t="s">
        <v>1614</v>
      </c>
    </row>
    <row r="9" spans="1:1" ht="18.75">
      <c r="A9" s="1952" t="s">
        <v>1615</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遵义市新蒲新区府前路出让国有建设用地使用权及在建建筑物房地产,为遵义市新区建投集团有限公司开发建设的，该项目尚在开发建设中。根据《不动产权证书》[黔（2017）遵义市不动产权第0014085号]，估价对象（分摊）出让国有建设用地使用权面积为81202平方米，规划建筑面积为178615平方米。</v>
      </c>
    </row>
    <row r="11" spans="1:1" ht="76.5">
      <c r="A11" s="1953" t="s">
        <v>1616</v>
      </c>
    </row>
    <row r="12" spans="1:1" ht="18.75">
      <c r="A12" s="1951" t="s">
        <v>1617</v>
      </c>
    </row>
    <row r="13" spans="1:1" ht="38.25" customHeight="1">
      <c r="A13" s="1954" t="str">
        <f>IF(项目基本情况!B8="抵押",IF(项目基本情况!B5=项目基本情况!B6,定义!C51,定义!B51),定义!D51)</f>
        <v>遵义市新区建投集团有限公司拟使用贵州省遵义市新蒲新区府前路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2018年5月28日（评估专业人员实地查勘之日）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28日，估价对象规划用途为，土地取得方式为出让，出让国有建设用地使用权剩余土地使用年限为商业38.99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商业38.99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2516</v>
      </c>
      <c r="B1" s="2580" t="s">
        <v>2517</v>
      </c>
      <c r="C1" s="1636" t="s">
        <v>2518</v>
      </c>
      <c r="D1" s="1623"/>
      <c r="E1" s="2581"/>
      <c r="F1" s="2582" t="s">
        <v>2519</v>
      </c>
      <c r="G1" s="1633" t="s">
        <v>2520</v>
      </c>
      <c r="H1" s="1632"/>
      <c r="I1" s="1632"/>
      <c r="J1" s="1632"/>
      <c r="K1" s="1634"/>
      <c r="L1" s="1635"/>
      <c r="M1" s="1636"/>
      <c r="N1" s="1636"/>
      <c r="O1" s="1636"/>
      <c r="P1" s="2583"/>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84"/>
      <c r="D2" s="1367" t="e">
        <f ca="1">SUMIF(INDIRECT("'"&amp;F2&amp;"'"&amp;"!A:A"),"承租人权益价值",INDIRECT("'"&amp;F2&amp;"'"&amp;"!c:c"))</f>
        <v>#REF!</v>
      </c>
      <c r="E2" s="2585" t="s">
        <v>2521</v>
      </c>
      <c r="F2" s="2586"/>
      <c r="G2" s="1126"/>
      <c r="H2" s="1126"/>
      <c r="I2" s="1126"/>
      <c r="J2" s="1126"/>
      <c r="K2" s="2587"/>
      <c r="L2" s="2588"/>
      <c r="M2" s="2589"/>
      <c r="N2" s="2589"/>
      <c r="O2" s="2589"/>
      <c r="P2" s="2590"/>
      <c r="Q2" s="2591"/>
      <c r="R2" s="2591"/>
      <c r="S2" s="2591"/>
      <c r="T2" s="2591"/>
      <c r="U2" s="2591"/>
      <c r="V2" s="2591"/>
      <c r="W2" s="2591"/>
      <c r="X2" s="2591"/>
      <c r="Y2" s="2591"/>
      <c r="Z2" s="2591"/>
      <c r="AA2" s="2591"/>
      <c r="AB2" s="2591"/>
      <c r="AC2" s="2592"/>
    </row>
    <row r="3" spans="1:29" s="392" customFormat="1" ht="28.5" customHeight="1" thickBot="1">
      <c r="A3" s="246" t="s">
        <v>1395</v>
      </c>
      <c r="B3" s="398" t="e">
        <f ca="1">IF(C2="——",C49,ROUND(B2*10000/D3,0))</f>
        <v>#DIV/0!</v>
      </c>
      <c r="C3" s="399" t="s">
        <v>2522</v>
      </c>
      <c r="D3" s="398">
        <f>IF(D1="",'数据-汇总表'!E3,SUMIF('数据-汇总表'!$C19:$C33,D1,'数据-汇总表'!$E19:$E33))</f>
        <v>178615</v>
      </c>
      <c r="E3" s="1126"/>
      <c r="F3" s="2593"/>
      <c r="G3" s="1126"/>
      <c r="H3" s="1126"/>
      <c r="I3" s="1126"/>
      <c r="J3" s="1126"/>
      <c r="K3" s="2587"/>
      <c r="L3" s="2588"/>
      <c r="M3" s="2589"/>
      <c r="N3" s="2589"/>
      <c r="O3" s="2589"/>
      <c r="P3" s="2590"/>
      <c r="Q3" s="2591"/>
      <c r="R3" s="2591"/>
      <c r="S3" s="2591"/>
      <c r="T3" s="2591"/>
      <c r="U3" s="2591"/>
      <c r="V3" s="2591"/>
      <c r="W3" s="2591"/>
      <c r="X3" s="2591"/>
      <c r="Y3" s="2591"/>
      <c r="Z3" s="2591"/>
      <c r="AA3" s="2591"/>
      <c r="AB3" s="2591"/>
      <c r="AC3" s="1284"/>
    </row>
    <row r="4" spans="1:29" ht="15">
      <c r="A4" s="400" t="s">
        <v>2523</v>
      </c>
      <c r="B4" s="401"/>
      <c r="C4" s="3208" t="s">
        <v>2524</v>
      </c>
      <c r="D4" s="3221"/>
      <c r="E4" s="3222" t="s">
        <v>2525</v>
      </c>
      <c r="F4" s="3223"/>
      <c r="G4" s="3208" t="s">
        <v>2526</v>
      </c>
      <c r="H4" s="3221"/>
      <c r="I4" s="3208" t="s">
        <v>2527</v>
      </c>
      <c r="J4" s="3221"/>
      <c r="K4" s="2594" t="s">
        <v>2528</v>
      </c>
      <c r="L4" s="1132"/>
      <c r="M4" s="1133"/>
      <c r="N4" s="1133"/>
      <c r="O4" s="1133"/>
      <c r="P4" s="3224" t="s">
        <v>2529</v>
      </c>
      <c r="Q4" s="3225"/>
      <c r="R4" s="3230" t="s">
        <v>2525</v>
      </c>
      <c r="S4" s="3231"/>
      <c r="T4" s="3230" t="s">
        <v>2526</v>
      </c>
      <c r="U4" s="3231"/>
      <c r="V4" s="3217" t="s">
        <v>2527</v>
      </c>
      <c r="W4" s="3217"/>
      <c r="X4" s="1815"/>
      <c r="Y4" s="3230" t="s">
        <v>2529</v>
      </c>
      <c r="Z4" s="3231"/>
      <c r="AA4" s="3218" t="s">
        <v>2525</v>
      </c>
      <c r="AB4" s="3218" t="s">
        <v>2526</v>
      </c>
      <c r="AC4" s="3218" t="s">
        <v>2527</v>
      </c>
    </row>
    <row r="5" spans="1:29" ht="15">
      <c r="A5" s="403"/>
      <c r="B5" s="404"/>
      <c r="C5" s="3243" t="s">
        <v>2530</v>
      </c>
      <c r="D5" s="3239"/>
      <c r="E5" s="3286" t="s">
        <v>2531</v>
      </c>
      <c r="F5" s="3248"/>
      <c r="G5" s="3243" t="s">
        <v>2532</v>
      </c>
      <c r="H5" s="3239"/>
      <c r="I5" s="3243" t="s">
        <v>2533</v>
      </c>
      <c r="J5" s="3239"/>
      <c r="K5" s="2595"/>
      <c r="L5" s="1132"/>
      <c r="M5" s="1133"/>
      <c r="N5" s="1133"/>
      <c r="O5" s="1133"/>
      <c r="P5" s="3226"/>
      <c r="Q5" s="3227"/>
      <c r="R5" s="3232"/>
      <c r="S5" s="3233"/>
      <c r="T5" s="3232"/>
      <c r="U5" s="3233"/>
      <c r="V5" s="3217"/>
      <c r="W5" s="3217"/>
      <c r="X5" s="1815"/>
      <c r="Y5" s="3232"/>
      <c r="Z5" s="3233"/>
      <c r="AA5" s="3219"/>
      <c r="AB5" s="3219"/>
      <c r="AC5" s="3219"/>
    </row>
    <row r="6" spans="1:29" ht="15.75" thickBot="1">
      <c r="A6" s="405"/>
      <c r="B6" s="406"/>
      <c r="C6" s="3244" t="s">
        <v>2534</v>
      </c>
      <c r="D6" s="3237"/>
      <c r="E6" s="3285" t="s">
        <v>2534</v>
      </c>
      <c r="F6" s="3246"/>
      <c r="G6" s="3244" t="s">
        <v>2534</v>
      </c>
      <c r="H6" s="3237"/>
      <c r="I6" s="3244" t="s">
        <v>2534</v>
      </c>
      <c r="J6" s="3237"/>
      <c r="K6" s="2595" t="s">
        <v>2535</v>
      </c>
      <c r="L6" s="1132"/>
      <c r="M6" s="1133"/>
      <c r="N6" s="1133"/>
      <c r="O6" s="1133"/>
      <c r="P6" s="3228"/>
      <c r="Q6" s="3229"/>
      <c r="R6" s="3232"/>
      <c r="S6" s="3233"/>
      <c r="T6" s="3234"/>
      <c r="U6" s="3235"/>
      <c r="V6" s="3217"/>
      <c r="W6" s="3217"/>
      <c r="X6" s="1815"/>
      <c r="Y6" s="3234"/>
      <c r="Z6" s="3235"/>
      <c r="AA6" s="3220"/>
      <c r="AB6" s="3220"/>
      <c r="AC6" s="3220"/>
    </row>
    <row r="7" spans="1:29" s="117" customFormat="1" ht="15.75" thickBot="1">
      <c r="A7" s="407" t="s">
        <v>2536</v>
      </c>
      <c r="B7" s="408"/>
      <c r="C7" s="409">
        <f>'数据-取费表'!B2</f>
        <v>43248</v>
      </c>
      <c r="D7" s="410">
        <v>100</v>
      </c>
      <c r="E7" s="411"/>
      <c r="F7" s="412">
        <f>SUMIF(58:58,YEAR(E7)&amp;"-"&amp;MONTH(E7),59:59)</f>
        <v>0</v>
      </c>
      <c r="G7" s="411"/>
      <c r="H7" s="410">
        <f>SUMIF(58:58,YEAR(G7)&amp;"-"&amp;MONTH(G7),59:59)</f>
        <v>0</v>
      </c>
      <c r="I7" s="411"/>
      <c r="J7" s="410">
        <f>SUMIF(58:58,YEAR(I7)&amp;"-"&amp;MONTH(I7),59:59)</f>
        <v>0</v>
      </c>
      <c r="K7" s="2596"/>
      <c r="L7" s="1134"/>
      <c r="M7" s="1135"/>
      <c r="N7" s="1135"/>
      <c r="O7" s="1135"/>
      <c r="P7" s="3240" t="s">
        <v>2537</v>
      </c>
      <c r="Q7" s="3242"/>
      <c r="R7" s="769" t="s">
        <v>23</v>
      </c>
      <c r="S7" s="770">
        <f t="shared" ref="S7:S15" si="0">F7</f>
        <v>0</v>
      </c>
      <c r="T7" s="769" t="s">
        <v>23</v>
      </c>
      <c r="U7" s="770">
        <f t="shared" ref="U7:U15" si="1">H7</f>
        <v>0</v>
      </c>
      <c r="V7" s="769" t="s">
        <v>23</v>
      </c>
      <c r="W7" s="770">
        <f t="shared" ref="W7:W15" si="2">J7</f>
        <v>0</v>
      </c>
      <c r="X7" s="771"/>
      <c r="Y7" s="3240" t="s">
        <v>2537</v>
      </c>
      <c r="Z7" s="3241"/>
      <c r="AA7" s="772" t="e">
        <f>D7/F7</f>
        <v>#DIV/0!</v>
      </c>
      <c r="AB7" s="772" t="e">
        <f>D7/H7</f>
        <v>#DIV/0!</v>
      </c>
      <c r="AC7" s="772" t="e">
        <f>D7/J7</f>
        <v>#DIV/0!</v>
      </c>
    </row>
    <row r="8" spans="1:29" s="117" customFormat="1" ht="15.75" thickBot="1">
      <c r="A8" s="407" t="s">
        <v>2538</v>
      </c>
      <c r="B8" s="408"/>
      <c r="C8" s="413" t="s">
        <v>2539</v>
      </c>
      <c r="D8" s="410">
        <v>100</v>
      </c>
      <c r="E8" s="2597"/>
      <c r="F8" s="412">
        <f>SUMIF(61:61,E8,62:62)-SUMIF(61:61,C8,62:62)+100</f>
        <v>0</v>
      </c>
      <c r="G8" s="413"/>
      <c r="H8" s="410">
        <f>SUMIF(61:61,G8,62:62)-SUMIF(61:61,C8,62:62)+100</f>
        <v>0</v>
      </c>
      <c r="I8" s="2597"/>
      <c r="J8" s="410">
        <f>SUMIF(61:61,I8,62:62)-SUMIF(61:61,C8,62:62)+100</f>
        <v>0</v>
      </c>
      <c r="K8" s="2596"/>
      <c r="L8" s="1134"/>
      <c r="M8" s="1135"/>
      <c r="N8" s="1135"/>
      <c r="O8" s="1135"/>
      <c r="P8" s="3240" t="s">
        <v>2540</v>
      </c>
      <c r="Q8" s="3241"/>
      <c r="R8" s="769" t="s">
        <v>23</v>
      </c>
      <c r="S8" s="770">
        <f t="shared" si="0"/>
        <v>0</v>
      </c>
      <c r="T8" s="769" t="s">
        <v>23</v>
      </c>
      <c r="U8" s="770">
        <f t="shared" si="1"/>
        <v>0</v>
      </c>
      <c r="V8" s="769" t="s">
        <v>23</v>
      </c>
      <c r="W8" s="770">
        <f t="shared" si="2"/>
        <v>0</v>
      </c>
      <c r="X8" s="771"/>
      <c r="Y8" s="3240" t="s">
        <v>2540</v>
      </c>
      <c r="Z8" s="3241"/>
      <c r="AA8" s="772" t="e">
        <f t="shared" ref="AA8:AA19" si="3">D8/F8</f>
        <v>#DIV/0!</v>
      </c>
      <c r="AB8" s="772" t="e">
        <f t="shared" ref="AB8:AB19" si="4">D8/H8</f>
        <v>#DIV/0!</v>
      </c>
      <c r="AC8" s="772" t="e">
        <f t="shared" ref="AC8:AC19" si="5">D8/J8</f>
        <v>#DIV/0!</v>
      </c>
    </row>
    <row r="9" spans="1:29" s="117" customFormat="1">
      <c r="A9" s="414" t="s">
        <v>2541</v>
      </c>
      <c r="B9" s="71" t="s">
        <v>2542</v>
      </c>
      <c r="C9" s="415"/>
      <c r="D9" s="134">
        <v>100</v>
      </c>
      <c r="E9" s="416"/>
      <c r="F9" s="417">
        <f>SUMIF(63:63,E9,64:64)-SUMIF(63:63,C9,64:64)+100</f>
        <v>100</v>
      </c>
      <c r="G9" s="418"/>
      <c r="H9" s="134">
        <f>SUMIF(63:63,G9,64:64)-SUMIF(63:63,C9,64:64)+100</f>
        <v>100</v>
      </c>
      <c r="I9" s="418"/>
      <c r="J9" s="134">
        <f>SUMIF(63:63,I9,64:64)-SUMIF(63:63,C9,64:64)+100</f>
        <v>100</v>
      </c>
      <c r="K9" s="2596"/>
      <c r="L9" s="1134"/>
      <c r="M9" s="1135"/>
      <c r="N9" s="1135"/>
      <c r="O9" s="1135"/>
      <c r="P9" s="3210" t="s">
        <v>2543</v>
      </c>
      <c r="Q9" s="1797" t="str">
        <f t="shared" ref="Q9:Q15" si="6">B9</f>
        <v>用途</v>
      </c>
      <c r="R9" s="769" t="s">
        <v>17</v>
      </c>
      <c r="S9" s="770">
        <f t="shared" si="0"/>
        <v>100</v>
      </c>
      <c r="T9" s="769" t="s">
        <v>17</v>
      </c>
      <c r="U9" s="770">
        <f t="shared" si="1"/>
        <v>100</v>
      </c>
      <c r="V9" s="769" t="s">
        <v>17</v>
      </c>
      <c r="W9" s="770">
        <f t="shared" si="2"/>
        <v>100</v>
      </c>
      <c r="X9" s="771"/>
      <c r="Y9" s="3059" t="s">
        <v>2544</v>
      </c>
      <c r="Z9" s="55" t="str">
        <f t="shared" ref="Z9:Z15" si="7">Q9</f>
        <v>用途</v>
      </c>
      <c r="AA9" s="772">
        <f t="shared" si="3"/>
        <v>1</v>
      </c>
      <c r="AB9" s="772">
        <f t="shared" si="4"/>
        <v>1</v>
      </c>
      <c r="AC9" s="772">
        <f t="shared" si="5"/>
        <v>1</v>
      </c>
    </row>
    <row r="10" spans="1:29" s="426" customFormat="1" ht="27">
      <c r="A10" s="420"/>
      <c r="B10" s="421" t="s">
        <v>2545</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210"/>
      <c r="Q10" s="1797" t="str">
        <f t="shared" si="6"/>
        <v>土地使用年限（年）</v>
      </c>
      <c r="R10" s="769" t="s">
        <v>17</v>
      </c>
      <c r="S10" s="770">
        <f t="shared" si="0"/>
        <v>100</v>
      </c>
      <c r="T10" s="769" t="s">
        <v>17</v>
      </c>
      <c r="U10" s="770">
        <f t="shared" si="1"/>
        <v>100</v>
      </c>
      <c r="V10" s="769" t="s">
        <v>17</v>
      </c>
      <c r="W10" s="770">
        <f t="shared" si="2"/>
        <v>100</v>
      </c>
      <c r="X10" s="771"/>
      <c r="Y10" s="3059"/>
      <c r="Z10" s="55" t="str">
        <f t="shared" si="7"/>
        <v>土地使用年限（年）</v>
      </c>
      <c r="AA10" s="772">
        <f t="shared" si="3"/>
        <v>1</v>
      </c>
      <c r="AB10" s="772">
        <f t="shared" si="4"/>
        <v>1</v>
      </c>
      <c r="AC10" s="772">
        <f t="shared" si="5"/>
        <v>1</v>
      </c>
    </row>
    <row r="11" spans="1:29" ht="15">
      <c r="A11" s="427"/>
      <c r="B11" s="421" t="s">
        <v>2546</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210"/>
      <c r="Q11" s="1797" t="str">
        <f t="shared" si="6"/>
        <v>容积率</v>
      </c>
      <c r="R11" s="769" t="s">
        <v>21</v>
      </c>
      <c r="S11" s="770" t="e">
        <f t="shared" si="0"/>
        <v>#N/A</v>
      </c>
      <c r="T11" s="769" t="s">
        <v>21</v>
      </c>
      <c r="U11" s="770" t="e">
        <f t="shared" si="1"/>
        <v>#N/A</v>
      </c>
      <c r="V11" s="769" t="s">
        <v>21</v>
      </c>
      <c r="W11" s="770" t="e">
        <f t="shared" si="2"/>
        <v>#N/A</v>
      </c>
      <c r="X11" s="771"/>
      <c r="Y11" s="3059"/>
      <c r="Z11" s="55" t="str">
        <f t="shared" si="7"/>
        <v>容积率</v>
      </c>
      <c r="AA11" s="772" t="e">
        <f t="shared" si="3"/>
        <v>#N/A</v>
      </c>
      <c r="AB11" s="772" t="e">
        <f t="shared" si="4"/>
        <v>#N/A</v>
      </c>
      <c r="AC11" s="772" t="e">
        <f t="shared" si="5"/>
        <v>#N/A</v>
      </c>
    </row>
    <row r="12" spans="1:29" s="117" customFormat="1" ht="15">
      <c r="A12" s="430"/>
      <c r="B12" s="2598">
        <v>111</v>
      </c>
      <c r="C12" s="431"/>
      <c r="D12" s="432">
        <v>100</v>
      </c>
      <c r="E12" s="431"/>
      <c r="F12" s="424">
        <f>SUMIF(70:70,E12,71:71)-SUMIF(70:70,C12,71:71)+100</f>
        <v>100</v>
      </c>
      <c r="G12" s="431"/>
      <c r="H12" s="135">
        <f>SUMIF(70:70,G12,71:71)-SUMIF(70:70,C12,71:71)+100</f>
        <v>100</v>
      </c>
      <c r="I12" s="431"/>
      <c r="J12" s="135">
        <f>SUMIF(70:70,I12,71:71)-SUMIF(70:70,C12,71:71)+100</f>
        <v>100</v>
      </c>
      <c r="K12" s="2599"/>
      <c r="L12" s="1134"/>
      <c r="M12" s="1135"/>
      <c r="N12" s="1135"/>
      <c r="O12" s="1135"/>
      <c r="P12" s="3210"/>
      <c r="Q12" s="1797">
        <f t="shared" si="6"/>
        <v>111</v>
      </c>
      <c r="R12" s="769" t="s">
        <v>21</v>
      </c>
      <c r="S12" s="770">
        <f t="shared" si="0"/>
        <v>100</v>
      </c>
      <c r="T12" s="769" t="s">
        <v>21</v>
      </c>
      <c r="U12" s="770">
        <f t="shared" si="1"/>
        <v>100</v>
      </c>
      <c r="V12" s="769" t="s">
        <v>21</v>
      </c>
      <c r="W12" s="770">
        <f t="shared" si="2"/>
        <v>100</v>
      </c>
      <c r="X12" s="771"/>
      <c r="Y12" s="3059"/>
      <c r="Z12" s="55">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2599"/>
      <c r="L13" s="1142"/>
      <c r="M13" s="1133"/>
      <c r="N13" s="1133"/>
      <c r="O13" s="1133"/>
      <c r="P13" s="3210"/>
      <c r="Q13" s="1797">
        <f t="shared" si="6"/>
        <v>111</v>
      </c>
      <c r="R13" s="769" t="s">
        <v>21</v>
      </c>
      <c r="S13" s="770">
        <f t="shared" si="0"/>
        <v>100</v>
      </c>
      <c r="T13" s="769" t="s">
        <v>21</v>
      </c>
      <c r="U13" s="770">
        <f t="shared" si="1"/>
        <v>100</v>
      </c>
      <c r="V13" s="769" t="s">
        <v>21</v>
      </c>
      <c r="W13" s="770">
        <f t="shared" si="2"/>
        <v>100</v>
      </c>
      <c r="X13" s="771"/>
      <c r="Y13" s="3059"/>
      <c r="Z13" s="55">
        <f t="shared" si="7"/>
        <v>111</v>
      </c>
      <c r="AA13" s="772">
        <f t="shared" si="3"/>
        <v>1</v>
      </c>
      <c r="AB13" s="772">
        <f t="shared" si="4"/>
        <v>1</v>
      </c>
      <c r="AC13" s="772">
        <f t="shared" si="5"/>
        <v>1</v>
      </c>
    </row>
    <row r="14" spans="1:29" ht="15.75" thickBot="1">
      <c r="A14" s="435"/>
      <c r="B14" s="2600">
        <v>111</v>
      </c>
      <c r="C14" s="436"/>
      <c r="D14" s="437">
        <v>100</v>
      </c>
      <c r="E14" s="436"/>
      <c r="F14" s="438">
        <f>SUMIF(74:74,E14,75:75)-SUMIF(74:74,C14,75:75)+100</f>
        <v>100</v>
      </c>
      <c r="G14" s="436"/>
      <c r="H14" s="437">
        <f>SUMIF(74:74,G14,75:75)-SUMIF(74:74,C14,75:75)+100</f>
        <v>100</v>
      </c>
      <c r="I14" s="436"/>
      <c r="J14" s="437">
        <f>SUMIF(74:74,I14,75:75)-SUMIF(74:74,C14,75:75)+100</f>
        <v>100</v>
      </c>
      <c r="K14" s="2599"/>
      <c r="L14" s="1142"/>
      <c r="M14" s="1133"/>
      <c r="N14" s="1133"/>
      <c r="O14" s="1133"/>
      <c r="P14" s="3210"/>
      <c r="Q14" s="1797">
        <f t="shared" si="6"/>
        <v>111</v>
      </c>
      <c r="R14" s="769" t="s">
        <v>21</v>
      </c>
      <c r="S14" s="770">
        <f t="shared" si="0"/>
        <v>100</v>
      </c>
      <c r="T14" s="769" t="s">
        <v>21</v>
      </c>
      <c r="U14" s="770">
        <f t="shared" si="1"/>
        <v>100</v>
      </c>
      <c r="V14" s="769" t="s">
        <v>21</v>
      </c>
      <c r="W14" s="770">
        <f t="shared" si="2"/>
        <v>100</v>
      </c>
      <c r="X14" s="771"/>
      <c r="Y14" s="3059"/>
      <c r="Z14" s="55">
        <f t="shared" si="7"/>
        <v>111</v>
      </c>
      <c r="AA14" s="772">
        <f t="shared" si="3"/>
        <v>1</v>
      </c>
      <c r="AB14" s="772">
        <f t="shared" si="4"/>
        <v>1</v>
      </c>
      <c r="AC14" s="772">
        <f t="shared" si="5"/>
        <v>1</v>
      </c>
    </row>
    <row r="15" spans="1:29" ht="15">
      <c r="A15" s="439" t="s">
        <v>2547</v>
      </c>
      <c r="B15" s="69" t="s">
        <v>2085</v>
      </c>
      <c r="C15" s="2601">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83" t="s">
        <v>2548</v>
      </c>
      <c r="Q15" s="1812" t="str">
        <f t="shared" si="6"/>
        <v>居住社区成熟度</v>
      </c>
      <c r="R15" s="773" t="s">
        <v>21</v>
      </c>
      <c r="S15" s="774">
        <f t="shared" si="0"/>
        <v>100</v>
      </c>
      <c r="T15" s="773" t="s">
        <v>21</v>
      </c>
      <c r="U15" s="774">
        <f t="shared" si="1"/>
        <v>100</v>
      </c>
      <c r="V15" s="773" t="s">
        <v>21</v>
      </c>
      <c r="W15" s="774">
        <f t="shared" si="2"/>
        <v>100</v>
      </c>
      <c r="X15" s="1815"/>
      <c r="Y15" s="3213" t="s">
        <v>2548</v>
      </c>
      <c r="Z15" s="1816" t="str">
        <f t="shared" si="7"/>
        <v>居住社区成熟度</v>
      </c>
      <c r="AA15" s="1813">
        <f t="shared" si="3"/>
        <v>1</v>
      </c>
      <c r="AB15" s="1813">
        <f t="shared" si="4"/>
        <v>1</v>
      </c>
      <c r="AC15" s="1813">
        <f t="shared" si="5"/>
        <v>1</v>
      </c>
    </row>
    <row r="16" spans="1:29" ht="15">
      <c r="A16" s="427"/>
      <c r="B16" s="445"/>
      <c r="C16" s="446"/>
      <c r="D16" s="447"/>
      <c r="E16" s="2602"/>
      <c r="F16" s="447"/>
      <c r="G16" s="2603"/>
      <c r="H16" s="449"/>
      <c r="I16" s="2603"/>
      <c r="J16" s="447"/>
      <c r="K16" s="2604"/>
      <c r="L16" s="1142"/>
      <c r="M16" s="1133"/>
      <c r="N16" s="1133"/>
      <c r="O16" s="1133"/>
      <c r="P16" s="3284"/>
      <c r="Q16" s="1812"/>
      <c r="R16" s="773"/>
      <c r="S16" s="774"/>
      <c r="T16" s="773"/>
      <c r="U16" s="774"/>
      <c r="V16" s="773"/>
      <c r="W16" s="774"/>
      <c r="X16" s="1815"/>
      <c r="Y16" s="3214"/>
      <c r="Z16" s="1816"/>
      <c r="AA16" s="1813">
        <v>1</v>
      </c>
      <c r="AB16" s="1813">
        <v>1</v>
      </c>
      <c r="AC16" s="1813">
        <v>1</v>
      </c>
    </row>
    <row r="17" spans="1:29" ht="15">
      <c r="A17" s="427"/>
      <c r="B17" s="450" t="s">
        <v>2091</v>
      </c>
      <c r="C17" s="2605">
        <f>估价对象房地状况!C6</f>
        <v>0</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84"/>
      <c r="Q17" s="1812" t="str">
        <f>B17</f>
        <v>交通便捷度</v>
      </c>
      <c r="R17" s="773" t="s">
        <v>21</v>
      </c>
      <c r="S17" s="774">
        <f>F17</f>
        <v>100</v>
      </c>
      <c r="T17" s="773" t="s">
        <v>21</v>
      </c>
      <c r="U17" s="774">
        <f>H17</f>
        <v>100</v>
      </c>
      <c r="V17" s="773" t="s">
        <v>21</v>
      </c>
      <c r="W17" s="774">
        <f>J17</f>
        <v>100</v>
      </c>
      <c r="X17" s="1815"/>
      <c r="Y17" s="3214"/>
      <c r="Z17" s="1816" t="str">
        <f>Q17</f>
        <v>交通便捷度</v>
      </c>
      <c r="AA17" s="1813">
        <f t="shared" si="3"/>
        <v>1</v>
      </c>
      <c r="AB17" s="1813">
        <f t="shared" si="4"/>
        <v>1</v>
      </c>
      <c r="AC17" s="1813">
        <f t="shared" si="5"/>
        <v>1</v>
      </c>
    </row>
    <row r="18" spans="1:29" ht="15">
      <c r="A18" s="427"/>
      <c r="B18" s="455"/>
      <c r="C18" s="2606"/>
      <c r="D18" s="449"/>
      <c r="E18" s="2607"/>
      <c r="F18" s="449"/>
      <c r="G18" s="2608"/>
      <c r="H18" s="447"/>
      <c r="I18" s="2608"/>
      <c r="J18" s="447"/>
      <c r="K18" s="2604"/>
      <c r="L18" s="1142"/>
      <c r="M18" s="1133"/>
      <c r="N18" s="1133"/>
      <c r="O18" s="1133"/>
      <c r="P18" s="3284"/>
      <c r="Q18" s="1812"/>
      <c r="R18" s="773"/>
      <c r="S18" s="774"/>
      <c r="T18" s="773"/>
      <c r="U18" s="774"/>
      <c r="V18" s="773"/>
      <c r="W18" s="774"/>
      <c r="X18" s="1815"/>
      <c r="Y18" s="3214"/>
      <c r="Z18" s="1816"/>
      <c r="AA18" s="1813">
        <v>1</v>
      </c>
      <c r="AB18" s="1813">
        <v>1</v>
      </c>
      <c r="AC18" s="1813">
        <v>1</v>
      </c>
    </row>
    <row r="19" spans="1:29" ht="15">
      <c r="A19" s="427"/>
      <c r="B19" s="450" t="s">
        <v>2090</v>
      </c>
      <c r="C19" s="2605">
        <f>估价对象房地状况!C7</f>
        <v>0</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84"/>
      <c r="Q19" s="1812" t="str">
        <f>B19</f>
        <v>公共配套设施</v>
      </c>
      <c r="R19" s="773" t="s">
        <v>21</v>
      </c>
      <c r="S19" s="774">
        <f>F19</f>
        <v>100</v>
      </c>
      <c r="T19" s="773" t="s">
        <v>21</v>
      </c>
      <c r="U19" s="774">
        <f>H19</f>
        <v>100</v>
      </c>
      <c r="V19" s="773" t="s">
        <v>21</v>
      </c>
      <c r="W19" s="774">
        <f>J19</f>
        <v>100</v>
      </c>
      <c r="X19" s="1815"/>
      <c r="Y19" s="3214"/>
      <c r="Z19" s="1816" t="str">
        <f>Q19</f>
        <v>公共配套设施</v>
      </c>
      <c r="AA19" s="1813">
        <f t="shared" si="3"/>
        <v>1</v>
      </c>
      <c r="AB19" s="1813">
        <f t="shared" si="4"/>
        <v>1</v>
      </c>
      <c r="AC19" s="1813">
        <f t="shared" si="5"/>
        <v>1</v>
      </c>
    </row>
    <row r="20" spans="1:29" ht="15">
      <c r="A20" s="427"/>
      <c r="B20" s="455"/>
      <c r="C20" s="446"/>
      <c r="D20" s="447"/>
      <c r="E20" s="2602"/>
      <c r="F20" s="447"/>
      <c r="G20" s="2603"/>
      <c r="H20" s="447"/>
      <c r="I20" s="2603"/>
      <c r="J20" s="447"/>
      <c r="K20" s="2604"/>
      <c r="L20" s="1142"/>
      <c r="M20" s="1133"/>
      <c r="N20" s="1133"/>
      <c r="O20" s="1133"/>
      <c r="P20" s="3284"/>
      <c r="Q20" s="1812"/>
      <c r="R20" s="773"/>
      <c r="S20" s="774"/>
      <c r="T20" s="773"/>
      <c r="U20" s="774"/>
      <c r="V20" s="773"/>
      <c r="W20" s="774"/>
      <c r="X20" s="1815"/>
      <c r="Y20" s="3214"/>
      <c r="Z20" s="1816"/>
      <c r="AA20" s="1813">
        <v>1</v>
      </c>
      <c r="AB20" s="1813">
        <v>1</v>
      </c>
      <c r="AC20" s="1813">
        <v>1</v>
      </c>
    </row>
    <row r="21" spans="1:29" ht="15">
      <c r="A21" s="427"/>
      <c r="B21" s="1386" t="s">
        <v>2092</v>
      </c>
      <c r="C21" s="2605">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84"/>
      <c r="Q21" s="1812" t="str">
        <f>B21</f>
        <v>基础设施水平</v>
      </c>
      <c r="R21" s="773" t="s">
        <v>17</v>
      </c>
      <c r="S21" s="774">
        <f>F21</f>
        <v>100</v>
      </c>
      <c r="T21" s="773" t="s">
        <v>17</v>
      </c>
      <c r="U21" s="774">
        <f>H21</f>
        <v>100</v>
      </c>
      <c r="V21" s="773" t="s">
        <v>17</v>
      </c>
      <c r="W21" s="774">
        <f>J21</f>
        <v>100</v>
      </c>
      <c r="X21" s="1815"/>
      <c r="Y21" s="3214"/>
      <c r="Z21" s="1816" t="str">
        <f>Q21</f>
        <v>基础设施水平</v>
      </c>
      <c r="AA21" s="1813">
        <f t="shared" ref="AA21" si="8">D21/F21</f>
        <v>1</v>
      </c>
      <c r="AB21" s="1813">
        <f t="shared" ref="AB21" si="9">D21/H21</f>
        <v>1</v>
      </c>
      <c r="AC21" s="1813">
        <f t="shared" ref="AC21" si="10">D21/J21</f>
        <v>1</v>
      </c>
    </row>
    <row r="22" spans="1:29" ht="15">
      <c r="A22" s="427"/>
      <c r="B22" s="1386"/>
      <c r="C22" s="2606"/>
      <c r="D22" s="447"/>
      <c r="E22" s="446"/>
      <c r="F22" s="447"/>
      <c r="G22" s="2609"/>
      <c r="H22" s="447"/>
      <c r="I22" s="446"/>
      <c r="J22" s="447"/>
      <c r="K22" s="2610"/>
      <c r="L22" s="1142"/>
      <c r="M22" s="1133"/>
      <c r="N22" s="1133"/>
      <c r="O22" s="1133"/>
      <c r="P22" s="3284"/>
      <c r="Q22" s="1812"/>
      <c r="R22" s="773"/>
      <c r="S22" s="774"/>
      <c r="T22" s="773"/>
      <c r="U22" s="774"/>
      <c r="V22" s="773"/>
      <c r="W22" s="774"/>
      <c r="X22" s="1815"/>
      <c r="Y22" s="3214"/>
      <c r="Z22" s="1816"/>
      <c r="AA22" s="1813">
        <v>1</v>
      </c>
      <c r="AB22" s="1813">
        <v>1</v>
      </c>
      <c r="AC22" s="1813">
        <v>1</v>
      </c>
    </row>
    <row r="23" spans="1:29" ht="15">
      <c r="A23" s="427"/>
      <c r="B23" s="450" t="s">
        <v>2094</v>
      </c>
      <c r="C23" s="2605">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84"/>
      <c r="Q23" s="1812" t="str">
        <f>B23</f>
        <v>自然及人文环境</v>
      </c>
      <c r="R23" s="773" t="s">
        <v>21</v>
      </c>
      <c r="S23" s="774">
        <f>F23</f>
        <v>100</v>
      </c>
      <c r="T23" s="773" t="s">
        <v>21</v>
      </c>
      <c r="U23" s="774">
        <f>H23</f>
        <v>100</v>
      </c>
      <c r="V23" s="773" t="s">
        <v>21</v>
      </c>
      <c r="W23" s="774">
        <f>J23</f>
        <v>100</v>
      </c>
      <c r="X23" s="1815"/>
      <c r="Y23" s="3214"/>
      <c r="Z23" s="1816" t="str">
        <f>Q23</f>
        <v>自然及人文环境</v>
      </c>
      <c r="AA23" s="1813">
        <f>D23/F23</f>
        <v>1</v>
      </c>
      <c r="AB23" s="1813">
        <f>D23/H23</f>
        <v>1</v>
      </c>
      <c r="AC23" s="1813">
        <f>D23/J23</f>
        <v>1</v>
      </c>
    </row>
    <row r="24" spans="1:29" ht="15">
      <c r="A24" s="427"/>
      <c r="B24" s="455"/>
      <c r="C24" s="446"/>
      <c r="D24" s="447"/>
      <c r="E24" s="2602"/>
      <c r="F24" s="447"/>
      <c r="G24" s="2603"/>
      <c r="H24" s="447"/>
      <c r="I24" s="2603"/>
      <c r="J24" s="447"/>
      <c r="K24" s="2604"/>
      <c r="L24" s="1142"/>
      <c r="M24" s="1133"/>
      <c r="N24" s="1133"/>
      <c r="O24" s="1133"/>
      <c r="P24" s="3284"/>
      <c r="Q24" s="1812"/>
      <c r="R24" s="773"/>
      <c r="S24" s="774"/>
      <c r="T24" s="773"/>
      <c r="U24" s="774"/>
      <c r="V24" s="773"/>
      <c r="W24" s="774"/>
      <c r="X24" s="1815"/>
      <c r="Y24" s="3214"/>
      <c r="Z24" s="1816"/>
      <c r="AA24" s="1813">
        <v>1</v>
      </c>
      <c r="AB24" s="1813">
        <v>1</v>
      </c>
      <c r="AC24" s="1813">
        <v>1</v>
      </c>
    </row>
    <row r="25" spans="1:29" ht="15">
      <c r="A25" s="427"/>
      <c r="B25" s="421" t="s">
        <v>2549</v>
      </c>
      <c r="C25" s="459"/>
      <c r="D25" s="434">
        <v>100</v>
      </c>
      <c r="E25" s="2611"/>
      <c r="F25" s="434">
        <f>SUMIF(86:86,E25,87:87)-SUMIF(86:86,C25,87:87)+100</f>
        <v>100</v>
      </c>
      <c r="G25" s="2612"/>
      <c r="H25" s="434">
        <f>SUMIF(86:86,G25,87:87)-SUMIF(86:86,C25,87:87)+100</f>
        <v>100</v>
      </c>
      <c r="I25" s="2612"/>
      <c r="J25" s="434">
        <f>SUMIF(86:86,I25,87:87)-SUMIF(86:86,C25,87:87)+100</f>
        <v>100</v>
      </c>
      <c r="K25" s="425"/>
      <c r="L25" s="1142"/>
      <c r="M25" s="1133"/>
      <c r="N25" s="1133"/>
      <c r="O25" s="1133"/>
      <c r="P25" s="3284"/>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14"/>
      <c r="Z25" s="1816" t="str">
        <f>Q25</f>
        <v>楼层-1</v>
      </c>
      <c r="AA25" s="1813">
        <f t="shared" ref="AA25:AA46" si="15">D25/F25</f>
        <v>1</v>
      </c>
      <c r="AB25" s="1813">
        <f t="shared" ref="AB25:AB46" si="16">D25/H25</f>
        <v>1</v>
      </c>
      <c r="AC25" s="1813">
        <f t="shared" ref="AC25:AC46" si="17">D25/J25</f>
        <v>1</v>
      </c>
    </row>
    <row r="26" spans="1:29" ht="15">
      <c r="A26" s="427"/>
      <c r="B26" s="421" t="s">
        <v>2550</v>
      </c>
      <c r="C26" s="459"/>
      <c r="D26" s="434">
        <v>100</v>
      </c>
      <c r="E26" s="2611"/>
      <c r="F26" s="434">
        <f>SUMIF(88:88,E26,89:89)-SUMIF(88:88,C26,89:89)+100</f>
        <v>100</v>
      </c>
      <c r="G26" s="2612"/>
      <c r="H26" s="434">
        <f>SUMIF(88:88,G26,89:89)-SUMIF(88:88,C26,89:89)+100</f>
        <v>100</v>
      </c>
      <c r="I26" s="2612"/>
      <c r="J26" s="434">
        <f>SUMIF(88:88,I26,89:89)-SUMIF(88:88,C26,89:89)+100</f>
        <v>100</v>
      </c>
      <c r="K26" s="425"/>
      <c r="L26" s="1142"/>
      <c r="M26" s="1133"/>
      <c r="N26" s="1133"/>
      <c r="O26" s="1133"/>
      <c r="P26" s="3284"/>
      <c r="Q26" s="1812" t="str">
        <f t="shared" si="11"/>
        <v>朝向</v>
      </c>
      <c r="R26" s="773" t="s">
        <v>21</v>
      </c>
      <c r="S26" s="774">
        <f t="shared" si="12"/>
        <v>100</v>
      </c>
      <c r="T26" s="773" t="s">
        <v>21</v>
      </c>
      <c r="U26" s="774">
        <f t="shared" si="13"/>
        <v>100</v>
      </c>
      <c r="V26" s="773" t="s">
        <v>21</v>
      </c>
      <c r="W26" s="774">
        <f t="shared" si="14"/>
        <v>100</v>
      </c>
      <c r="X26" s="1815"/>
      <c r="Y26" s="3214"/>
      <c r="Z26" s="1816" t="str">
        <f>Q26</f>
        <v>朝向</v>
      </c>
      <c r="AA26" s="1813">
        <f t="shared" si="15"/>
        <v>1</v>
      </c>
      <c r="AB26" s="1813">
        <f t="shared" si="16"/>
        <v>1</v>
      </c>
      <c r="AC26" s="1813">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599"/>
      <c r="L27" s="1134"/>
      <c r="M27" s="1135"/>
      <c r="N27" s="1135"/>
      <c r="O27" s="1135"/>
      <c r="P27" s="3284"/>
      <c r="Q27" s="1797">
        <f t="shared" si="11"/>
        <v>111</v>
      </c>
      <c r="R27" s="769" t="s">
        <v>21</v>
      </c>
      <c r="S27" s="770">
        <f t="shared" si="12"/>
        <v>100</v>
      </c>
      <c r="T27" s="769" t="s">
        <v>21</v>
      </c>
      <c r="U27" s="770">
        <f t="shared" si="13"/>
        <v>100</v>
      </c>
      <c r="V27" s="769" t="s">
        <v>21</v>
      </c>
      <c r="W27" s="770">
        <f t="shared" si="14"/>
        <v>100</v>
      </c>
      <c r="X27" s="771"/>
      <c r="Y27" s="3214"/>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13"/>
      <c r="H28" s="434">
        <f>SUMIF(92:92,G28,93:93)-SUMIF(92:92,C28,93:93)+100</f>
        <v>100</v>
      </c>
      <c r="I28" s="433"/>
      <c r="J28" s="434">
        <f>SUMIF(92:92,I28,93:93)-SUMIF(92:92,C28,93:93)+100</f>
        <v>100</v>
      </c>
      <c r="K28" s="2599"/>
      <c r="L28" s="1142"/>
      <c r="M28" s="1133"/>
      <c r="N28" s="1133"/>
      <c r="O28" s="1133"/>
      <c r="P28" s="3284"/>
      <c r="Q28" s="1812">
        <f t="shared" si="11"/>
        <v>111</v>
      </c>
      <c r="R28" s="773" t="s">
        <v>21</v>
      </c>
      <c r="S28" s="774">
        <f t="shared" si="12"/>
        <v>100</v>
      </c>
      <c r="T28" s="773" t="s">
        <v>21</v>
      </c>
      <c r="U28" s="774">
        <f t="shared" si="13"/>
        <v>100</v>
      </c>
      <c r="V28" s="773" t="s">
        <v>21</v>
      </c>
      <c r="W28" s="774">
        <f t="shared" si="14"/>
        <v>100</v>
      </c>
      <c r="X28" s="1815"/>
      <c r="Y28" s="3214"/>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13"/>
      <c r="H29" s="434">
        <f>SUMIF(94:94,G29,95:95)-SUMIF(94:94,C29,95:95)+100</f>
        <v>100</v>
      </c>
      <c r="I29" s="433"/>
      <c r="J29" s="434">
        <f>SUMIF(94:94,I29,95:95)-SUMIF(94:94,C29,95:95)+100</f>
        <v>100</v>
      </c>
      <c r="K29" s="2599"/>
      <c r="L29" s="1142"/>
      <c r="M29" s="1133"/>
      <c r="N29" s="1133"/>
      <c r="O29" s="1133"/>
      <c r="P29" s="3284"/>
      <c r="Q29" s="1812">
        <f t="shared" si="11"/>
        <v>111</v>
      </c>
      <c r="R29" s="773" t="s">
        <v>21</v>
      </c>
      <c r="S29" s="774">
        <f t="shared" si="12"/>
        <v>100</v>
      </c>
      <c r="T29" s="773" t="s">
        <v>21</v>
      </c>
      <c r="U29" s="774">
        <f t="shared" si="13"/>
        <v>100</v>
      </c>
      <c r="V29" s="773" t="s">
        <v>21</v>
      </c>
      <c r="W29" s="774">
        <f t="shared" si="14"/>
        <v>100</v>
      </c>
      <c r="X29" s="1815"/>
      <c r="Y29" s="3214"/>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13"/>
      <c r="H30" s="434">
        <f>SUMIF(96:96,G30,97:97)-SUMIF(96:96,C30,97:97)+100</f>
        <v>100</v>
      </c>
      <c r="I30" s="433"/>
      <c r="J30" s="434">
        <f>SUMIF(96:96,I30,97:97)-SUMIF(96:96,C30,97:97)+100</f>
        <v>100</v>
      </c>
      <c r="K30" s="2599"/>
      <c r="L30" s="1142"/>
      <c r="M30" s="1133"/>
      <c r="N30" s="1133"/>
      <c r="O30" s="1133"/>
      <c r="P30" s="3284"/>
      <c r="Q30" s="1812">
        <f t="shared" si="11"/>
        <v>111</v>
      </c>
      <c r="R30" s="773" t="s">
        <v>21</v>
      </c>
      <c r="S30" s="774">
        <f t="shared" si="12"/>
        <v>100</v>
      </c>
      <c r="T30" s="773" t="s">
        <v>21</v>
      </c>
      <c r="U30" s="774">
        <f t="shared" si="13"/>
        <v>100</v>
      </c>
      <c r="V30" s="773" t="s">
        <v>21</v>
      </c>
      <c r="W30" s="774">
        <f t="shared" si="14"/>
        <v>100</v>
      </c>
      <c r="X30" s="1815"/>
      <c r="Y30" s="3214"/>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14"/>
      <c r="H31" s="437">
        <f>SUMIF(98:98,G31,99:99)-SUMIF(98:98,C31,99:99)+100</f>
        <v>100</v>
      </c>
      <c r="I31" s="436"/>
      <c r="J31" s="437">
        <f>SUMIF(98:98,I31,99:99)-SUMIF(98:98,C31,99:99)+100</f>
        <v>100</v>
      </c>
      <c r="K31" s="2599"/>
      <c r="L31" s="1142"/>
      <c r="M31" s="1133"/>
      <c r="N31" s="1133"/>
      <c r="O31" s="1133"/>
      <c r="P31" s="3284"/>
      <c r="Q31" s="1812">
        <f t="shared" si="11"/>
        <v>111</v>
      </c>
      <c r="R31" s="773" t="s">
        <v>21</v>
      </c>
      <c r="S31" s="774">
        <f t="shared" si="12"/>
        <v>100</v>
      </c>
      <c r="T31" s="773" t="s">
        <v>21</v>
      </c>
      <c r="U31" s="774">
        <f t="shared" si="13"/>
        <v>100</v>
      </c>
      <c r="V31" s="773" t="s">
        <v>21</v>
      </c>
      <c r="W31" s="774">
        <f t="shared" si="14"/>
        <v>100</v>
      </c>
      <c r="X31" s="1815"/>
      <c r="Y31" s="3214"/>
      <c r="Z31" s="1816">
        <f t="shared" si="18"/>
        <v>111</v>
      </c>
      <c r="AA31" s="1813">
        <f t="shared" si="15"/>
        <v>1</v>
      </c>
      <c r="AB31" s="1813">
        <f t="shared" si="16"/>
        <v>1</v>
      </c>
      <c r="AC31" s="1813">
        <f t="shared" si="17"/>
        <v>1</v>
      </c>
    </row>
    <row r="32" spans="1:29" ht="15">
      <c r="A32" s="439" t="s">
        <v>2551</v>
      </c>
      <c r="B32" s="71" t="s">
        <v>2552</v>
      </c>
      <c r="C32" s="2615"/>
      <c r="D32" s="466">
        <v>100</v>
      </c>
      <c r="E32" s="2616"/>
      <c r="F32" s="460">
        <f>SUMIF(100:100,E32,101:101)-SUMIF(100:100,C32,101:101)+100</f>
        <v>100</v>
      </c>
      <c r="G32" s="2615"/>
      <c r="H32" s="466">
        <f>SUMIF(100:100,G32,101:101)-SUMIF(100:100,C32,101:101)+100</f>
        <v>100</v>
      </c>
      <c r="I32" s="2616"/>
      <c r="J32" s="434">
        <f>SUMIF(100:100,I32,101:101)-SUMIF(100:100,C32,101:101)+100</f>
        <v>100</v>
      </c>
      <c r="K32" s="425"/>
      <c r="L32" s="1142"/>
      <c r="M32" s="1133"/>
      <c r="N32" s="1133"/>
      <c r="O32" s="1133"/>
      <c r="P32" s="3279" t="s">
        <v>2553</v>
      </c>
      <c r="Q32" s="1812" t="str">
        <f t="shared" si="11"/>
        <v>建筑类型</v>
      </c>
      <c r="R32" s="773" t="s">
        <v>21</v>
      </c>
      <c r="S32" s="774">
        <f t="shared" si="12"/>
        <v>100</v>
      </c>
      <c r="T32" s="773" t="s">
        <v>21</v>
      </c>
      <c r="U32" s="774">
        <f t="shared" si="13"/>
        <v>100</v>
      </c>
      <c r="V32" s="773" t="s">
        <v>21</v>
      </c>
      <c r="W32" s="774">
        <f t="shared" si="14"/>
        <v>100</v>
      </c>
      <c r="X32" s="1815"/>
      <c r="Y32" s="3216" t="s">
        <v>2553</v>
      </c>
      <c r="Z32" s="1816" t="str">
        <f t="shared" si="18"/>
        <v>建筑类型</v>
      </c>
      <c r="AA32" s="1813">
        <f t="shared" si="15"/>
        <v>1</v>
      </c>
      <c r="AB32" s="1813">
        <f t="shared" si="16"/>
        <v>1</v>
      </c>
      <c r="AC32" s="1813">
        <f t="shared" si="17"/>
        <v>1</v>
      </c>
    </row>
    <row r="33" spans="1:29" s="470" customFormat="1" ht="15">
      <c r="A33" s="467"/>
      <c r="B33" s="421" t="s">
        <v>2554</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9"/>
      <c r="L33" s="1140"/>
      <c r="M33" s="1143"/>
      <c r="N33" s="1143"/>
      <c r="O33" s="1143"/>
      <c r="P33" s="3280"/>
      <c r="Q33" s="775" t="str">
        <f t="shared" si="11"/>
        <v>项目建筑规模</v>
      </c>
      <c r="R33" s="776" t="s">
        <v>21</v>
      </c>
      <c r="S33" s="777" t="e">
        <f t="shared" si="12"/>
        <v>#N/A</v>
      </c>
      <c r="T33" s="776" t="s">
        <v>21</v>
      </c>
      <c r="U33" s="777" t="e">
        <f t="shared" si="13"/>
        <v>#N/A</v>
      </c>
      <c r="V33" s="776" t="s">
        <v>21</v>
      </c>
      <c r="W33" s="777" t="e">
        <f t="shared" si="14"/>
        <v>#N/A</v>
      </c>
      <c r="X33" s="778"/>
      <c r="Y33" s="3216"/>
      <c r="Z33" s="779" t="str">
        <f t="shared" si="18"/>
        <v>项目建筑规模</v>
      </c>
      <c r="AA33" s="1813" t="e">
        <f t="shared" si="15"/>
        <v>#N/A</v>
      </c>
      <c r="AB33" s="1813" t="e">
        <f t="shared" si="16"/>
        <v>#N/A</v>
      </c>
      <c r="AC33" s="1813" t="e">
        <f t="shared" si="17"/>
        <v>#N/A</v>
      </c>
    </row>
    <row r="34" spans="1:29" ht="15">
      <c r="A34" s="471"/>
      <c r="B34" s="421" t="s">
        <v>2555</v>
      </c>
      <c r="C34" s="2617"/>
      <c r="D34" s="434">
        <v>100</v>
      </c>
      <c r="E34" s="2618"/>
      <c r="F34" s="460">
        <f>SUMIF(105:105,E34,106:106)-SUMIF(105:105,C34,106:106)+100</f>
        <v>100</v>
      </c>
      <c r="G34" s="2617"/>
      <c r="H34" s="434">
        <f>SUMIF(105:105,G34,106:106)-SUMIF(105:105,C34,106:106)+100</f>
        <v>100</v>
      </c>
      <c r="I34" s="2618"/>
      <c r="J34" s="434">
        <f>SUMIF(105:105,I34,106:106)-SUMIF(105:105,C34,106:106)+100</f>
        <v>100</v>
      </c>
      <c r="K34" s="425"/>
      <c r="L34" s="1142"/>
      <c r="M34" s="1133"/>
      <c r="N34" s="1133"/>
      <c r="O34" s="1133"/>
      <c r="P34" s="3280"/>
      <c r="Q34" s="1812" t="str">
        <f t="shared" si="11"/>
        <v>建筑结构</v>
      </c>
      <c r="R34" s="773" t="s">
        <v>21</v>
      </c>
      <c r="S34" s="774">
        <f t="shared" si="12"/>
        <v>100</v>
      </c>
      <c r="T34" s="773" t="s">
        <v>21</v>
      </c>
      <c r="U34" s="774">
        <f t="shared" si="13"/>
        <v>100</v>
      </c>
      <c r="V34" s="773" t="s">
        <v>21</v>
      </c>
      <c r="W34" s="774">
        <f t="shared" si="14"/>
        <v>100</v>
      </c>
      <c r="X34" s="1815"/>
      <c r="Y34" s="3216"/>
      <c r="Z34" s="1816" t="str">
        <f t="shared" si="18"/>
        <v>建筑结构</v>
      </c>
      <c r="AA34" s="1813">
        <f t="shared" si="15"/>
        <v>1</v>
      </c>
      <c r="AB34" s="1813">
        <f t="shared" si="16"/>
        <v>1</v>
      </c>
      <c r="AC34" s="1813">
        <f t="shared" si="17"/>
        <v>1</v>
      </c>
    </row>
    <row r="35" spans="1:29" ht="15">
      <c r="A35" s="471"/>
      <c r="B35" s="421" t="s">
        <v>2556</v>
      </c>
      <c r="C35" s="2611"/>
      <c r="D35" s="434">
        <v>100</v>
      </c>
      <c r="E35" s="2612"/>
      <c r="F35" s="460">
        <f>SUMIF(107:107,E35,108:108)-SUMIF(107:107,C35,108:108)+100</f>
        <v>100</v>
      </c>
      <c r="G35" s="2611"/>
      <c r="H35" s="434">
        <f>SUMIF(107:107,G35,108:108)-SUMIF(107:107,C35,108:108)+100</f>
        <v>100</v>
      </c>
      <c r="I35" s="2612"/>
      <c r="J35" s="434">
        <f>SUMIF(107:107,I35,108:108)-SUMIF(107:107,C35,108:108)+100</f>
        <v>100</v>
      </c>
      <c r="K35" s="425"/>
      <c r="L35" s="1142"/>
      <c r="M35" s="1133"/>
      <c r="N35" s="1133"/>
      <c r="O35" s="1133"/>
      <c r="P35" s="3280"/>
      <c r="Q35" s="1812" t="str">
        <f t="shared" si="11"/>
        <v>建筑品质</v>
      </c>
      <c r="R35" s="773" t="s">
        <v>21</v>
      </c>
      <c r="S35" s="774">
        <f t="shared" si="12"/>
        <v>100</v>
      </c>
      <c r="T35" s="773" t="s">
        <v>21</v>
      </c>
      <c r="U35" s="774">
        <f t="shared" si="13"/>
        <v>100</v>
      </c>
      <c r="V35" s="773" t="s">
        <v>21</v>
      </c>
      <c r="W35" s="774">
        <f t="shared" si="14"/>
        <v>100</v>
      </c>
      <c r="X35" s="1815"/>
      <c r="Y35" s="3216"/>
      <c r="Z35" s="1816" t="str">
        <f t="shared" si="18"/>
        <v>建筑品质</v>
      </c>
      <c r="AA35" s="1813">
        <f t="shared" si="15"/>
        <v>1</v>
      </c>
      <c r="AB35" s="1813">
        <f t="shared" si="16"/>
        <v>1</v>
      </c>
      <c r="AC35" s="1813">
        <f t="shared" si="17"/>
        <v>1</v>
      </c>
    </row>
    <row r="36" spans="1:29" ht="15">
      <c r="A36" s="471"/>
      <c r="B36" s="421" t="s">
        <v>2557</v>
      </c>
      <c r="C36" s="2611"/>
      <c r="D36" s="434">
        <v>100</v>
      </c>
      <c r="E36" s="2612"/>
      <c r="F36" s="460">
        <f>SUMIF(109:109,E36,110:110)-SUMIF(109:109,C36,110:110)+100</f>
        <v>100</v>
      </c>
      <c r="G36" s="2611"/>
      <c r="H36" s="434">
        <f>SUMIF(109:109,G36,110:110)-SUMIF(109:109,C36,110:110)+100</f>
        <v>100</v>
      </c>
      <c r="I36" s="2612"/>
      <c r="J36" s="434">
        <f>SUMIF(109:109,I36,110:110)-SUMIF(109:109,C36,110:110)+100</f>
        <v>100</v>
      </c>
      <c r="K36" s="425"/>
      <c r="L36" s="1142"/>
      <c r="M36" s="1133"/>
      <c r="N36" s="1133"/>
      <c r="O36" s="1133"/>
      <c r="P36" s="3280"/>
      <c r="Q36" s="1812" t="str">
        <f t="shared" si="11"/>
        <v>公共部分装修</v>
      </c>
      <c r="R36" s="773" t="s">
        <v>21</v>
      </c>
      <c r="S36" s="774">
        <f t="shared" si="12"/>
        <v>100</v>
      </c>
      <c r="T36" s="773" t="s">
        <v>21</v>
      </c>
      <c r="U36" s="774">
        <f t="shared" si="13"/>
        <v>100</v>
      </c>
      <c r="V36" s="773" t="s">
        <v>21</v>
      </c>
      <c r="W36" s="774">
        <f t="shared" si="14"/>
        <v>100</v>
      </c>
      <c r="X36" s="1815"/>
      <c r="Y36" s="3216"/>
      <c r="Z36" s="1816" t="str">
        <f t="shared" si="18"/>
        <v>公共部分装修</v>
      </c>
      <c r="AA36" s="1813">
        <f t="shared" si="15"/>
        <v>1</v>
      </c>
      <c r="AB36" s="1813">
        <f t="shared" si="16"/>
        <v>1</v>
      </c>
      <c r="AC36" s="1813">
        <f t="shared" si="17"/>
        <v>1</v>
      </c>
    </row>
    <row r="37" spans="1:29" s="117" customFormat="1" ht="15">
      <c r="A37" s="472"/>
      <c r="B37" s="421" t="s">
        <v>2558</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280"/>
      <c r="Q37" s="1797" t="str">
        <f t="shared" si="11"/>
        <v>成新度</v>
      </c>
      <c r="R37" s="769" t="s">
        <v>21</v>
      </c>
      <c r="S37" s="770" t="e">
        <f t="shared" si="12"/>
        <v>#N/A</v>
      </c>
      <c r="T37" s="769" t="s">
        <v>21</v>
      </c>
      <c r="U37" s="770" t="e">
        <f t="shared" si="13"/>
        <v>#N/A</v>
      </c>
      <c r="V37" s="769" t="s">
        <v>21</v>
      </c>
      <c r="W37" s="770" t="e">
        <f t="shared" si="14"/>
        <v>#N/A</v>
      </c>
      <c r="X37" s="771"/>
      <c r="Y37" s="3216"/>
      <c r="Z37" s="55" t="str">
        <f t="shared" si="18"/>
        <v>成新度</v>
      </c>
      <c r="AA37" s="772" t="e">
        <f t="shared" si="15"/>
        <v>#N/A</v>
      </c>
      <c r="AB37" s="772" t="e">
        <f t="shared" si="16"/>
        <v>#N/A</v>
      </c>
      <c r="AC37" s="772" t="e">
        <f t="shared" si="17"/>
        <v>#N/A</v>
      </c>
    </row>
    <row r="38" spans="1:29" ht="15">
      <c r="A38" s="471"/>
      <c r="B38" s="421" t="s">
        <v>2559</v>
      </c>
      <c r="C38" s="2611"/>
      <c r="D38" s="434">
        <v>100</v>
      </c>
      <c r="E38" s="2612"/>
      <c r="F38" s="460">
        <f>SUMIF(114:114,E38,115:115)-SUMIF(114:114,C38,115:115)+100</f>
        <v>100</v>
      </c>
      <c r="G38" s="2611"/>
      <c r="H38" s="434">
        <f>SUMIF(114:114,G38,115:115)-SUMIF(114:114,C38,115:115)+100</f>
        <v>100</v>
      </c>
      <c r="I38" s="2612"/>
      <c r="J38" s="434">
        <f>SUMIF(114:114,I38,115:115)-SUMIF(114:114,C38,115:115)+100</f>
        <v>100</v>
      </c>
      <c r="K38" s="425"/>
      <c r="L38" s="1142"/>
      <c r="M38" s="1133"/>
      <c r="N38" s="1133"/>
      <c r="O38" s="1133"/>
      <c r="P38" s="3280" t="s">
        <v>2553</v>
      </c>
      <c r="Q38" s="1812" t="str">
        <f t="shared" si="11"/>
        <v>物业管理</v>
      </c>
      <c r="R38" s="773" t="s">
        <v>21</v>
      </c>
      <c r="S38" s="774">
        <f t="shared" si="12"/>
        <v>100</v>
      </c>
      <c r="T38" s="773" t="s">
        <v>21</v>
      </c>
      <c r="U38" s="774">
        <f t="shared" si="13"/>
        <v>100</v>
      </c>
      <c r="V38" s="773" t="s">
        <v>21</v>
      </c>
      <c r="W38" s="774">
        <f t="shared" si="14"/>
        <v>100</v>
      </c>
      <c r="X38" s="1815"/>
      <c r="Y38" s="3216" t="s">
        <v>2553</v>
      </c>
      <c r="Z38" s="1816" t="str">
        <f t="shared" si="18"/>
        <v>物业管理</v>
      </c>
      <c r="AA38" s="1813">
        <f t="shared" si="15"/>
        <v>1</v>
      </c>
      <c r="AB38" s="1813">
        <f t="shared" si="16"/>
        <v>1</v>
      </c>
      <c r="AC38" s="1813">
        <f t="shared" si="17"/>
        <v>1</v>
      </c>
    </row>
    <row r="39" spans="1:29" ht="15">
      <c r="A39" s="471"/>
      <c r="B39" s="421" t="s">
        <v>2560</v>
      </c>
      <c r="C39" s="2611"/>
      <c r="D39" s="434">
        <v>100</v>
      </c>
      <c r="E39" s="2612"/>
      <c r="F39" s="460">
        <f>SUMIF(116:116,E39,117:117)-SUMIF(116:116,C39,117:117)+100</f>
        <v>100</v>
      </c>
      <c r="G39" s="2611"/>
      <c r="H39" s="434">
        <f>SUMIF(116:116,G39,117:117)-SUMIF(116:116,C39,117:117)+100</f>
        <v>100</v>
      </c>
      <c r="I39" s="2612"/>
      <c r="J39" s="434">
        <f>SUMIF(116:116,I39,117:117)-SUMIF(116:116,C39,117:117)+100</f>
        <v>100</v>
      </c>
      <c r="K39" s="425"/>
      <c r="L39" s="1142"/>
      <c r="M39" s="1133"/>
      <c r="N39" s="1133"/>
      <c r="O39" s="1133"/>
      <c r="P39" s="3280"/>
      <c r="Q39" s="1812" t="str">
        <f t="shared" si="11"/>
        <v>市政基础设施</v>
      </c>
      <c r="R39" s="773" t="s">
        <v>21</v>
      </c>
      <c r="S39" s="774">
        <f t="shared" si="12"/>
        <v>100</v>
      </c>
      <c r="T39" s="773" t="s">
        <v>21</v>
      </c>
      <c r="U39" s="774">
        <f t="shared" si="13"/>
        <v>100</v>
      </c>
      <c r="V39" s="773" t="s">
        <v>21</v>
      </c>
      <c r="W39" s="774">
        <f t="shared" si="14"/>
        <v>100</v>
      </c>
      <c r="X39" s="1815"/>
      <c r="Y39" s="3216"/>
      <c r="Z39" s="1816" t="str">
        <f t="shared" si="18"/>
        <v>市政基础设施</v>
      </c>
      <c r="AA39" s="1813">
        <f t="shared" si="15"/>
        <v>1</v>
      </c>
      <c r="AB39" s="1813">
        <f t="shared" si="16"/>
        <v>1</v>
      </c>
      <c r="AC39" s="1813">
        <f t="shared" si="17"/>
        <v>1</v>
      </c>
    </row>
    <row r="40" spans="1:29" ht="15">
      <c r="A40" s="471"/>
      <c r="B40" s="421" t="s">
        <v>2561</v>
      </c>
      <c r="C40" s="2611"/>
      <c r="D40" s="434">
        <v>100</v>
      </c>
      <c r="E40" s="2612"/>
      <c r="F40" s="460">
        <f>SUMIF(118:118,E40,119:119)-SUMIF(118:118,C40,119:119)+100</f>
        <v>100</v>
      </c>
      <c r="G40" s="2611"/>
      <c r="H40" s="434">
        <f>SUMIF(118:118,G40,119:119)-SUMIF(118:118,C40,119:119)+100</f>
        <v>100</v>
      </c>
      <c r="I40" s="2612"/>
      <c r="J40" s="434">
        <f>SUMIF(118:118,I40,119:119)-SUMIF(118:118,C40,119:119)+100</f>
        <v>100</v>
      </c>
      <c r="K40" s="425"/>
      <c r="L40" s="1142"/>
      <c r="M40" s="1133"/>
      <c r="N40" s="1133"/>
      <c r="O40" s="1133"/>
      <c r="P40" s="3280"/>
      <c r="Q40" s="1812" t="str">
        <f t="shared" si="11"/>
        <v>房型</v>
      </c>
      <c r="R40" s="773" t="s">
        <v>21</v>
      </c>
      <c r="S40" s="774">
        <f t="shared" si="12"/>
        <v>100</v>
      </c>
      <c r="T40" s="773" t="s">
        <v>21</v>
      </c>
      <c r="U40" s="774">
        <f t="shared" si="13"/>
        <v>100</v>
      </c>
      <c r="V40" s="773" t="s">
        <v>21</v>
      </c>
      <c r="W40" s="774">
        <f t="shared" si="14"/>
        <v>100</v>
      </c>
      <c r="X40" s="1815"/>
      <c r="Y40" s="3216"/>
      <c r="Z40" s="1816" t="str">
        <f t="shared" si="18"/>
        <v>房型</v>
      </c>
      <c r="AA40" s="1813">
        <f t="shared" si="15"/>
        <v>1</v>
      </c>
      <c r="AB40" s="1813">
        <f t="shared" si="16"/>
        <v>1</v>
      </c>
      <c r="AC40" s="1813">
        <f t="shared" si="17"/>
        <v>1</v>
      </c>
    </row>
    <row r="41" spans="1:29" s="470" customFormat="1" ht="28.5">
      <c r="A41" s="467"/>
      <c r="B41" s="421" t="s">
        <v>2562</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9"/>
      <c r="L41" s="1140"/>
      <c r="M41" s="1143"/>
      <c r="N41" s="1143"/>
      <c r="O41" s="1143"/>
      <c r="P41" s="3280"/>
      <c r="Q41" s="775" t="str">
        <f t="shared" si="11"/>
        <v>单套/主力户型建筑面积</v>
      </c>
      <c r="R41" s="776" t="s">
        <v>21</v>
      </c>
      <c r="S41" s="777">
        <f t="shared" si="12"/>
        <v>100</v>
      </c>
      <c r="T41" s="776" t="s">
        <v>21</v>
      </c>
      <c r="U41" s="777">
        <f t="shared" si="13"/>
        <v>100</v>
      </c>
      <c r="V41" s="776" t="s">
        <v>21</v>
      </c>
      <c r="W41" s="777">
        <f t="shared" si="14"/>
        <v>100</v>
      </c>
      <c r="X41" s="778"/>
      <c r="Y41" s="3216"/>
      <c r="Z41" s="779" t="str">
        <f t="shared" si="18"/>
        <v>单套/主力户型建筑面积</v>
      </c>
      <c r="AA41" s="1813">
        <f t="shared" si="15"/>
        <v>1</v>
      </c>
      <c r="AB41" s="1813">
        <f t="shared" si="16"/>
        <v>1</v>
      </c>
      <c r="AC41" s="1813">
        <f t="shared" si="17"/>
        <v>1</v>
      </c>
    </row>
    <row r="42" spans="1:29" ht="15">
      <c r="A42" s="471"/>
      <c r="B42" s="421" t="s">
        <v>2563</v>
      </c>
      <c r="C42" s="2611"/>
      <c r="D42" s="434">
        <v>100</v>
      </c>
      <c r="E42" s="2612"/>
      <c r="F42" s="460">
        <f>SUMIF(122:122,E42,123:123)-SUMIF(122:122,C42,123:123)+100</f>
        <v>100</v>
      </c>
      <c r="G42" s="2611"/>
      <c r="H42" s="434">
        <f>SUMIF(122:122,G42,123:123)-SUMIF(122:122,C42,123:123)+100</f>
        <v>100</v>
      </c>
      <c r="I42" s="2612"/>
      <c r="J42" s="434">
        <f>SUMIF(122:122,I42,123:123)-SUMIF(122:122,C42,123:123)+100</f>
        <v>100</v>
      </c>
      <c r="K42" s="425"/>
      <c r="L42" s="1142"/>
      <c r="M42" s="1133"/>
      <c r="N42" s="1133"/>
      <c r="O42" s="1133"/>
      <c r="P42" s="3280"/>
      <c r="Q42" s="1812" t="str">
        <f t="shared" si="11"/>
        <v>内部装修</v>
      </c>
      <c r="R42" s="773" t="s">
        <v>21</v>
      </c>
      <c r="S42" s="774">
        <f t="shared" si="12"/>
        <v>100</v>
      </c>
      <c r="T42" s="773" t="s">
        <v>21</v>
      </c>
      <c r="U42" s="774">
        <f t="shared" si="13"/>
        <v>100</v>
      </c>
      <c r="V42" s="773" t="s">
        <v>21</v>
      </c>
      <c r="W42" s="774">
        <f t="shared" si="14"/>
        <v>100</v>
      </c>
      <c r="X42" s="1815"/>
      <c r="Y42" s="3216"/>
      <c r="Z42" s="1816" t="str">
        <f t="shared" si="18"/>
        <v>内部装修</v>
      </c>
      <c r="AA42" s="1813">
        <f t="shared" si="15"/>
        <v>1</v>
      </c>
      <c r="AB42" s="1813">
        <f t="shared" si="16"/>
        <v>1</v>
      </c>
      <c r="AC42" s="1813">
        <f t="shared" si="17"/>
        <v>1</v>
      </c>
    </row>
    <row r="43" spans="1:29" ht="15">
      <c r="A43" s="471"/>
      <c r="B43" s="421" t="s">
        <v>2564</v>
      </c>
      <c r="C43" s="2611"/>
      <c r="D43" s="434">
        <v>100</v>
      </c>
      <c r="E43" s="2612"/>
      <c r="F43" s="460">
        <f>SUMIF(124:124,E43,125:125)-SUMIF(124:124,C43,125:125)+100</f>
        <v>100</v>
      </c>
      <c r="G43" s="2611"/>
      <c r="H43" s="434">
        <f>SUMIF(124:124,G43,125:125)-SUMIF(124:124,C43,125:125)+100</f>
        <v>100</v>
      </c>
      <c r="I43" s="2612"/>
      <c r="J43" s="434">
        <f>SUMIF(124:124,I43,125:125)-SUMIF(124:124,C43,125:125)+100</f>
        <v>100</v>
      </c>
      <c r="K43" s="425"/>
      <c r="L43" s="1142"/>
      <c r="M43" s="1133"/>
      <c r="N43" s="1133"/>
      <c r="O43" s="1133"/>
      <c r="P43" s="3280"/>
      <c r="Q43" s="1812" t="str">
        <f t="shared" si="11"/>
        <v>内部装修维护情况</v>
      </c>
      <c r="R43" s="773" t="s">
        <v>21</v>
      </c>
      <c r="S43" s="774">
        <f t="shared" si="12"/>
        <v>100</v>
      </c>
      <c r="T43" s="773" t="s">
        <v>21</v>
      </c>
      <c r="U43" s="774">
        <f t="shared" si="13"/>
        <v>100</v>
      </c>
      <c r="V43" s="773" t="s">
        <v>21</v>
      </c>
      <c r="W43" s="774">
        <f t="shared" si="14"/>
        <v>100</v>
      </c>
      <c r="X43" s="1815"/>
      <c r="Y43" s="3216"/>
      <c r="Z43" s="1816" t="str">
        <f t="shared" si="18"/>
        <v>内部装修维护情况</v>
      </c>
      <c r="AA43" s="1813">
        <f t="shared" si="15"/>
        <v>1</v>
      </c>
      <c r="AB43" s="1813">
        <f t="shared" si="16"/>
        <v>1</v>
      </c>
      <c r="AC43" s="1813">
        <f t="shared" si="17"/>
        <v>1</v>
      </c>
    </row>
    <row r="44" spans="1:29" s="117"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9"/>
      <c r="L44" s="1134"/>
      <c r="M44" s="1135"/>
      <c r="N44" s="1135"/>
      <c r="O44" s="1135"/>
      <c r="P44" s="3280"/>
      <c r="Q44" s="1797">
        <f t="shared" si="11"/>
        <v>111</v>
      </c>
      <c r="R44" s="769" t="s">
        <v>21</v>
      </c>
      <c r="S44" s="770">
        <f t="shared" si="12"/>
        <v>100</v>
      </c>
      <c r="T44" s="769" t="s">
        <v>21</v>
      </c>
      <c r="U44" s="770">
        <f t="shared" si="13"/>
        <v>100</v>
      </c>
      <c r="V44" s="769" t="s">
        <v>21</v>
      </c>
      <c r="W44" s="770">
        <f t="shared" si="14"/>
        <v>100</v>
      </c>
      <c r="X44" s="771"/>
      <c r="Y44" s="3216"/>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9"/>
      <c r="L45" s="1142"/>
      <c r="M45" s="1133"/>
      <c r="N45" s="1133"/>
      <c r="O45" s="1133"/>
      <c r="P45" s="3280"/>
      <c r="Q45" s="1812">
        <f t="shared" si="11"/>
        <v>111</v>
      </c>
      <c r="R45" s="773" t="s">
        <v>21</v>
      </c>
      <c r="S45" s="774">
        <f t="shared" si="12"/>
        <v>100</v>
      </c>
      <c r="T45" s="773" t="s">
        <v>21</v>
      </c>
      <c r="U45" s="774">
        <f t="shared" si="13"/>
        <v>100</v>
      </c>
      <c r="V45" s="773" t="s">
        <v>21</v>
      </c>
      <c r="W45" s="774">
        <f t="shared" si="14"/>
        <v>100</v>
      </c>
      <c r="X45" s="1815"/>
      <c r="Y45" s="3216"/>
      <c r="Z45" s="1816">
        <f t="shared" si="18"/>
        <v>111</v>
      </c>
      <c r="AA45" s="1813">
        <f t="shared" si="15"/>
        <v>1</v>
      </c>
      <c r="AB45" s="1813">
        <f t="shared" si="16"/>
        <v>1</v>
      </c>
      <c r="AC45" s="1813">
        <f t="shared" si="17"/>
        <v>1</v>
      </c>
    </row>
    <row r="46" spans="1:29" ht="15.75" thickBot="1">
      <c r="A46" s="477"/>
      <c r="B46" s="2600">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9"/>
      <c r="L46" s="1142"/>
      <c r="M46" s="1133"/>
      <c r="N46" s="1133"/>
      <c r="O46" s="1133"/>
      <c r="P46" s="3281"/>
      <c r="Q46" s="1812">
        <f t="shared" si="11"/>
        <v>111</v>
      </c>
      <c r="R46" s="773" t="s">
        <v>20</v>
      </c>
      <c r="S46" s="774">
        <f t="shared" si="12"/>
        <v>100</v>
      </c>
      <c r="T46" s="773" t="s">
        <v>20</v>
      </c>
      <c r="U46" s="774">
        <f t="shared" si="13"/>
        <v>100</v>
      </c>
      <c r="V46" s="773" t="s">
        <v>20</v>
      </c>
      <c r="W46" s="774">
        <f t="shared" si="14"/>
        <v>100</v>
      </c>
      <c r="X46" s="1815"/>
      <c r="Y46" s="3282"/>
      <c r="Z46" s="1816">
        <f t="shared" si="18"/>
        <v>111</v>
      </c>
      <c r="AA46" s="1813">
        <f t="shared" si="15"/>
        <v>1</v>
      </c>
      <c r="AB46" s="1813">
        <f t="shared" si="16"/>
        <v>1</v>
      </c>
      <c r="AC46" s="1813">
        <f t="shared" si="17"/>
        <v>1</v>
      </c>
    </row>
    <row r="47" spans="1:29" ht="15">
      <c r="A47" s="478" t="s">
        <v>2565</v>
      </c>
      <c r="B47" s="479"/>
      <c r="C47" s="1409" t="s">
        <v>19</v>
      </c>
      <c r="D47" s="1410"/>
      <c r="E47" s="1411"/>
      <c r="F47" s="1412"/>
      <c r="G47" s="1413"/>
      <c r="H47" s="1414"/>
      <c r="I47" s="1411"/>
      <c r="J47" s="1414"/>
      <c r="K47" s="2619"/>
      <c r="L47" s="1145"/>
      <c r="M47" s="1146"/>
      <c r="N47" s="1133"/>
      <c r="O47" s="1146"/>
      <c r="P47" s="3211" t="str">
        <f>A47</f>
        <v>成交单价（元/平方米）</v>
      </c>
      <c r="Q47" s="3211"/>
      <c r="R47" s="3278">
        <f>E47</f>
        <v>0</v>
      </c>
      <c r="S47" s="3278"/>
      <c r="T47" s="3278">
        <f>G47</f>
        <v>0</v>
      </c>
      <c r="U47" s="3278"/>
      <c r="V47" s="3278">
        <f>I47</f>
        <v>0</v>
      </c>
      <c r="W47" s="3278"/>
      <c r="X47" s="758"/>
      <c r="Y47" s="780"/>
      <c r="Z47" s="758"/>
      <c r="AA47" s="758"/>
      <c r="AB47" s="758"/>
      <c r="AC47" s="758"/>
    </row>
    <row r="48" spans="1:29" ht="15.75" thickBot="1">
      <c r="A48" s="485" t="s">
        <v>2566</v>
      </c>
      <c r="B48" s="486"/>
      <c r="C48" s="1415" t="e">
        <f>R49</f>
        <v>#DIV/0!</v>
      </c>
      <c r="D48" s="1416"/>
      <c r="E48" s="1417" t="e">
        <f>R48</f>
        <v>#DIV/0!</v>
      </c>
      <c r="F48" s="1417"/>
      <c r="G48" s="1415" t="e">
        <f>T48</f>
        <v>#DIV/0!</v>
      </c>
      <c r="H48" s="1416"/>
      <c r="I48" s="1417" t="e">
        <f>V48</f>
        <v>#DIV/0!</v>
      </c>
      <c r="J48" s="1416"/>
      <c r="K48" s="2620"/>
      <c r="L48" s="1145"/>
      <c r="M48" s="1146"/>
      <c r="N48" s="1146"/>
      <c r="O48" s="1146"/>
      <c r="P48" s="3211" t="str">
        <f>A48</f>
        <v>比较价值（元/平方米）</v>
      </c>
      <c r="Q48" s="3211"/>
      <c r="R48" s="3278" t="e">
        <f>IF(F1="售价",ROUND(PRODUCT(R47,AA7:AA46),0),ROUND(PRODUCT(R47,AA7:AA46),1))</f>
        <v>#DIV/0!</v>
      </c>
      <c r="S48" s="3278"/>
      <c r="T48" s="3278" t="e">
        <f>IF(F1="售价",ROUND(PRODUCT(T47,AB7:AB46),0),ROUND(PRODUCT(T47,AB7:AB46),1))</f>
        <v>#DIV/0!</v>
      </c>
      <c r="U48" s="3278"/>
      <c r="V48" s="3278" t="e">
        <f>IF(F1="售价",ROUND(PRODUCT(V47,AC7:AC46),0),ROUND(PRODUCT(V47,AC7:AC46),1))</f>
        <v>#DIV/0!</v>
      </c>
      <c r="W48" s="3278"/>
      <c r="X48" s="758"/>
      <c r="Y48" s="758"/>
      <c r="Z48" s="758"/>
      <c r="AA48" s="758"/>
      <c r="AB48" s="758"/>
      <c r="AC48" s="758"/>
    </row>
    <row r="49" spans="1:29" ht="15.75" thickBot="1">
      <c r="A49" s="491" t="s">
        <v>2567</v>
      </c>
      <c r="B49" s="492"/>
      <c r="C49" s="1418" t="e">
        <f>R49</f>
        <v>#DIV/0!</v>
      </c>
      <c r="D49" s="1419"/>
      <c r="E49" s="1419"/>
      <c r="F49" s="1419"/>
      <c r="G49" s="1419"/>
      <c r="H49" s="1419"/>
      <c r="I49" s="1419"/>
      <c r="J49" s="1419"/>
      <c r="K49" s="2621"/>
      <c r="L49" s="1145"/>
      <c r="M49" s="1146"/>
      <c r="N49" s="1146"/>
      <c r="O49" s="1146"/>
      <c r="P49" s="3205" t="str">
        <f>A49</f>
        <v>估价对象XX用房的比较价值（楼面单价，元/平方米）</v>
      </c>
      <c r="Q49" s="3206"/>
      <c r="R49" s="3277" t="e">
        <f>IF(F1="售价",ROUND(AVERAGE(R48:V48),0),ROUND(AVERAGE(R48:V48),1))</f>
        <v>#DIV/0!</v>
      </c>
      <c r="S49" s="3277"/>
      <c r="T49" s="3277"/>
      <c r="U49" s="3277"/>
      <c r="V49" s="3277"/>
      <c r="W49" s="3277"/>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2568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2569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2570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3"/>
    </row>
    <row r="55" spans="1:29" s="501" customFormat="1">
      <c r="A55" s="1147"/>
      <c r="B55" s="1148"/>
      <c r="C55" s="1152"/>
      <c r="D55" s="1147"/>
      <c r="E55" s="1147"/>
      <c r="F55" s="1147"/>
      <c r="G55" s="1147"/>
      <c r="H55" s="1147"/>
      <c r="I55" s="1147"/>
      <c r="J55" s="1147"/>
      <c r="K55" s="1150"/>
      <c r="L55" s="1151"/>
      <c r="M55" s="1147"/>
      <c r="N55" s="1147"/>
      <c r="O55" s="1147"/>
      <c r="P55" s="2623"/>
    </row>
    <row r="56" spans="1:29">
      <c r="A56" s="1146"/>
      <c r="B56" s="1148"/>
      <c r="C56" s="1152"/>
      <c r="D56" s="1146"/>
      <c r="E56" s="1146"/>
      <c r="F56" s="1146"/>
      <c r="G56" s="1146"/>
      <c r="H56" s="1146"/>
      <c r="I56" s="1146"/>
      <c r="J56" s="1146"/>
      <c r="K56" s="1107"/>
      <c r="L56" s="1108"/>
      <c r="M56" s="1146"/>
      <c r="N56" s="1146"/>
      <c r="O56" s="1146"/>
    </row>
    <row r="57" spans="1:29" ht="21.75" thickBot="1">
      <c r="A57" s="762" t="s">
        <v>2571</v>
      </c>
      <c r="B57" s="758"/>
      <c r="C57" s="763"/>
      <c r="D57" s="763"/>
      <c r="E57" s="763"/>
      <c r="F57" s="764"/>
      <c r="G57" s="764"/>
      <c r="H57" s="763"/>
      <c r="I57" s="763"/>
      <c r="J57" s="763"/>
      <c r="K57" s="1162"/>
      <c r="L57" s="1163"/>
      <c r="M57" s="1161"/>
      <c r="N57" s="1161"/>
      <c r="O57" s="1161"/>
      <c r="P57" s="2624"/>
      <c r="Q57" s="503"/>
    </row>
    <row r="58" spans="1:29" s="507" customFormat="1" ht="15">
      <c r="A58" s="504" t="s">
        <v>2572</v>
      </c>
      <c r="B58" s="505"/>
      <c r="C58" s="1578" t="str">
        <f>YEAR(C7)&amp;"-"&amp;MONTH(C7)</f>
        <v>2018-5</v>
      </c>
      <c r="D58" s="1577">
        <f>EDATE(C58,-1)</f>
        <v>43191</v>
      </c>
      <c r="E58" s="1577">
        <f>EDATE(D58,-1)</f>
        <v>43160</v>
      </c>
      <c r="F58" s="1577">
        <f t="shared" ref="F58:O58" si="19">EDATE(E58,-1)</f>
        <v>43132</v>
      </c>
      <c r="G58" s="1577">
        <f t="shared" si="19"/>
        <v>43101</v>
      </c>
      <c r="H58" s="1577">
        <f t="shared" si="19"/>
        <v>43070</v>
      </c>
      <c r="I58" s="1577">
        <f t="shared" si="19"/>
        <v>43040</v>
      </c>
      <c r="J58" s="1577">
        <f t="shared" si="19"/>
        <v>43009</v>
      </c>
      <c r="K58" s="1577">
        <f t="shared" si="19"/>
        <v>42979</v>
      </c>
      <c r="L58" s="1577">
        <f t="shared" si="19"/>
        <v>42948</v>
      </c>
      <c r="M58" s="1577">
        <f t="shared" si="19"/>
        <v>42917</v>
      </c>
      <c r="N58" s="1577">
        <f t="shared" si="19"/>
        <v>42887</v>
      </c>
      <c r="O58" s="1577">
        <f t="shared" si="19"/>
        <v>42856</v>
      </c>
      <c r="P58" s="1572"/>
    </row>
    <row r="59" spans="1:29" s="117" customFormat="1" ht="15">
      <c r="A59" s="508"/>
      <c r="B59" s="2625"/>
      <c r="C59" s="1575">
        <v>100</v>
      </c>
      <c r="D59" s="510"/>
      <c r="E59" s="511"/>
      <c r="F59" s="511"/>
      <c r="G59" s="511"/>
      <c r="H59" s="511"/>
      <c r="I59" s="511"/>
      <c r="J59" s="511"/>
      <c r="K59" s="511"/>
      <c r="L59" s="511"/>
      <c r="M59" s="512"/>
      <c r="N59" s="511"/>
      <c r="O59" s="512"/>
      <c r="P59" s="2626"/>
    </row>
    <row r="60" spans="1:29" s="117" customFormat="1" ht="15.75" thickBot="1">
      <c r="A60" s="514" t="s">
        <v>2573</v>
      </c>
      <c r="B60" s="515"/>
      <c r="C60" s="516"/>
      <c r="D60" s="517"/>
      <c r="E60" s="517"/>
      <c r="F60" s="517"/>
      <c r="G60" s="517"/>
      <c r="H60" s="517"/>
      <c r="I60" s="517"/>
      <c r="J60" s="517"/>
      <c r="K60" s="517"/>
      <c r="L60" s="517"/>
      <c r="M60" s="518"/>
      <c r="N60" s="517"/>
      <c r="O60" s="518"/>
      <c r="P60" s="2626"/>
      <c r="Q60" s="503"/>
    </row>
    <row r="61" spans="1:29" s="117" customFormat="1" ht="15">
      <c r="A61" s="520" t="s">
        <v>2574</v>
      </c>
      <c r="B61" s="509"/>
      <c r="C61" s="521" t="s">
        <v>2575</v>
      </c>
      <c r="D61" s="522"/>
      <c r="E61" s="522"/>
      <c r="F61" s="522"/>
      <c r="G61" s="522"/>
      <c r="H61" s="522"/>
      <c r="I61" s="522"/>
      <c r="J61" s="522"/>
      <c r="K61" s="522"/>
      <c r="L61" s="523"/>
      <c r="M61" s="524"/>
      <c r="N61" s="1153"/>
      <c r="O61" s="1153"/>
      <c r="P61" s="2627"/>
      <c r="Q61" s="503"/>
    </row>
    <row r="62" spans="1:29" s="117" customFormat="1" ht="15.75" thickBot="1">
      <c r="A62" s="520"/>
      <c r="B62" s="509"/>
      <c r="C62" s="510">
        <v>100</v>
      </c>
      <c r="D62" s="511"/>
      <c r="E62" s="511"/>
      <c r="F62" s="511"/>
      <c r="G62" s="511"/>
      <c r="H62" s="511"/>
      <c r="I62" s="511"/>
      <c r="J62" s="511"/>
      <c r="K62" s="511"/>
      <c r="L62" s="511"/>
      <c r="M62" s="513"/>
      <c r="N62" s="1153"/>
      <c r="O62" s="1153"/>
      <c r="P62" s="2626"/>
      <c r="Q62" s="503"/>
    </row>
    <row r="63" spans="1:29">
      <c r="A63" s="526" t="s">
        <v>2576</v>
      </c>
      <c r="B63" s="527" t="s">
        <v>2542</v>
      </c>
      <c r="C63" s="528">
        <f>C9</f>
        <v>0</v>
      </c>
      <c r="D63" s="529"/>
      <c r="E63" s="529"/>
      <c r="F63" s="529"/>
      <c r="G63" s="529"/>
      <c r="H63" s="529"/>
      <c r="I63" s="529"/>
      <c r="J63" s="529"/>
      <c r="K63" s="530"/>
      <c r="L63" s="531"/>
      <c r="M63" s="532"/>
      <c r="N63" s="1154"/>
      <c r="O63" s="1154"/>
      <c r="P63" s="2628"/>
      <c r="Q63" s="503"/>
    </row>
    <row r="64" spans="1:29" ht="15.75" thickBot="1">
      <c r="A64" s="533"/>
      <c r="B64" s="534"/>
      <c r="C64" s="535">
        <v>100</v>
      </c>
      <c r="D64" s="535"/>
      <c r="E64" s="535"/>
      <c r="F64" s="535"/>
      <c r="G64" s="535"/>
      <c r="H64" s="535"/>
      <c r="I64" s="535"/>
      <c r="J64" s="535"/>
      <c r="K64" s="535"/>
      <c r="L64" s="535"/>
      <c r="M64" s="536"/>
      <c r="N64" s="1155"/>
      <c r="O64" s="1155"/>
      <c r="P64" s="2628"/>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54"/>
      <c r="O65" s="1154"/>
      <c r="P65" s="2628"/>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28"/>
      <c r="Q66" s="503"/>
    </row>
    <row r="67" spans="1:17" ht="15.75" thickTop="1">
      <c r="A67" s="533"/>
      <c r="B67" s="545" t="s">
        <v>2546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28"/>
      <c r="Q67" s="503"/>
    </row>
    <row r="68" spans="1:17" ht="15">
      <c r="A68" s="533"/>
      <c r="B68" s="547"/>
      <c r="C68" s="548"/>
      <c r="D68" s="548"/>
      <c r="E68" s="548"/>
      <c r="F68" s="548"/>
      <c r="G68" s="548"/>
      <c r="H68" s="548"/>
      <c r="I68" s="548"/>
      <c r="J68" s="548"/>
      <c r="K68" s="549"/>
      <c r="L68" s="550"/>
      <c r="M68" s="551"/>
      <c r="N68" s="1154"/>
      <c r="O68" s="1154"/>
      <c r="P68" s="2628"/>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28"/>
      <c r="Q69" s="503"/>
    </row>
    <row r="70" spans="1:17" s="470" customFormat="1" ht="15.75" thickTop="1">
      <c r="A70" s="552"/>
      <c r="B70" s="537">
        <f>B12</f>
        <v>111</v>
      </c>
      <c r="C70" s="553"/>
      <c r="D70" s="553"/>
      <c r="E70" s="553"/>
      <c r="F70" s="553"/>
      <c r="G70" s="553"/>
      <c r="H70" s="554"/>
      <c r="I70" s="554"/>
      <c r="J70" s="554"/>
      <c r="K70" s="554"/>
      <c r="L70" s="555"/>
      <c r="M70" s="556"/>
      <c r="N70" s="1156"/>
      <c r="O70" s="1156"/>
      <c r="P70" s="2629"/>
      <c r="Q70" s="558"/>
    </row>
    <row r="71" spans="1:17" s="470" customFormat="1" ht="15.75" thickBot="1">
      <c r="A71" s="552"/>
      <c r="B71" s="542"/>
      <c r="C71" s="559"/>
      <c r="D71" s="535"/>
      <c r="E71" s="535"/>
      <c r="F71" s="535"/>
      <c r="G71" s="535"/>
      <c r="H71" s="535"/>
      <c r="I71" s="535"/>
      <c r="J71" s="535"/>
      <c r="K71" s="535"/>
      <c r="L71" s="535"/>
      <c r="M71" s="536"/>
      <c r="N71" s="1155"/>
      <c r="O71" s="1155"/>
      <c r="P71" s="2629"/>
      <c r="Q71" s="558"/>
    </row>
    <row r="72" spans="1:17" s="470" customFormat="1" ht="15.75" thickTop="1">
      <c r="A72" s="552"/>
      <c r="B72" s="537">
        <f>B13</f>
        <v>111</v>
      </c>
      <c r="C72" s="553"/>
      <c r="D72" s="553"/>
      <c r="E72" s="553"/>
      <c r="F72" s="553"/>
      <c r="G72" s="553"/>
      <c r="H72" s="554"/>
      <c r="I72" s="554"/>
      <c r="J72" s="554"/>
      <c r="K72" s="554"/>
      <c r="L72" s="555"/>
      <c r="M72" s="556"/>
      <c r="N72" s="1156"/>
      <c r="O72" s="1156"/>
      <c r="P72" s="2630"/>
      <c r="Q72" s="560"/>
    </row>
    <row r="73" spans="1:17" s="470" customFormat="1" ht="15.75" thickBot="1">
      <c r="A73" s="552"/>
      <c r="B73" s="542"/>
      <c r="C73" s="559"/>
      <c r="D73" s="559"/>
      <c r="E73" s="559"/>
      <c r="F73" s="559"/>
      <c r="G73" s="559"/>
      <c r="H73" s="561"/>
      <c r="I73" s="561"/>
      <c r="J73" s="561"/>
      <c r="K73" s="561"/>
      <c r="L73" s="561"/>
      <c r="M73" s="562"/>
      <c r="N73" s="1156"/>
      <c r="O73" s="1156"/>
      <c r="P73" s="2629"/>
      <c r="Q73" s="558"/>
    </row>
    <row r="74" spans="1:17" s="470" customFormat="1" ht="15.75" thickTop="1">
      <c r="A74" s="552"/>
      <c r="B74" s="545">
        <f>B14</f>
        <v>111</v>
      </c>
      <c r="C74" s="553"/>
      <c r="D74" s="553"/>
      <c r="E74" s="553"/>
      <c r="F74" s="553"/>
      <c r="G74" s="522"/>
      <c r="H74" s="563"/>
      <c r="I74" s="563"/>
      <c r="J74" s="563"/>
      <c r="K74" s="563"/>
      <c r="L74" s="564"/>
      <c r="M74" s="565"/>
      <c r="N74" s="1156"/>
      <c r="O74" s="1156"/>
      <c r="P74" s="2631"/>
      <c r="Q74" s="558"/>
    </row>
    <row r="75" spans="1:17" s="470" customFormat="1" ht="15.75" thickBot="1">
      <c r="A75" s="567"/>
      <c r="B75" s="568"/>
      <c r="C75" s="569"/>
      <c r="D75" s="569"/>
      <c r="E75" s="569"/>
      <c r="F75" s="569"/>
      <c r="G75" s="569"/>
      <c r="H75" s="570"/>
      <c r="I75" s="570"/>
      <c r="J75" s="570"/>
      <c r="K75" s="570"/>
      <c r="L75" s="570"/>
      <c r="M75" s="571"/>
      <c r="N75" s="1156"/>
      <c r="O75" s="1156"/>
      <c r="P75" s="2629"/>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54"/>
      <c r="O76" s="1154"/>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8"/>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54"/>
      <c r="O78" s="1154"/>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28"/>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54"/>
      <c r="O80" s="1154"/>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28"/>
      <c r="Q81" s="503"/>
    </row>
    <row r="82" spans="1:17" ht="15.75" thickTop="1">
      <c r="A82" s="533"/>
      <c r="B82" s="545" t="s">
        <v>2092</v>
      </c>
      <c r="C82" s="538" t="s">
        <v>2592</v>
      </c>
      <c r="D82" s="538" t="s">
        <v>2593</v>
      </c>
      <c r="E82" s="538" t="s">
        <v>2594</v>
      </c>
      <c r="F82" s="538" t="s">
        <v>2595</v>
      </c>
      <c r="G82" s="538" t="s">
        <v>2596</v>
      </c>
      <c r="H82" s="538"/>
      <c r="I82" s="538"/>
      <c r="J82" s="538"/>
      <c r="K82" s="538"/>
      <c r="L82" s="538"/>
      <c r="M82" s="1384"/>
      <c r="N82" s="1155"/>
      <c r="O82" s="1155"/>
      <c r="P82" s="2628"/>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28"/>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54"/>
      <c r="O84" s="1154"/>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28"/>
      <c r="Q85" s="503"/>
    </row>
    <row r="86" spans="1:17" s="117" customFormat="1" ht="15.75" thickTop="1">
      <c r="A86" s="578"/>
      <c r="B86" s="537" t="s">
        <v>2598</v>
      </c>
      <c r="C86" s="553"/>
      <c r="D86" s="553"/>
      <c r="E86" s="553"/>
      <c r="F86" s="553"/>
      <c r="G86" s="553"/>
      <c r="H86" s="553"/>
      <c r="I86" s="553"/>
      <c r="J86" s="553"/>
      <c r="K86" s="553"/>
      <c r="L86" s="579"/>
      <c r="M86" s="580"/>
      <c r="N86" s="1153"/>
      <c r="O86" s="1153"/>
      <c r="P86" s="2628"/>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28"/>
      <c r="Q87" s="503"/>
    </row>
    <row r="88" spans="1:17" s="117" customFormat="1" ht="15.75" thickTop="1">
      <c r="A88" s="578"/>
      <c r="B88" s="537" t="s">
        <v>2599</v>
      </c>
      <c r="C88" s="553"/>
      <c r="D88" s="553"/>
      <c r="E88" s="553"/>
      <c r="F88" s="2633"/>
      <c r="G88" s="553"/>
      <c r="H88" s="553"/>
      <c r="I88" s="553"/>
      <c r="J88" s="553"/>
      <c r="K88" s="553"/>
      <c r="L88" s="553"/>
      <c r="M88" s="580"/>
      <c r="N88" s="1153"/>
      <c r="O88" s="1153"/>
      <c r="P88" s="2628"/>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28"/>
      <c r="Q89" s="503"/>
    </row>
    <row r="90" spans="1:17" s="470" customFormat="1" ht="15.75" thickTop="1">
      <c r="A90" s="552"/>
      <c r="B90" s="537">
        <f>B27</f>
        <v>111</v>
      </c>
      <c r="C90" s="553"/>
      <c r="D90" s="553"/>
      <c r="E90" s="553"/>
      <c r="F90" s="553"/>
      <c r="G90" s="553"/>
      <c r="H90" s="554"/>
      <c r="I90" s="554"/>
      <c r="J90" s="554"/>
      <c r="K90" s="554"/>
      <c r="L90" s="555"/>
      <c r="M90" s="556"/>
      <c r="N90" s="1156"/>
      <c r="O90" s="1156"/>
      <c r="P90" s="2629"/>
      <c r="Q90" s="558"/>
    </row>
    <row r="91" spans="1:17" s="470" customFormat="1" ht="15.75" thickBot="1">
      <c r="A91" s="552"/>
      <c r="B91" s="542"/>
      <c r="C91" s="559"/>
      <c r="D91" s="559"/>
      <c r="E91" s="559"/>
      <c r="F91" s="559"/>
      <c r="G91" s="559"/>
      <c r="H91" s="561"/>
      <c r="I91" s="561"/>
      <c r="J91" s="561"/>
      <c r="K91" s="561"/>
      <c r="L91" s="561"/>
      <c r="M91" s="562"/>
      <c r="N91" s="1156"/>
      <c r="O91" s="1156"/>
      <c r="P91" s="2629"/>
      <c r="Q91" s="558"/>
    </row>
    <row r="92" spans="1:17" ht="15.75" thickTop="1">
      <c r="A92" s="533"/>
      <c r="B92" s="537">
        <f>B28</f>
        <v>111</v>
      </c>
      <c r="C92" s="553"/>
      <c r="D92" s="553"/>
      <c r="E92" s="553"/>
      <c r="F92" s="553"/>
      <c r="G92" s="582"/>
      <c r="H92" s="582"/>
      <c r="I92" s="582"/>
      <c r="J92" s="582"/>
      <c r="K92" s="583"/>
      <c r="L92" s="584"/>
      <c r="M92" s="585"/>
      <c r="N92" s="1154"/>
      <c r="O92" s="1154"/>
      <c r="P92" s="2628"/>
      <c r="Q92" s="503"/>
    </row>
    <row r="93" spans="1:17" ht="15.75" thickBot="1">
      <c r="A93" s="533"/>
      <c r="B93" s="542"/>
      <c r="C93" s="559"/>
      <c r="D93" s="535"/>
      <c r="E93" s="535"/>
      <c r="F93" s="535"/>
      <c r="G93" s="535"/>
      <c r="H93" s="535"/>
      <c r="I93" s="535"/>
      <c r="J93" s="535"/>
      <c r="K93" s="535"/>
      <c r="L93" s="535"/>
      <c r="M93" s="536"/>
      <c r="N93" s="1155"/>
      <c r="O93" s="1155"/>
      <c r="P93" s="2628"/>
      <c r="Q93" s="503"/>
    </row>
    <row r="94" spans="1:17" ht="15.75" thickTop="1">
      <c r="A94" s="533"/>
      <c r="B94" s="537">
        <f>B29</f>
        <v>111</v>
      </c>
      <c r="C94" s="553"/>
      <c r="D94" s="553"/>
      <c r="E94" s="553"/>
      <c r="F94" s="553"/>
      <c r="G94" s="582"/>
      <c r="H94" s="582"/>
      <c r="I94" s="582"/>
      <c r="J94" s="582"/>
      <c r="K94" s="583"/>
      <c r="L94" s="584"/>
      <c r="M94" s="585"/>
      <c r="N94" s="1154"/>
      <c r="O94" s="1154"/>
      <c r="P94" s="2628"/>
      <c r="Q94" s="503"/>
    </row>
    <row r="95" spans="1:17" ht="15.75" thickBot="1">
      <c r="A95" s="533"/>
      <c r="B95" s="542"/>
      <c r="C95" s="559"/>
      <c r="D95" s="559"/>
      <c r="E95" s="559"/>
      <c r="F95" s="559"/>
      <c r="G95" s="535"/>
      <c r="H95" s="535"/>
      <c r="I95" s="535"/>
      <c r="J95" s="535"/>
      <c r="K95" s="535"/>
      <c r="L95" s="535"/>
      <c r="M95" s="536"/>
      <c r="N95" s="1155"/>
      <c r="O95" s="1155"/>
      <c r="P95" s="2628"/>
      <c r="Q95" s="503"/>
    </row>
    <row r="96" spans="1:17" ht="15.75" thickTop="1">
      <c r="A96" s="533"/>
      <c r="B96" s="537">
        <f>B30</f>
        <v>111</v>
      </c>
      <c r="C96" s="553"/>
      <c r="D96" s="553"/>
      <c r="E96" s="553"/>
      <c r="F96" s="553"/>
      <c r="G96" s="582"/>
      <c r="H96" s="582"/>
      <c r="I96" s="582"/>
      <c r="J96" s="582"/>
      <c r="K96" s="583"/>
      <c r="L96" s="584"/>
      <c r="M96" s="585"/>
      <c r="N96" s="1154"/>
      <c r="O96" s="1154"/>
      <c r="P96" s="2628"/>
      <c r="Q96" s="503"/>
    </row>
    <row r="97" spans="1:17" ht="15.75" thickBot="1">
      <c r="A97" s="533"/>
      <c r="B97" s="542"/>
      <c r="C97" s="569"/>
      <c r="D97" s="569"/>
      <c r="E97" s="569"/>
      <c r="F97" s="569"/>
      <c r="G97" s="535"/>
      <c r="H97" s="535"/>
      <c r="I97" s="535"/>
      <c r="J97" s="535"/>
      <c r="K97" s="535"/>
      <c r="L97" s="535"/>
      <c r="M97" s="536"/>
      <c r="N97" s="1155"/>
      <c r="O97" s="1155"/>
      <c r="P97" s="2628"/>
      <c r="Q97" s="503"/>
    </row>
    <row r="98" spans="1:17" ht="15.75" thickTop="1">
      <c r="A98" s="533"/>
      <c r="B98" s="545">
        <f>B31</f>
        <v>111</v>
      </c>
      <c r="C98" s="586"/>
      <c r="D98" s="586"/>
      <c r="E98" s="586"/>
      <c r="F98" s="586"/>
      <c r="G98" s="586"/>
      <c r="H98" s="586"/>
      <c r="I98" s="586"/>
      <c r="J98" s="586"/>
      <c r="K98" s="587"/>
      <c r="L98" s="588"/>
      <c r="M98" s="589"/>
      <c r="N98" s="1154"/>
      <c r="O98" s="1154"/>
      <c r="P98" s="2628"/>
      <c r="Q98" s="503"/>
    </row>
    <row r="99" spans="1:17" ht="15.75" thickBot="1">
      <c r="A99" s="2634"/>
      <c r="B99" s="568"/>
      <c r="C99" s="590"/>
      <c r="D99" s="590"/>
      <c r="E99" s="590"/>
      <c r="F99" s="590"/>
      <c r="G99" s="590"/>
      <c r="H99" s="590"/>
      <c r="I99" s="590"/>
      <c r="J99" s="590"/>
      <c r="K99" s="590"/>
      <c r="L99" s="590"/>
      <c r="M99" s="591"/>
      <c r="N99" s="1155"/>
      <c r="O99" s="1155"/>
      <c r="P99" s="2628"/>
      <c r="Q99" s="503"/>
    </row>
    <row r="100" spans="1:17">
      <c r="A100" s="526" t="s">
        <v>2551</v>
      </c>
      <c r="B100" s="527" t="s">
        <v>2600</v>
      </c>
      <c r="C100" s="529"/>
      <c r="D100" s="529"/>
      <c r="E100" s="529"/>
      <c r="F100" s="529"/>
      <c r="G100" s="529"/>
      <c r="H100" s="529"/>
      <c r="I100" s="529"/>
      <c r="J100" s="529"/>
      <c r="K100" s="530"/>
      <c r="L100" s="531"/>
      <c r="M100" s="532"/>
      <c r="N100" s="1154"/>
      <c r="O100" s="1154"/>
      <c r="P100" s="2628"/>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28"/>
      <c r="Q101" s="503"/>
    </row>
    <row r="102" spans="1:17" ht="15.75" thickTop="1">
      <c r="A102" s="533"/>
      <c r="B102" s="537" t="s">
        <v>2601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28"/>
      <c r="Q102" s="503"/>
    </row>
    <row r="103" spans="1:17" s="470" customFormat="1">
      <c r="A103" s="592"/>
      <c r="B103" s="593"/>
      <c r="C103" s="594"/>
      <c r="D103" s="594"/>
      <c r="E103" s="594"/>
      <c r="F103" s="594"/>
      <c r="G103" s="594"/>
      <c r="H103" s="594"/>
      <c r="I103" s="594"/>
      <c r="J103" s="595"/>
      <c r="K103" s="595"/>
      <c r="L103" s="596"/>
      <c r="M103" s="597"/>
      <c r="N103" s="1156"/>
      <c r="O103" s="1156"/>
      <c r="P103" s="2629"/>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29"/>
      <c r="Q104" s="558"/>
    </row>
    <row r="105" spans="1:17" ht="15" thickTop="1">
      <c r="A105" s="598"/>
      <c r="B105" s="537" t="s">
        <v>2602</v>
      </c>
      <c r="C105" s="553"/>
      <c r="D105" s="553"/>
      <c r="E105" s="582"/>
      <c r="F105" s="582"/>
      <c r="G105" s="582"/>
      <c r="H105" s="582"/>
      <c r="I105" s="582"/>
      <c r="J105" s="582"/>
      <c r="K105" s="583"/>
      <c r="L105" s="584"/>
      <c r="M105" s="585"/>
      <c r="N105" s="1154"/>
      <c r="O105" s="1154"/>
      <c r="P105" s="2628"/>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28"/>
      <c r="Q106" s="503"/>
    </row>
    <row r="107" spans="1:17" ht="15" thickTop="1">
      <c r="A107" s="598"/>
      <c r="B107" s="537" t="s">
        <v>2603</v>
      </c>
      <c r="C107" s="582"/>
      <c r="D107" s="582"/>
      <c r="E107" s="582"/>
      <c r="F107" s="582"/>
      <c r="G107" s="582"/>
      <c r="H107" s="582"/>
      <c r="I107" s="582"/>
      <c r="J107" s="582"/>
      <c r="K107" s="583"/>
      <c r="L107" s="584"/>
      <c r="M107" s="585"/>
      <c r="N107" s="1154"/>
      <c r="O107" s="1154"/>
      <c r="P107" s="2628"/>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28"/>
      <c r="Q108" s="503"/>
    </row>
    <row r="109" spans="1:17" ht="15" thickTop="1">
      <c r="A109" s="598"/>
      <c r="B109" s="537" t="s">
        <v>2604</v>
      </c>
      <c r="C109" s="553"/>
      <c r="D109" s="553"/>
      <c r="E109" s="553"/>
      <c r="F109" s="582"/>
      <c r="G109" s="582"/>
      <c r="H109" s="582"/>
      <c r="I109" s="582"/>
      <c r="J109" s="582"/>
      <c r="K109" s="583"/>
      <c r="L109" s="584"/>
      <c r="M109" s="585"/>
      <c r="N109" s="1154"/>
      <c r="O109" s="1154"/>
      <c r="P109" s="2628"/>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28"/>
      <c r="Q110" s="503"/>
    </row>
    <row r="111" spans="1:17" s="470" customFormat="1" ht="15" thickTop="1">
      <c r="A111" s="592"/>
      <c r="B111" s="537" t="s">
        <v>1998</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2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29"/>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29"/>
      <c r="Q113" s="558"/>
    </row>
    <row r="114" spans="1:17" ht="15" thickTop="1">
      <c r="A114" s="598"/>
      <c r="B114" s="537" t="s">
        <v>2605</v>
      </c>
      <c r="C114" s="553"/>
      <c r="D114" s="553"/>
      <c r="E114" s="582"/>
      <c r="F114" s="582"/>
      <c r="G114" s="582"/>
      <c r="H114" s="582"/>
      <c r="I114" s="582"/>
      <c r="J114" s="582"/>
      <c r="K114" s="583"/>
      <c r="L114" s="584"/>
      <c r="M114" s="585"/>
      <c r="N114" s="1154"/>
      <c r="O114" s="1154"/>
      <c r="P114" s="2628"/>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28"/>
      <c r="Q115" s="503"/>
    </row>
    <row r="116" spans="1:17" ht="15" thickTop="1">
      <c r="A116" s="598"/>
      <c r="B116" s="537" t="s">
        <v>2606</v>
      </c>
      <c r="C116" s="553"/>
      <c r="D116" s="553"/>
      <c r="E116" s="553"/>
      <c r="F116" s="553"/>
      <c r="G116" s="553"/>
      <c r="H116" s="582"/>
      <c r="I116" s="582"/>
      <c r="J116" s="582"/>
      <c r="K116" s="583"/>
      <c r="L116" s="584"/>
      <c r="M116" s="585"/>
      <c r="N116" s="1154"/>
      <c r="O116" s="1154"/>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28"/>
      <c r="Q117" s="503"/>
    </row>
    <row r="118" spans="1:17" ht="15" thickTop="1">
      <c r="A118" s="598"/>
      <c r="B118" s="537" t="s">
        <v>2607</v>
      </c>
      <c r="C118" s="582"/>
      <c r="D118" s="582"/>
      <c r="E118" s="582"/>
      <c r="F118" s="582"/>
      <c r="G118" s="582"/>
      <c r="H118" s="582"/>
      <c r="I118" s="582"/>
      <c r="J118" s="582"/>
      <c r="K118" s="583"/>
      <c r="L118" s="584"/>
      <c r="M118" s="585"/>
      <c r="N118" s="1154"/>
      <c r="O118" s="1154"/>
      <c r="P118" s="2628"/>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28"/>
      <c r="Q119" s="503"/>
    </row>
    <row r="120" spans="1:17" s="470" customFormat="1" ht="28.5" thickTop="1">
      <c r="A120" s="592"/>
      <c r="B120" s="537" t="s">
        <v>2562</v>
      </c>
      <c r="C120" s="553"/>
      <c r="D120" s="553"/>
      <c r="E120" s="553"/>
      <c r="F120" s="553"/>
      <c r="G120" s="553"/>
      <c r="H120" s="553"/>
      <c r="I120" s="553"/>
      <c r="J120" s="553"/>
      <c r="K120" s="553"/>
      <c r="L120" s="579"/>
      <c r="M120" s="580"/>
      <c r="N120" s="1156"/>
      <c r="O120" s="1156"/>
      <c r="P120" s="2629"/>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29"/>
      <c r="Q121" s="558"/>
    </row>
    <row r="122" spans="1:17" ht="15" thickTop="1">
      <c r="A122" s="598"/>
      <c r="B122" s="537" t="s">
        <v>2608</v>
      </c>
      <c r="C122" s="553"/>
      <c r="D122" s="553"/>
      <c r="E122" s="553"/>
      <c r="F122" s="582"/>
      <c r="G122" s="582"/>
      <c r="H122" s="582"/>
      <c r="I122" s="582"/>
      <c r="J122" s="582"/>
      <c r="K122" s="583"/>
      <c r="L122" s="584"/>
      <c r="M122" s="585"/>
      <c r="N122" s="1154"/>
      <c r="O122" s="1154"/>
      <c r="P122" s="2628"/>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28"/>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54"/>
      <c r="O124" s="1154"/>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28"/>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29"/>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29"/>
      <c r="Q127" s="558"/>
    </row>
    <row r="128" spans="1:17" ht="15" thickTop="1">
      <c r="A128" s="598"/>
      <c r="B128" s="537">
        <f>B45</f>
        <v>111</v>
      </c>
      <c r="C128" s="553"/>
      <c r="D128" s="553"/>
      <c r="E128" s="553"/>
      <c r="F128" s="553"/>
      <c r="G128" s="582"/>
      <c r="H128" s="582"/>
      <c r="I128" s="582"/>
      <c r="J128" s="582"/>
      <c r="K128" s="583"/>
      <c r="L128" s="584"/>
      <c r="M128" s="585"/>
      <c r="N128" s="1154"/>
      <c r="O128" s="1154"/>
      <c r="P128" s="2628"/>
      <c r="Q128" s="503"/>
    </row>
    <row r="129" spans="1:17" ht="15.75" thickBot="1">
      <c r="A129" s="533"/>
      <c r="B129" s="542"/>
      <c r="C129" s="559"/>
      <c r="D129" s="559"/>
      <c r="E129" s="559"/>
      <c r="F129" s="559"/>
      <c r="G129" s="535"/>
      <c r="H129" s="535"/>
      <c r="I129" s="535"/>
      <c r="J129" s="535"/>
      <c r="K129" s="535"/>
      <c r="L129" s="535"/>
      <c r="M129" s="536"/>
      <c r="N129" s="1155"/>
      <c r="O129" s="1155"/>
      <c r="P129" s="2628"/>
      <c r="Q129" s="503"/>
    </row>
    <row r="130" spans="1:17" ht="15" thickTop="1">
      <c r="A130" s="598"/>
      <c r="B130" s="545">
        <f>B46</f>
        <v>111</v>
      </c>
      <c r="C130" s="553"/>
      <c r="D130" s="553"/>
      <c r="E130" s="553"/>
      <c r="F130" s="553"/>
      <c r="G130" s="586"/>
      <c r="H130" s="586"/>
      <c r="I130" s="586"/>
      <c r="J130" s="586"/>
      <c r="K130" s="522"/>
      <c r="L130" s="523"/>
      <c r="M130" s="589"/>
      <c r="N130" s="1154"/>
      <c r="O130" s="1154"/>
      <c r="P130" s="2628"/>
      <c r="Q130" s="503"/>
    </row>
    <row r="131" spans="1:17" ht="15.75" thickBot="1">
      <c r="A131" s="2634"/>
      <c r="B131" s="568"/>
      <c r="C131" s="569"/>
      <c r="D131" s="569"/>
      <c r="E131" s="569"/>
      <c r="F131" s="569"/>
      <c r="G131" s="590"/>
      <c r="H131" s="590"/>
      <c r="I131" s="590"/>
      <c r="J131" s="590"/>
      <c r="K131" s="590"/>
      <c r="L131" s="590"/>
      <c r="M131" s="591"/>
      <c r="N131" s="1155"/>
      <c r="O131" s="1155"/>
      <c r="P131" s="2628"/>
      <c r="Q131" s="503"/>
    </row>
    <row r="136" spans="1:17" ht="15" thickBot="1">
      <c r="B136" s="2635" t="s">
        <v>2610</v>
      </c>
    </row>
    <row r="137" spans="1:17" ht="15">
      <c r="B137" s="2636" t="s">
        <v>2611</v>
      </c>
      <c r="C137" s="2637"/>
      <c r="D137" s="2637"/>
      <c r="E137" s="2637"/>
      <c r="F137" s="2637"/>
      <c r="G137" s="2638"/>
      <c r="H137" s="2639"/>
      <c r="I137" s="2640" t="s">
        <v>2612</v>
      </c>
      <c r="J137" s="2637"/>
      <c r="K137" s="2641"/>
    </row>
    <row r="138" spans="1:17" ht="15">
      <c r="B138" s="2642"/>
      <c r="C138" s="145" t="s">
        <v>2613</v>
      </c>
      <c r="D138" s="145" t="s">
        <v>2614</v>
      </c>
      <c r="E138" s="2643" t="s">
        <v>2615</v>
      </c>
      <c r="F138" s="2644" t="s">
        <v>2616</v>
      </c>
      <c r="G138" s="145" t="s">
        <v>2614</v>
      </c>
      <c r="H138" s="146" t="s">
        <v>2615</v>
      </c>
      <c r="I138" s="2645"/>
      <c r="J138" s="145" t="s">
        <v>2617</v>
      </c>
      <c r="K138" s="146" t="s">
        <v>2618</v>
      </c>
    </row>
    <row r="139" spans="1:17" ht="15">
      <c r="B139" s="1086">
        <v>6</v>
      </c>
      <c r="C139" s="1087">
        <v>96</v>
      </c>
      <c r="D139" s="2646" t="s">
        <v>2619</v>
      </c>
      <c r="E139" s="1088">
        <v>100</v>
      </c>
      <c r="F139" s="1089">
        <v>102.5</v>
      </c>
      <c r="G139" s="2646" t="s">
        <v>2619</v>
      </c>
      <c r="H139" s="1090">
        <v>105</v>
      </c>
      <c r="I139" s="2647" t="s">
        <v>2620</v>
      </c>
      <c r="J139" s="1087">
        <v>20</v>
      </c>
      <c r="K139" s="1091">
        <f>C145/(J139-2)</f>
        <v>4.0555555555555553E-3</v>
      </c>
    </row>
    <row r="140" spans="1:17" ht="15">
      <c r="B140" s="1092">
        <v>5</v>
      </c>
      <c r="C140" s="1093">
        <v>100</v>
      </c>
      <c r="D140" s="1093"/>
      <c r="E140" s="1094"/>
      <c r="F140" s="1095">
        <v>102</v>
      </c>
      <c r="G140" s="1093"/>
      <c r="H140" s="1096"/>
      <c r="I140" s="2648" t="s">
        <v>2621</v>
      </c>
      <c r="J140" s="314">
        <f>ROUNDUP((J139-1)/2,0)</f>
        <v>10</v>
      </c>
      <c r="K140" s="1097">
        <v>100</v>
      </c>
    </row>
    <row r="141" spans="1:17" ht="15">
      <c r="B141" s="1092">
        <v>4</v>
      </c>
      <c r="C141" s="1093">
        <v>102</v>
      </c>
      <c r="D141" s="1093"/>
      <c r="E141" s="1094"/>
      <c r="F141" s="1095">
        <v>101.5</v>
      </c>
      <c r="G141" s="1093"/>
      <c r="H141" s="1096"/>
      <c r="I141" s="2648" t="s">
        <v>2622</v>
      </c>
      <c r="J141" s="314">
        <v>1</v>
      </c>
      <c r="K141" s="1098">
        <f>ROUND(100+(J141-J140)*K139*100,1)</f>
        <v>96.4</v>
      </c>
    </row>
    <row r="142" spans="1:17" ht="15">
      <c r="B142" s="1092">
        <v>3</v>
      </c>
      <c r="C142" s="1093">
        <v>103</v>
      </c>
      <c r="D142" s="1093"/>
      <c r="E142" s="1094"/>
      <c r="F142" s="1095">
        <v>101</v>
      </c>
      <c r="G142" s="1093"/>
      <c r="H142" s="1096"/>
      <c r="I142" s="2648" t="s">
        <v>2623</v>
      </c>
      <c r="J142" s="314">
        <f>J139</f>
        <v>20</v>
      </c>
      <c r="K142" s="1099">
        <v>95</v>
      </c>
    </row>
    <row r="143" spans="1:17" ht="15">
      <c r="B143" s="1092">
        <v>2</v>
      </c>
      <c r="C143" s="1093">
        <v>100</v>
      </c>
      <c r="D143" s="1093"/>
      <c r="E143" s="1094"/>
      <c r="F143" s="1095">
        <v>100.5</v>
      </c>
      <c r="G143" s="1093"/>
      <c r="H143" s="1096"/>
      <c r="I143" s="2648" t="s">
        <v>2624</v>
      </c>
      <c r="J143" s="1093">
        <v>15</v>
      </c>
      <c r="K143" s="1098">
        <f>ROUND(100+(J143-J140)*K139*100,1)</f>
        <v>102</v>
      </c>
    </row>
    <row r="144" spans="1:17" ht="15">
      <c r="B144" s="1092">
        <v>1</v>
      </c>
      <c r="C144" s="1093">
        <v>98</v>
      </c>
      <c r="D144" s="2649" t="s">
        <v>2625</v>
      </c>
      <c r="E144" s="1094">
        <v>102</v>
      </c>
      <c r="F144" s="1100">
        <v>100</v>
      </c>
      <c r="G144" s="2649" t="s">
        <v>2625</v>
      </c>
      <c r="H144" s="1096">
        <v>105</v>
      </c>
      <c r="I144" s="2648" t="s">
        <v>2624</v>
      </c>
      <c r="J144" s="1093">
        <v>18</v>
      </c>
      <c r="K144" s="1098">
        <f>ROUND(100+(J144-J140)*K139*100,1)</f>
        <v>103.2</v>
      </c>
    </row>
    <row r="145" spans="2:11" ht="15.75" thickBot="1">
      <c r="B145" s="2650" t="s">
        <v>2626</v>
      </c>
      <c r="C145" s="1101">
        <f>ROUND(MAX(C139:C144)/MIN(C139:C144)-1,3)</f>
        <v>7.2999999999999995E-2</v>
      </c>
      <c r="D145" s="1102"/>
      <c r="E145" s="1102"/>
      <c r="F145" s="2651" t="s">
        <v>2627</v>
      </c>
      <c r="G145" s="2652"/>
      <c r="H145" s="2653"/>
      <c r="I145" s="2654" t="s">
        <v>2624</v>
      </c>
      <c r="J145" s="1103">
        <v>8</v>
      </c>
      <c r="K145" s="1104">
        <f>ROUND(100+(J145-J140)*K139*100,1)</f>
        <v>99.2</v>
      </c>
    </row>
    <row r="147" spans="2:11">
      <c r="B147" s="2635" t="s">
        <v>2628</v>
      </c>
    </row>
    <row r="148" spans="2:11">
      <c r="B148" s="2635" t="s">
        <v>2629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2516</v>
      </c>
      <c r="B1" s="2580" t="s">
        <v>2630</v>
      </c>
      <c r="C1" s="1636" t="s">
        <v>2518</v>
      </c>
      <c r="D1" s="1623"/>
      <c r="E1" s="2655"/>
      <c r="F1" s="2582"/>
      <c r="G1" s="1633" t="s">
        <v>2631</v>
      </c>
      <c r="H1" s="1632"/>
      <c r="I1" s="1632"/>
      <c r="J1" s="1632"/>
      <c r="K1" s="1634"/>
      <c r="L1" s="1635"/>
      <c r="M1" s="1636"/>
      <c r="N1" s="1636"/>
      <c r="O1" s="1636"/>
      <c r="P1" s="2656"/>
      <c r="Q1" s="2657"/>
      <c r="R1" s="2657"/>
      <c r="S1" s="2657"/>
      <c r="T1" s="2657"/>
      <c r="U1" s="2657"/>
      <c r="V1" s="2657"/>
      <c r="W1" s="2657"/>
      <c r="X1" s="2657"/>
      <c r="Y1" s="2657"/>
      <c r="Z1" s="2657"/>
      <c r="AA1" s="2657"/>
      <c r="AB1" s="2657"/>
      <c r="AC1" s="2658"/>
    </row>
    <row r="2" spans="1:29" s="397" customFormat="1" ht="28.5" customHeight="1" thickTop="1">
      <c r="A2" s="1619" t="s">
        <v>2318</v>
      </c>
      <c r="B2" s="1420" t="e">
        <f ca="1">IF(C2="——",ROUND(C49*D3/10000,0),ROUND(C49*D3/10000,0)-D2)</f>
        <v>#DIV/0!</v>
      </c>
      <c r="C2" s="2584"/>
      <c r="D2" s="1367" t="e">
        <f ca="1">SUMIF(INDIRECT("'"&amp;F2&amp;"'"&amp;"!A:A"),"承租人权益价值",INDIRECT("'"&amp;F2&amp;"'"&amp;"!c:c"))</f>
        <v>#REF!</v>
      </c>
      <c r="E2" s="2585" t="s">
        <v>2319</v>
      </c>
      <c r="F2" s="2586"/>
      <c r="G2" s="1127"/>
      <c r="H2" s="1127"/>
      <c r="I2" s="1127"/>
      <c r="J2" s="1127"/>
      <c r="K2" s="1127"/>
      <c r="L2" s="1130"/>
      <c r="M2" s="1131"/>
      <c r="N2" s="1131"/>
      <c r="O2" s="1131"/>
      <c r="P2" s="2659"/>
      <c r="Q2" s="1131"/>
      <c r="R2" s="1131"/>
      <c r="S2" s="1131"/>
      <c r="T2" s="1131"/>
      <c r="U2" s="1131"/>
      <c r="V2" s="1131"/>
      <c r="W2" s="1131"/>
      <c r="X2" s="1131"/>
      <c r="Y2" s="1131"/>
      <c r="Z2" s="1131"/>
      <c r="AA2" s="1131"/>
      <c r="AB2" s="1131"/>
      <c r="AC2" s="2660"/>
    </row>
    <row r="3" spans="1:29" s="397" customFormat="1" ht="28.5" customHeight="1" thickBot="1">
      <c r="A3" s="246" t="s">
        <v>2320</v>
      </c>
      <c r="B3" s="608" t="e">
        <f ca="1">IF(C2="——",C49,ROUND(B2*10000/D3,0))</f>
        <v>#DIV/0!</v>
      </c>
      <c r="C3" s="399" t="s">
        <v>2632</v>
      </c>
      <c r="D3" s="398">
        <f>IF(D1="",'数据-汇总表'!E3,SUMIF('数据-汇总表'!$C19:$C33,D1,'数据-汇总表'!$E19:$E33))</f>
        <v>178615</v>
      </c>
      <c r="E3" s="2661"/>
      <c r="F3" s="1128"/>
      <c r="G3" s="1127"/>
      <c r="H3" s="1127"/>
      <c r="I3" s="1127"/>
      <c r="J3" s="1127"/>
      <c r="K3" s="1129"/>
      <c r="L3" s="1130"/>
      <c r="M3" s="1131"/>
      <c r="N3" s="1131"/>
      <c r="O3" s="1131"/>
      <c r="P3" s="2659"/>
      <c r="Q3" s="1131"/>
      <c r="R3" s="1131"/>
      <c r="S3" s="1131"/>
      <c r="T3" s="1131"/>
      <c r="U3" s="1131"/>
      <c r="V3" s="1131"/>
      <c r="W3" s="1131"/>
      <c r="X3" s="1131"/>
      <c r="Y3" s="1131"/>
      <c r="Z3" s="1131"/>
      <c r="AA3" s="1131"/>
      <c r="AB3" s="1131"/>
      <c r="AC3" s="2661"/>
    </row>
    <row r="4" spans="1:29" ht="15">
      <c r="A4" s="400" t="s">
        <v>2633</v>
      </c>
      <c r="B4" s="401"/>
      <c r="C4" s="3208" t="s">
        <v>2634</v>
      </c>
      <c r="D4" s="3221"/>
      <c r="E4" s="3222" t="s">
        <v>2635</v>
      </c>
      <c r="F4" s="3223"/>
      <c r="G4" s="3208" t="s">
        <v>2636</v>
      </c>
      <c r="H4" s="3221"/>
      <c r="I4" s="3208" t="s">
        <v>2637</v>
      </c>
      <c r="J4" s="3221"/>
      <c r="K4" s="609" t="s">
        <v>2638</v>
      </c>
      <c r="L4" s="1132"/>
      <c r="M4" s="1133"/>
      <c r="N4" s="1133"/>
      <c r="O4" s="1133"/>
      <c r="P4" s="3224" t="s">
        <v>2639</v>
      </c>
      <c r="Q4" s="3225"/>
      <c r="R4" s="3230" t="s">
        <v>2635</v>
      </c>
      <c r="S4" s="3231"/>
      <c r="T4" s="3230" t="s">
        <v>2636</v>
      </c>
      <c r="U4" s="3231"/>
      <c r="V4" s="3217" t="s">
        <v>2637</v>
      </c>
      <c r="W4" s="3217"/>
      <c r="X4" s="1815"/>
      <c r="Y4" s="3230" t="s">
        <v>2639</v>
      </c>
      <c r="Z4" s="3231"/>
      <c r="AA4" s="3218" t="s">
        <v>2635</v>
      </c>
      <c r="AB4" s="3217" t="s">
        <v>2636</v>
      </c>
      <c r="AC4" s="3218" t="s">
        <v>2637</v>
      </c>
    </row>
    <row r="5" spans="1:29" ht="15">
      <c r="A5" s="403"/>
      <c r="B5" s="404"/>
      <c r="C5" s="3243" t="s">
        <v>2530</v>
      </c>
      <c r="D5" s="3239"/>
      <c r="E5" s="3286" t="s">
        <v>2531</v>
      </c>
      <c r="F5" s="3248"/>
      <c r="G5" s="3243" t="s">
        <v>2532</v>
      </c>
      <c r="H5" s="3239"/>
      <c r="I5" s="3243" t="s">
        <v>2533</v>
      </c>
      <c r="J5" s="3239"/>
      <c r="K5" s="609"/>
      <c r="L5" s="1132"/>
      <c r="M5" s="1133"/>
      <c r="N5" s="1133"/>
      <c r="O5" s="1133"/>
      <c r="P5" s="3226"/>
      <c r="Q5" s="3227"/>
      <c r="R5" s="3232"/>
      <c r="S5" s="3233"/>
      <c r="T5" s="3232"/>
      <c r="U5" s="3233"/>
      <c r="V5" s="3217"/>
      <c r="W5" s="3217"/>
      <c r="X5" s="1815"/>
      <c r="Y5" s="3232"/>
      <c r="Z5" s="3233"/>
      <c r="AA5" s="3219"/>
      <c r="AB5" s="3217"/>
      <c r="AC5" s="3219"/>
    </row>
    <row r="6" spans="1:29" ht="15.75" thickBot="1">
      <c r="A6" s="405"/>
      <c r="B6" s="406"/>
      <c r="C6" s="3244" t="s">
        <v>2534</v>
      </c>
      <c r="D6" s="3237"/>
      <c r="E6" s="3285" t="s">
        <v>2534</v>
      </c>
      <c r="F6" s="3246"/>
      <c r="G6" s="3244" t="s">
        <v>2534</v>
      </c>
      <c r="H6" s="3237"/>
      <c r="I6" s="3244" t="s">
        <v>2534</v>
      </c>
      <c r="J6" s="3237"/>
      <c r="K6" s="609" t="s">
        <v>2535</v>
      </c>
      <c r="L6" s="1132"/>
      <c r="M6" s="1133"/>
      <c r="N6" s="1133"/>
      <c r="O6" s="1133"/>
      <c r="P6" s="3228"/>
      <c r="Q6" s="3229"/>
      <c r="R6" s="3232"/>
      <c r="S6" s="3233"/>
      <c r="T6" s="3234"/>
      <c r="U6" s="3235"/>
      <c r="V6" s="3217"/>
      <c r="W6" s="3217"/>
      <c r="X6" s="1815"/>
      <c r="Y6" s="3234"/>
      <c r="Z6" s="3235"/>
      <c r="AA6" s="3220"/>
      <c r="AB6" s="3217"/>
      <c r="AC6" s="3220"/>
    </row>
    <row r="7" spans="1:29" s="117" customFormat="1" ht="15.75" thickBot="1">
      <c r="A7" s="407" t="s">
        <v>2536</v>
      </c>
      <c r="B7" s="408"/>
      <c r="C7" s="409">
        <f>'数据-取费表'!B2</f>
        <v>43248</v>
      </c>
      <c r="D7" s="410">
        <v>100</v>
      </c>
      <c r="E7" s="411"/>
      <c r="F7" s="412">
        <f>SUMIF(58:58,YEAR(E7)&amp;"-"&amp;MONTH(E7),59:59)</f>
        <v>0</v>
      </c>
      <c r="G7" s="411"/>
      <c r="H7" s="410">
        <f>SUMIF(58:58,YEAR(G7)&amp;"-"&amp;MONTH(G7),59:59)</f>
        <v>0</v>
      </c>
      <c r="I7" s="411"/>
      <c r="J7" s="410">
        <f>SUMIF(58:58,YEAR(I7)&amp;"-"&amp;MONTH(I7),59:59)</f>
        <v>0</v>
      </c>
      <c r="K7" s="610"/>
      <c r="L7" s="1134"/>
      <c r="M7" s="1135"/>
      <c r="N7" s="1135"/>
      <c r="O7" s="1135"/>
      <c r="P7" s="3240" t="s">
        <v>2537</v>
      </c>
      <c r="Q7" s="3242"/>
      <c r="R7" s="769" t="s">
        <v>17</v>
      </c>
      <c r="S7" s="770">
        <f t="shared" ref="S7:S15" si="0">F7</f>
        <v>0</v>
      </c>
      <c r="T7" s="769" t="s">
        <v>17</v>
      </c>
      <c r="U7" s="770">
        <f t="shared" ref="U7:U15" si="1">H7</f>
        <v>0</v>
      </c>
      <c r="V7" s="769" t="s">
        <v>17</v>
      </c>
      <c r="W7" s="770">
        <f t="shared" ref="W7:W15" si="2">J7</f>
        <v>0</v>
      </c>
      <c r="X7" s="771"/>
      <c r="Y7" s="3240" t="s">
        <v>2537</v>
      </c>
      <c r="Z7" s="3241"/>
      <c r="AA7" s="772" t="e">
        <f>D7/F7</f>
        <v>#DIV/0!</v>
      </c>
      <c r="AB7" s="772" t="e">
        <f>D7/H7</f>
        <v>#DIV/0!</v>
      </c>
      <c r="AC7" s="772" t="e">
        <f>D7/J7</f>
        <v>#DIV/0!</v>
      </c>
    </row>
    <row r="8" spans="1:29" s="117" customFormat="1" ht="15.75" thickBot="1">
      <c r="A8" s="407" t="s">
        <v>2538</v>
      </c>
      <c r="B8" s="408"/>
      <c r="C8" s="413" t="s">
        <v>2640</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240" t="s">
        <v>2540</v>
      </c>
      <c r="Q8" s="3241"/>
      <c r="R8" s="769" t="s">
        <v>17</v>
      </c>
      <c r="S8" s="770">
        <f t="shared" si="0"/>
        <v>0</v>
      </c>
      <c r="T8" s="769" t="s">
        <v>17</v>
      </c>
      <c r="U8" s="770">
        <f t="shared" si="1"/>
        <v>0</v>
      </c>
      <c r="V8" s="769" t="s">
        <v>17</v>
      </c>
      <c r="W8" s="770">
        <f t="shared" si="2"/>
        <v>0</v>
      </c>
      <c r="X8" s="771"/>
      <c r="Y8" s="3240" t="s">
        <v>2540</v>
      </c>
      <c r="Z8" s="3241"/>
      <c r="AA8" s="772" t="e">
        <f t="shared" ref="AA8:AA46" si="3">D8/F8</f>
        <v>#DIV/0!</v>
      </c>
      <c r="AB8" s="772" t="e">
        <f t="shared" ref="AB8:AB46" si="4">D8/H8</f>
        <v>#DIV/0!</v>
      </c>
      <c r="AC8" s="772" t="e">
        <f t="shared" ref="AC8:AC46" si="5">D8/J8</f>
        <v>#DIV/0!</v>
      </c>
    </row>
    <row r="9" spans="1:29" s="117" customFormat="1">
      <c r="A9" s="414" t="s">
        <v>2541</v>
      </c>
      <c r="B9" s="71" t="s">
        <v>2542</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210" t="s">
        <v>2543</v>
      </c>
      <c r="Q9" s="1797" t="str">
        <f t="shared" ref="Q9:Q15" si="6">B9</f>
        <v>用途</v>
      </c>
      <c r="R9" s="769" t="s">
        <v>17</v>
      </c>
      <c r="S9" s="770">
        <f t="shared" si="0"/>
        <v>100</v>
      </c>
      <c r="T9" s="769" t="s">
        <v>17</v>
      </c>
      <c r="U9" s="770">
        <f t="shared" si="1"/>
        <v>100</v>
      </c>
      <c r="V9" s="769" t="s">
        <v>17</v>
      </c>
      <c r="W9" s="770">
        <f t="shared" si="2"/>
        <v>100</v>
      </c>
      <c r="X9" s="771"/>
      <c r="Y9" s="3059" t="s">
        <v>2544</v>
      </c>
      <c r="Z9" s="55" t="str">
        <f t="shared" ref="Z9:Z15" si="7">Q9</f>
        <v>用途</v>
      </c>
      <c r="AA9" s="772">
        <f t="shared" si="3"/>
        <v>1</v>
      </c>
      <c r="AB9" s="772">
        <f t="shared" si="4"/>
        <v>1</v>
      </c>
      <c r="AC9" s="772">
        <f t="shared" si="5"/>
        <v>1</v>
      </c>
    </row>
    <row r="10" spans="1:29" s="426" customFormat="1" ht="27">
      <c r="A10" s="420"/>
      <c r="B10" s="421" t="s">
        <v>2545</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210"/>
      <c r="Q10" s="1797" t="str">
        <f t="shared" si="6"/>
        <v>土地使用年限（年）</v>
      </c>
      <c r="R10" s="769" t="s">
        <v>17</v>
      </c>
      <c r="S10" s="770">
        <f t="shared" si="0"/>
        <v>100</v>
      </c>
      <c r="T10" s="769" t="s">
        <v>17</v>
      </c>
      <c r="U10" s="770">
        <f t="shared" si="1"/>
        <v>100</v>
      </c>
      <c r="V10" s="769" t="s">
        <v>17</v>
      </c>
      <c r="W10" s="770">
        <f t="shared" si="2"/>
        <v>100</v>
      </c>
      <c r="X10" s="771"/>
      <c r="Y10" s="3059"/>
      <c r="Z10" s="55" t="str">
        <f t="shared" si="7"/>
        <v>土地使用年限（年）</v>
      </c>
      <c r="AA10" s="772">
        <f t="shared" si="3"/>
        <v>1</v>
      </c>
      <c r="AB10" s="772">
        <f t="shared" si="4"/>
        <v>1</v>
      </c>
      <c r="AC10" s="772">
        <f t="shared" si="5"/>
        <v>1</v>
      </c>
    </row>
    <row r="11" spans="1:29" ht="15">
      <c r="A11" s="427"/>
      <c r="B11" s="421" t="s">
        <v>2546</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210"/>
      <c r="Q11" s="1797" t="str">
        <f t="shared" si="6"/>
        <v>容积率</v>
      </c>
      <c r="R11" s="769" t="s">
        <v>17</v>
      </c>
      <c r="S11" s="770" t="e">
        <f t="shared" si="0"/>
        <v>#N/A</v>
      </c>
      <c r="T11" s="769" t="s">
        <v>17</v>
      </c>
      <c r="U11" s="770" t="e">
        <f t="shared" si="1"/>
        <v>#N/A</v>
      </c>
      <c r="V11" s="769" t="s">
        <v>17</v>
      </c>
      <c r="W11" s="770" t="e">
        <f t="shared" si="2"/>
        <v>#N/A</v>
      </c>
      <c r="X11" s="771"/>
      <c r="Y11" s="3059"/>
      <c r="Z11" s="55" t="str">
        <f t="shared" si="7"/>
        <v>容积率</v>
      </c>
      <c r="AA11" s="772" t="e">
        <f t="shared" si="3"/>
        <v>#N/A</v>
      </c>
      <c r="AB11" s="772" t="e">
        <f t="shared" si="4"/>
        <v>#N/A</v>
      </c>
      <c r="AC11" s="772" t="e">
        <f t="shared" si="5"/>
        <v>#N/A</v>
      </c>
    </row>
    <row r="12" spans="1:29" s="117" customFormat="1" ht="15">
      <c r="A12" s="430"/>
      <c r="B12" s="2598">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210"/>
      <c r="Q12" s="1797">
        <f t="shared" si="6"/>
        <v>111</v>
      </c>
      <c r="R12" s="769" t="s">
        <v>17</v>
      </c>
      <c r="S12" s="770">
        <f t="shared" si="0"/>
        <v>100</v>
      </c>
      <c r="T12" s="769" t="s">
        <v>17</v>
      </c>
      <c r="U12" s="770">
        <f t="shared" si="1"/>
        <v>100</v>
      </c>
      <c r="V12" s="769" t="s">
        <v>17</v>
      </c>
      <c r="W12" s="770">
        <f t="shared" si="2"/>
        <v>100</v>
      </c>
      <c r="X12" s="771"/>
      <c r="Y12" s="3059"/>
      <c r="Z12" s="55">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210"/>
      <c r="Q13" s="1797">
        <f t="shared" si="6"/>
        <v>111</v>
      </c>
      <c r="R13" s="769" t="s">
        <v>17</v>
      </c>
      <c r="S13" s="770">
        <f t="shared" si="0"/>
        <v>100</v>
      </c>
      <c r="T13" s="769" t="s">
        <v>17</v>
      </c>
      <c r="U13" s="770">
        <f t="shared" si="1"/>
        <v>100</v>
      </c>
      <c r="V13" s="769" t="s">
        <v>17</v>
      </c>
      <c r="W13" s="770">
        <f t="shared" si="2"/>
        <v>100</v>
      </c>
      <c r="X13" s="771"/>
      <c r="Y13" s="3059"/>
      <c r="Z13" s="55">
        <f t="shared" si="7"/>
        <v>111</v>
      </c>
      <c r="AA13" s="772">
        <f t="shared" si="3"/>
        <v>1</v>
      </c>
      <c r="AB13" s="772">
        <f t="shared" si="4"/>
        <v>1</v>
      </c>
      <c r="AC13" s="772">
        <f t="shared" si="5"/>
        <v>1</v>
      </c>
    </row>
    <row r="14" spans="1:29" ht="15.75" thickBot="1">
      <c r="A14" s="435"/>
      <c r="B14" s="2600">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210"/>
      <c r="Q14" s="1797">
        <f t="shared" si="6"/>
        <v>111</v>
      </c>
      <c r="R14" s="769" t="s">
        <v>17</v>
      </c>
      <c r="S14" s="770">
        <f t="shared" si="0"/>
        <v>100</v>
      </c>
      <c r="T14" s="769" t="s">
        <v>17</v>
      </c>
      <c r="U14" s="770">
        <f t="shared" si="1"/>
        <v>100</v>
      </c>
      <c r="V14" s="769" t="s">
        <v>17</v>
      </c>
      <c r="W14" s="770">
        <f t="shared" si="2"/>
        <v>100</v>
      </c>
      <c r="X14" s="771"/>
      <c r="Y14" s="3059"/>
      <c r="Z14" s="55">
        <f t="shared" si="7"/>
        <v>111</v>
      </c>
      <c r="AA14" s="772">
        <f t="shared" si="3"/>
        <v>1</v>
      </c>
      <c r="AB14" s="772">
        <f t="shared" si="4"/>
        <v>1</v>
      </c>
      <c r="AC14" s="772">
        <f t="shared" si="5"/>
        <v>1</v>
      </c>
    </row>
    <row r="15" spans="1:29" ht="15">
      <c r="A15" s="439" t="s">
        <v>2547</v>
      </c>
      <c r="B15" s="69" t="s">
        <v>2641</v>
      </c>
      <c r="C15" s="2601">
        <f>估价对象房地状况!C4</f>
        <v>0</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83" t="s">
        <v>2548</v>
      </c>
      <c r="Q15" s="1812" t="str">
        <f t="shared" si="6"/>
        <v>商业繁华度</v>
      </c>
      <c r="R15" s="773" t="s">
        <v>17</v>
      </c>
      <c r="S15" s="774">
        <f t="shared" si="0"/>
        <v>100</v>
      </c>
      <c r="T15" s="773" t="s">
        <v>17</v>
      </c>
      <c r="U15" s="774">
        <f t="shared" si="1"/>
        <v>100</v>
      </c>
      <c r="V15" s="773" t="s">
        <v>17</v>
      </c>
      <c r="W15" s="774">
        <f t="shared" si="2"/>
        <v>100</v>
      </c>
      <c r="X15" s="1815"/>
      <c r="Y15" s="3213" t="s">
        <v>2548</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284"/>
      <c r="Q16" s="1812"/>
      <c r="R16" s="773"/>
      <c r="S16" s="774"/>
      <c r="T16" s="773"/>
      <c r="U16" s="774"/>
      <c r="V16" s="773"/>
      <c r="W16" s="774"/>
      <c r="X16" s="1815"/>
      <c r="Y16" s="3214"/>
      <c r="Z16" s="1816"/>
      <c r="AA16" s="1813">
        <v>1</v>
      </c>
      <c r="AB16" s="1813">
        <v>1</v>
      </c>
      <c r="AC16" s="1813">
        <v>1</v>
      </c>
    </row>
    <row r="17" spans="1:29" ht="15">
      <c r="A17" s="427"/>
      <c r="B17" s="450" t="s">
        <v>2091</v>
      </c>
      <c r="C17" s="2605">
        <f>估价对象房地状况!C6</f>
        <v>0</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84"/>
      <c r="Q17" s="1812" t="str">
        <f>B17</f>
        <v>交通便捷度</v>
      </c>
      <c r="R17" s="773" t="s">
        <v>17</v>
      </c>
      <c r="S17" s="774">
        <f>F17</f>
        <v>100</v>
      </c>
      <c r="T17" s="773" t="s">
        <v>17</v>
      </c>
      <c r="U17" s="774">
        <f>H17</f>
        <v>100</v>
      </c>
      <c r="V17" s="773" t="s">
        <v>17</v>
      </c>
      <c r="W17" s="774">
        <f>J17</f>
        <v>100</v>
      </c>
      <c r="X17" s="1815"/>
      <c r="Y17" s="3214"/>
      <c r="Z17" s="1816" t="str">
        <f>Q17</f>
        <v>交通便捷度</v>
      </c>
      <c r="AA17" s="1813">
        <f t="shared" si="3"/>
        <v>1</v>
      </c>
      <c r="AB17" s="1813">
        <f t="shared" si="4"/>
        <v>1</v>
      </c>
      <c r="AC17" s="1813">
        <f t="shared" si="5"/>
        <v>1</v>
      </c>
    </row>
    <row r="18" spans="1:29" ht="15">
      <c r="A18" s="427"/>
      <c r="B18" s="455"/>
      <c r="C18" s="2606"/>
      <c r="D18" s="449"/>
      <c r="E18" s="2608"/>
      <c r="F18" s="452"/>
      <c r="G18" s="2607"/>
      <c r="H18" s="447"/>
      <c r="I18" s="2608"/>
      <c r="J18" s="447"/>
      <c r="K18" s="614"/>
      <c r="L18" s="1142"/>
      <c r="M18" s="1133"/>
      <c r="N18" s="1133"/>
      <c r="O18" s="1133"/>
      <c r="P18" s="3284"/>
      <c r="Q18" s="1812"/>
      <c r="R18" s="773"/>
      <c r="S18" s="774"/>
      <c r="T18" s="773"/>
      <c r="U18" s="774"/>
      <c r="V18" s="773"/>
      <c r="W18" s="774"/>
      <c r="X18" s="1815"/>
      <c r="Y18" s="3214"/>
      <c r="Z18" s="1816"/>
      <c r="AA18" s="1813">
        <v>1</v>
      </c>
      <c r="AB18" s="1813">
        <v>1</v>
      </c>
      <c r="AC18" s="1813">
        <v>1</v>
      </c>
    </row>
    <row r="19" spans="1:29" ht="15">
      <c r="A19" s="427"/>
      <c r="B19" s="450" t="s">
        <v>2642</v>
      </c>
      <c r="C19" s="2605">
        <f>估价对象房地状况!C7</f>
        <v>0</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84"/>
      <c r="Q19" s="1812" t="str">
        <f>B19</f>
        <v>公共配套设施</v>
      </c>
      <c r="R19" s="773" t="s">
        <v>17</v>
      </c>
      <c r="S19" s="774">
        <f>F19</f>
        <v>100</v>
      </c>
      <c r="T19" s="773" t="s">
        <v>17</v>
      </c>
      <c r="U19" s="774">
        <f>H19</f>
        <v>100</v>
      </c>
      <c r="V19" s="773" t="s">
        <v>17</v>
      </c>
      <c r="W19" s="774">
        <f>J19</f>
        <v>100</v>
      </c>
      <c r="X19" s="1815"/>
      <c r="Y19" s="3214"/>
      <c r="Z19" s="1816" t="str">
        <f>Q19</f>
        <v>公共配套设施</v>
      </c>
      <c r="AA19" s="1813">
        <f t="shared" si="3"/>
        <v>1</v>
      </c>
      <c r="AB19" s="1813">
        <f t="shared" si="4"/>
        <v>1</v>
      </c>
      <c r="AC19" s="1813">
        <f t="shared" si="5"/>
        <v>1</v>
      </c>
    </row>
    <row r="20" spans="1:29" ht="15">
      <c r="A20" s="427"/>
      <c r="B20" s="455"/>
      <c r="C20" s="446"/>
      <c r="D20" s="447"/>
      <c r="E20" s="2603"/>
      <c r="F20" s="448"/>
      <c r="G20" s="2602"/>
      <c r="H20" s="447"/>
      <c r="I20" s="2603"/>
      <c r="J20" s="447"/>
      <c r="K20" s="614"/>
      <c r="L20" s="1142"/>
      <c r="M20" s="1133"/>
      <c r="N20" s="1133"/>
      <c r="O20" s="1133"/>
      <c r="P20" s="3284"/>
      <c r="Q20" s="1812"/>
      <c r="R20" s="773"/>
      <c r="S20" s="774"/>
      <c r="T20" s="773"/>
      <c r="U20" s="774"/>
      <c r="V20" s="773"/>
      <c r="W20" s="774"/>
      <c r="X20" s="1815"/>
      <c r="Y20" s="3214"/>
      <c r="Z20" s="1816"/>
      <c r="AA20" s="1813">
        <v>1</v>
      </c>
      <c r="AB20" s="1813">
        <v>1</v>
      </c>
      <c r="AC20" s="1813">
        <v>1</v>
      </c>
    </row>
    <row r="21" spans="1:29" ht="15">
      <c r="A21" s="427"/>
      <c r="B21" s="1386" t="s">
        <v>2643</v>
      </c>
      <c r="C21" s="2605">
        <f>估价对象房地状况!C8</f>
        <v>0</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84"/>
      <c r="Q21" s="1812" t="str">
        <f>B21</f>
        <v>基础设施水平</v>
      </c>
      <c r="R21" s="773" t="s">
        <v>17</v>
      </c>
      <c r="S21" s="774">
        <f>F21</f>
        <v>100</v>
      </c>
      <c r="T21" s="773" t="s">
        <v>17</v>
      </c>
      <c r="U21" s="774">
        <f>H21</f>
        <v>100</v>
      </c>
      <c r="V21" s="773" t="s">
        <v>17</v>
      </c>
      <c r="W21" s="774">
        <f>J21</f>
        <v>100</v>
      </c>
      <c r="X21" s="1815"/>
      <c r="Y21" s="3214"/>
      <c r="Z21" s="1816" t="str">
        <f>Q21</f>
        <v>基础设施水平</v>
      </c>
      <c r="AA21" s="1813">
        <f t="shared" ref="AA21" si="8">D21/F21</f>
        <v>1</v>
      </c>
      <c r="AB21" s="1813">
        <f t="shared" ref="AB21" si="9">D21/H21</f>
        <v>1</v>
      </c>
      <c r="AC21" s="1813">
        <f t="shared" ref="AC21" si="10">D21/J21</f>
        <v>1</v>
      </c>
    </row>
    <row r="22" spans="1:29" ht="15">
      <c r="A22" s="427"/>
      <c r="B22" s="1386"/>
      <c r="C22" s="2606"/>
      <c r="D22" s="447"/>
      <c r="E22" s="446"/>
      <c r="F22" s="448"/>
      <c r="G22" s="446"/>
      <c r="H22" s="447"/>
      <c r="I22" s="446"/>
      <c r="J22" s="447"/>
      <c r="K22" s="1385"/>
      <c r="L22" s="1142"/>
      <c r="M22" s="1133"/>
      <c r="N22" s="1133"/>
      <c r="O22" s="1133"/>
      <c r="P22" s="3284"/>
      <c r="Q22" s="1812"/>
      <c r="R22" s="773"/>
      <c r="S22" s="774"/>
      <c r="T22" s="773"/>
      <c r="U22" s="774"/>
      <c r="V22" s="773"/>
      <c r="W22" s="774"/>
      <c r="X22" s="1815"/>
      <c r="Y22" s="3214"/>
      <c r="Z22" s="1816"/>
      <c r="AA22" s="1813">
        <v>1</v>
      </c>
      <c r="AB22" s="1813">
        <v>1</v>
      </c>
      <c r="AC22" s="1813">
        <v>1</v>
      </c>
    </row>
    <row r="23" spans="1:29" ht="15">
      <c r="A23" s="427"/>
      <c r="B23" s="450" t="s">
        <v>2094</v>
      </c>
      <c r="C23" s="2662">
        <f>估价对象房地状况!C9</f>
        <v>0</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84"/>
      <c r="Q23" s="1812" t="str">
        <f>B23</f>
        <v>自然及人文环境</v>
      </c>
      <c r="R23" s="773" t="s">
        <v>17</v>
      </c>
      <c r="S23" s="774">
        <f>F23</f>
        <v>100</v>
      </c>
      <c r="T23" s="773" t="s">
        <v>17</v>
      </c>
      <c r="U23" s="774">
        <f>H23</f>
        <v>100</v>
      </c>
      <c r="V23" s="773" t="s">
        <v>17</v>
      </c>
      <c r="W23" s="774">
        <f>J23</f>
        <v>100</v>
      </c>
      <c r="X23" s="1815"/>
      <c r="Y23" s="3214"/>
      <c r="Z23" s="1816" t="str">
        <f>Q23</f>
        <v>自然及人文环境</v>
      </c>
      <c r="AA23" s="1813">
        <f t="shared" si="3"/>
        <v>1</v>
      </c>
      <c r="AB23" s="1813">
        <f t="shared" si="4"/>
        <v>1</v>
      </c>
      <c r="AC23" s="1813">
        <f t="shared" si="5"/>
        <v>1</v>
      </c>
    </row>
    <row r="24" spans="1:29" ht="15">
      <c r="A24" s="427"/>
      <c r="B24" s="455"/>
      <c r="C24" s="446"/>
      <c r="D24" s="447"/>
      <c r="E24" s="2603"/>
      <c r="F24" s="448"/>
      <c r="G24" s="2602"/>
      <c r="H24" s="447"/>
      <c r="I24" s="2603"/>
      <c r="J24" s="447"/>
      <c r="K24" s="614"/>
      <c r="L24" s="1142"/>
      <c r="M24" s="1133"/>
      <c r="N24" s="1133"/>
      <c r="O24" s="1133"/>
      <c r="P24" s="3284"/>
      <c r="Q24" s="1812"/>
      <c r="R24" s="773"/>
      <c r="S24" s="774"/>
      <c r="T24" s="773"/>
      <c r="U24" s="774"/>
      <c r="V24" s="773"/>
      <c r="W24" s="774"/>
      <c r="X24" s="1815"/>
      <c r="Y24" s="3214"/>
      <c r="Z24" s="1816"/>
      <c r="AA24" s="1813">
        <v>1</v>
      </c>
      <c r="AB24" s="1813">
        <v>1</v>
      </c>
      <c r="AC24" s="1813">
        <v>1</v>
      </c>
    </row>
    <row r="25" spans="1:29" ht="15">
      <c r="A25" s="427"/>
      <c r="B25" s="421" t="s">
        <v>2644</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84"/>
      <c r="Q25" s="1812" t="str">
        <f t="shared" ref="Q25:Q46" si="11">B25</f>
        <v>临街状况</v>
      </c>
      <c r="R25" s="773" t="s">
        <v>17</v>
      </c>
      <c r="S25" s="774">
        <f>F25</f>
        <v>100</v>
      </c>
      <c r="T25" s="773" t="s">
        <v>17</v>
      </c>
      <c r="U25" s="774">
        <f>H25</f>
        <v>100</v>
      </c>
      <c r="V25" s="773" t="s">
        <v>17</v>
      </c>
      <c r="W25" s="774">
        <f>J25</f>
        <v>100</v>
      </c>
      <c r="X25" s="1815"/>
      <c r="Y25" s="3214"/>
      <c r="Z25" s="1816" t="str">
        <f>Q25</f>
        <v>临街状况</v>
      </c>
      <c r="AA25" s="1813">
        <f t="shared" si="3"/>
        <v>1</v>
      </c>
      <c r="AB25" s="1813">
        <f t="shared" si="4"/>
        <v>1</v>
      </c>
      <c r="AC25" s="1813">
        <f t="shared" si="5"/>
        <v>1</v>
      </c>
    </row>
    <row r="26" spans="1:29" ht="15">
      <c r="A26" s="427"/>
      <c r="B26" s="1388" t="s">
        <v>2645</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84"/>
      <c r="Q26" s="1812" t="str">
        <f t="shared" si="11"/>
        <v>平面位置/可视性</v>
      </c>
      <c r="R26" s="773" t="s">
        <v>17</v>
      </c>
      <c r="S26" s="774">
        <f>F26</f>
        <v>100</v>
      </c>
      <c r="T26" s="773" t="s">
        <v>17</v>
      </c>
      <c r="U26" s="774">
        <f>H26</f>
        <v>100</v>
      </c>
      <c r="V26" s="773" t="s">
        <v>17</v>
      </c>
      <c r="W26" s="774">
        <f>J26</f>
        <v>100</v>
      </c>
      <c r="X26" s="1815"/>
      <c r="Y26" s="3214"/>
      <c r="Z26" s="1816" t="str">
        <f>Q26</f>
        <v>平面位置/可视性</v>
      </c>
      <c r="AA26" s="1813">
        <f t="shared" si="3"/>
        <v>1</v>
      </c>
      <c r="AB26" s="1813">
        <f t="shared" si="4"/>
        <v>1</v>
      </c>
      <c r="AC26" s="1813">
        <f t="shared" si="5"/>
        <v>1</v>
      </c>
    </row>
    <row r="27" spans="1:29" s="117" customFormat="1" ht="15">
      <c r="A27" s="430"/>
      <c r="B27" s="450" t="s">
        <v>2646</v>
      </c>
      <c r="C27" s="2663"/>
      <c r="D27" s="461">
        <v>100</v>
      </c>
      <c r="E27" s="2663"/>
      <c r="F27" s="463">
        <f>SUMIF(90:90,E27,91:91)-SUMIF(90:90,C27,91:91)+100</f>
        <v>100</v>
      </c>
      <c r="G27" s="2663"/>
      <c r="H27" s="461">
        <f>SUMIF(90:90,G27,91:91)-SUMIF(90:90,C27,91:91)+100</f>
        <v>100</v>
      </c>
      <c r="I27" s="2663"/>
      <c r="J27" s="461">
        <f>SUMIF(90:90,I27,91:91)-SUMIF(90:90,C27,91:91)+100</f>
        <v>100</v>
      </c>
      <c r="K27" s="611"/>
      <c r="L27" s="1134"/>
      <c r="M27" s="1135"/>
      <c r="N27" s="1135"/>
      <c r="O27" s="1135"/>
      <c r="P27" s="3284"/>
      <c r="Q27" s="1797" t="str">
        <f t="shared" si="11"/>
        <v>人流量</v>
      </c>
      <c r="R27" s="769" t="s">
        <v>17</v>
      </c>
      <c r="S27" s="770">
        <f>F27</f>
        <v>100</v>
      </c>
      <c r="T27" s="769" t="s">
        <v>17</v>
      </c>
      <c r="U27" s="770">
        <f>H27</f>
        <v>100</v>
      </c>
      <c r="V27" s="769" t="s">
        <v>17</v>
      </c>
      <c r="W27" s="770">
        <f>J27</f>
        <v>100</v>
      </c>
      <c r="X27" s="771"/>
      <c r="Y27" s="3214"/>
      <c r="Z27" s="55" t="str">
        <f>Q27</f>
        <v>人流量</v>
      </c>
      <c r="AA27" s="1813">
        <f>D27/F27</f>
        <v>1</v>
      </c>
      <c r="AB27" s="1813">
        <f>D27/H27</f>
        <v>1</v>
      </c>
      <c r="AC27" s="1813">
        <f>D27/J27</f>
        <v>1</v>
      </c>
    </row>
    <row r="28" spans="1:29" ht="15">
      <c r="A28" s="427"/>
      <c r="B28" s="421" t="s">
        <v>2647</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84"/>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14"/>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84"/>
      <c r="Q29" s="1812">
        <f t="shared" si="11"/>
        <v>111</v>
      </c>
      <c r="R29" s="773" t="s">
        <v>17</v>
      </c>
      <c r="S29" s="774">
        <f t="shared" si="12"/>
        <v>100</v>
      </c>
      <c r="T29" s="773" t="s">
        <v>17</v>
      </c>
      <c r="U29" s="774">
        <f t="shared" si="13"/>
        <v>100</v>
      </c>
      <c r="V29" s="773" t="s">
        <v>17</v>
      </c>
      <c r="W29" s="774">
        <f t="shared" si="14"/>
        <v>100</v>
      </c>
      <c r="X29" s="1815"/>
      <c r="Y29" s="3214"/>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84"/>
      <c r="Q30" s="1812">
        <f t="shared" si="11"/>
        <v>111</v>
      </c>
      <c r="R30" s="773" t="s">
        <v>17</v>
      </c>
      <c r="S30" s="774">
        <f t="shared" si="12"/>
        <v>100</v>
      </c>
      <c r="T30" s="773" t="s">
        <v>17</v>
      </c>
      <c r="U30" s="774">
        <f t="shared" si="13"/>
        <v>100</v>
      </c>
      <c r="V30" s="773" t="s">
        <v>17</v>
      </c>
      <c r="W30" s="774">
        <f t="shared" si="14"/>
        <v>100</v>
      </c>
      <c r="X30" s="1815"/>
      <c r="Y30" s="3214"/>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84"/>
      <c r="Q31" s="1812">
        <f t="shared" si="11"/>
        <v>111</v>
      </c>
      <c r="R31" s="773" t="s">
        <v>17</v>
      </c>
      <c r="S31" s="774">
        <f t="shared" si="12"/>
        <v>100</v>
      </c>
      <c r="T31" s="773" t="s">
        <v>17</v>
      </c>
      <c r="U31" s="774">
        <f t="shared" si="13"/>
        <v>100</v>
      </c>
      <c r="V31" s="773" t="s">
        <v>17</v>
      </c>
      <c r="W31" s="774">
        <f t="shared" si="14"/>
        <v>100</v>
      </c>
      <c r="X31" s="1815"/>
      <c r="Y31" s="3214"/>
      <c r="Z31" s="1816">
        <f t="shared" si="15"/>
        <v>111</v>
      </c>
      <c r="AA31" s="1813">
        <f t="shared" si="3"/>
        <v>1</v>
      </c>
      <c r="AB31" s="1813">
        <f t="shared" si="4"/>
        <v>1</v>
      </c>
      <c r="AC31" s="1813">
        <f t="shared" si="5"/>
        <v>1</v>
      </c>
    </row>
    <row r="32" spans="1:29" ht="15">
      <c r="A32" s="439" t="s">
        <v>2551</v>
      </c>
      <c r="B32" s="71" t="s">
        <v>2648</v>
      </c>
      <c r="C32" s="2615"/>
      <c r="D32" s="466">
        <v>100</v>
      </c>
      <c r="E32" s="2615"/>
      <c r="F32" s="460">
        <f>SUMIF(100:100,E32,101:101)-SUMIF(100:100,C32,101:101)+100</f>
        <v>100</v>
      </c>
      <c r="G32" s="2615"/>
      <c r="H32" s="434">
        <f>SUMIF(100:100,G32,101:101)-SUMIF(100:100,C32,101:101)+100</f>
        <v>100</v>
      </c>
      <c r="I32" s="2615"/>
      <c r="J32" s="466">
        <f>SUMIF(100:100,I32,101:101)-SUMIF(100:100,C32,101:101)+100</f>
        <v>100</v>
      </c>
      <c r="K32" s="611"/>
      <c r="L32" s="1142"/>
      <c r="M32" s="1133"/>
      <c r="N32" s="1133"/>
      <c r="O32" s="1133"/>
      <c r="P32" s="3279" t="s">
        <v>2553</v>
      </c>
      <c r="Q32" s="1812" t="str">
        <f t="shared" si="11"/>
        <v>商业类型</v>
      </c>
      <c r="R32" s="773" t="s">
        <v>17</v>
      </c>
      <c r="S32" s="774">
        <f t="shared" si="12"/>
        <v>100</v>
      </c>
      <c r="T32" s="773" t="s">
        <v>17</v>
      </c>
      <c r="U32" s="774">
        <f t="shared" si="13"/>
        <v>100</v>
      </c>
      <c r="V32" s="773" t="s">
        <v>17</v>
      </c>
      <c r="W32" s="774">
        <f t="shared" si="14"/>
        <v>100</v>
      </c>
      <c r="X32" s="1815"/>
      <c r="Y32" s="3216" t="s">
        <v>2553</v>
      </c>
      <c r="Z32" s="1816" t="str">
        <f t="shared" si="15"/>
        <v>商业类型</v>
      </c>
      <c r="AA32" s="1813">
        <f t="shared" si="3"/>
        <v>1</v>
      </c>
      <c r="AB32" s="1813">
        <f t="shared" si="4"/>
        <v>1</v>
      </c>
      <c r="AC32" s="1813">
        <f t="shared" si="5"/>
        <v>1</v>
      </c>
    </row>
    <row r="33" spans="1:29" s="470" customFormat="1" ht="15">
      <c r="A33" s="467"/>
      <c r="B33" s="421" t="s">
        <v>2554</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80"/>
      <c r="Q33" s="775" t="str">
        <f t="shared" si="11"/>
        <v>项目建筑规模</v>
      </c>
      <c r="R33" s="776" t="s">
        <v>17</v>
      </c>
      <c r="S33" s="777" t="e">
        <f t="shared" si="12"/>
        <v>#N/A</v>
      </c>
      <c r="T33" s="776" t="s">
        <v>17</v>
      </c>
      <c r="U33" s="777" t="e">
        <f t="shared" si="13"/>
        <v>#N/A</v>
      </c>
      <c r="V33" s="776" t="s">
        <v>17</v>
      </c>
      <c r="W33" s="777" t="e">
        <f t="shared" si="14"/>
        <v>#N/A</v>
      </c>
      <c r="X33" s="778"/>
      <c r="Y33" s="3216"/>
      <c r="Z33" s="779" t="str">
        <f t="shared" si="15"/>
        <v>项目建筑规模</v>
      </c>
      <c r="AA33" s="1813" t="e">
        <f t="shared" si="3"/>
        <v>#N/A</v>
      </c>
      <c r="AB33" s="1813" t="e">
        <f t="shared" si="4"/>
        <v>#N/A</v>
      </c>
      <c r="AC33" s="1813" t="e">
        <f t="shared" si="5"/>
        <v>#N/A</v>
      </c>
    </row>
    <row r="34" spans="1:29" ht="15">
      <c r="A34" s="471"/>
      <c r="B34" s="421" t="s">
        <v>2555</v>
      </c>
      <c r="C34" s="2617"/>
      <c r="D34" s="434">
        <v>100</v>
      </c>
      <c r="E34" s="2617"/>
      <c r="F34" s="460">
        <f>SUMIF(105:105,E34,106:106)-SUMIF(105:105,C34,106:106)+100</f>
        <v>100</v>
      </c>
      <c r="G34" s="2617"/>
      <c r="H34" s="434">
        <f>SUMIF(105:105,G34,106:106)-SUMIF(105:105,C34,106:106)+100</f>
        <v>100</v>
      </c>
      <c r="I34" s="2617"/>
      <c r="J34" s="434">
        <f>SUMIF(105:105,I34,106:106)-SUMIF(105:105,C34,106:106)+100</f>
        <v>100</v>
      </c>
      <c r="K34" s="611"/>
      <c r="L34" s="1142"/>
      <c r="M34" s="1133"/>
      <c r="N34" s="1133"/>
      <c r="O34" s="1133"/>
      <c r="P34" s="3280"/>
      <c r="Q34" s="1812" t="str">
        <f t="shared" si="11"/>
        <v>建筑结构</v>
      </c>
      <c r="R34" s="773" t="s">
        <v>17</v>
      </c>
      <c r="S34" s="774">
        <f t="shared" si="12"/>
        <v>100</v>
      </c>
      <c r="T34" s="773" t="s">
        <v>17</v>
      </c>
      <c r="U34" s="774">
        <f t="shared" si="13"/>
        <v>100</v>
      </c>
      <c r="V34" s="773" t="s">
        <v>17</v>
      </c>
      <c r="W34" s="774">
        <f t="shared" si="14"/>
        <v>100</v>
      </c>
      <c r="X34" s="1815"/>
      <c r="Y34" s="3216"/>
      <c r="Z34" s="1816" t="str">
        <f t="shared" si="15"/>
        <v>建筑结构</v>
      </c>
      <c r="AA34" s="1813">
        <f t="shared" si="3"/>
        <v>1</v>
      </c>
      <c r="AB34" s="1813">
        <f t="shared" si="4"/>
        <v>1</v>
      </c>
      <c r="AC34" s="1813">
        <f t="shared" si="5"/>
        <v>1</v>
      </c>
    </row>
    <row r="35" spans="1:29" ht="15">
      <c r="A35" s="471"/>
      <c r="B35" s="421" t="s">
        <v>2649</v>
      </c>
      <c r="C35" s="2611"/>
      <c r="D35" s="434">
        <v>100</v>
      </c>
      <c r="E35" s="2611"/>
      <c r="F35" s="460">
        <f>SUMIF(107:107,E35,108:108)-SUMIF(107:107,C35,108:108)+100</f>
        <v>100</v>
      </c>
      <c r="G35" s="2611"/>
      <c r="H35" s="434">
        <f>SUMIF(107:107,G35,108:108)-SUMIF(107:107,C35,108:108)+100</f>
        <v>100</v>
      </c>
      <c r="I35" s="2611"/>
      <c r="J35" s="434">
        <f>SUMIF(107:107,I35,108:108)-SUMIF(107:107,C35,108:108)+100</f>
        <v>100</v>
      </c>
      <c r="K35" s="611"/>
      <c r="L35" s="1142"/>
      <c r="M35" s="1133"/>
      <c r="N35" s="1133"/>
      <c r="O35" s="1133"/>
      <c r="P35" s="3280"/>
      <c r="Q35" s="1812" t="str">
        <f t="shared" si="11"/>
        <v>公共部分装修</v>
      </c>
      <c r="R35" s="773" t="s">
        <v>17</v>
      </c>
      <c r="S35" s="774">
        <f t="shared" si="12"/>
        <v>100</v>
      </c>
      <c r="T35" s="773" t="s">
        <v>17</v>
      </c>
      <c r="U35" s="774">
        <f t="shared" si="13"/>
        <v>100</v>
      </c>
      <c r="V35" s="773" t="s">
        <v>17</v>
      </c>
      <c r="W35" s="774">
        <f t="shared" si="14"/>
        <v>100</v>
      </c>
      <c r="X35" s="1815"/>
      <c r="Y35" s="3216"/>
      <c r="Z35" s="1816" t="str">
        <f t="shared" si="15"/>
        <v>公共部分装修</v>
      </c>
      <c r="AA35" s="1813">
        <f t="shared" si="3"/>
        <v>1</v>
      </c>
      <c r="AB35" s="1813">
        <f t="shared" si="4"/>
        <v>1</v>
      </c>
      <c r="AC35" s="1813">
        <f t="shared" si="5"/>
        <v>1</v>
      </c>
    </row>
    <row r="36" spans="1:29" ht="15">
      <c r="A36" s="471"/>
      <c r="B36" s="421" t="s">
        <v>2650</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80"/>
      <c r="Q36" s="1812" t="str">
        <f t="shared" si="11"/>
        <v>成新度</v>
      </c>
      <c r="R36" s="773" t="s">
        <v>17</v>
      </c>
      <c r="S36" s="774" t="e">
        <f t="shared" si="12"/>
        <v>#N/A</v>
      </c>
      <c r="T36" s="773" t="s">
        <v>17</v>
      </c>
      <c r="U36" s="774" t="e">
        <f t="shared" si="13"/>
        <v>#N/A</v>
      </c>
      <c r="V36" s="773" t="s">
        <v>17</v>
      </c>
      <c r="W36" s="774" t="e">
        <f t="shared" si="14"/>
        <v>#N/A</v>
      </c>
      <c r="X36" s="1815"/>
      <c r="Y36" s="3216"/>
      <c r="Z36" s="1816" t="str">
        <f t="shared" si="15"/>
        <v>成新度</v>
      </c>
      <c r="AA36" s="1813" t="e">
        <f t="shared" si="3"/>
        <v>#N/A</v>
      </c>
      <c r="AB36" s="1813" t="e">
        <f t="shared" si="4"/>
        <v>#N/A</v>
      </c>
      <c r="AC36" s="1813" t="e">
        <f t="shared" si="5"/>
        <v>#N/A</v>
      </c>
    </row>
    <row r="37" spans="1:29" s="117" customFormat="1" ht="15">
      <c r="A37" s="472"/>
      <c r="B37" s="421" t="s">
        <v>2651</v>
      </c>
      <c r="C37" s="2611"/>
      <c r="D37" s="135">
        <v>100</v>
      </c>
      <c r="E37" s="2611"/>
      <c r="F37" s="460">
        <f>SUMIF(112:112,E37,113:113)-SUMIF(112:112,C37,113:113)+100</f>
        <v>100</v>
      </c>
      <c r="G37" s="2611"/>
      <c r="H37" s="434">
        <f>SUMIF(112:112,G37,113:113)-SUMIF(112:112,C37,113:113)+100</f>
        <v>100</v>
      </c>
      <c r="I37" s="2611"/>
      <c r="J37" s="434">
        <f>SUMIF(112:112,I37,113:113)-SUMIF(112:112,C37,113:113)+100</f>
        <v>100</v>
      </c>
      <c r="K37" s="611"/>
      <c r="L37" s="1134"/>
      <c r="M37" s="1135"/>
      <c r="N37" s="1135"/>
      <c r="O37" s="1135"/>
      <c r="P37" s="3280"/>
      <c r="Q37" s="1797" t="str">
        <f t="shared" si="11"/>
        <v>市政基础设施</v>
      </c>
      <c r="R37" s="769" t="s">
        <v>17</v>
      </c>
      <c r="S37" s="770">
        <f t="shared" si="12"/>
        <v>100</v>
      </c>
      <c r="T37" s="769" t="s">
        <v>17</v>
      </c>
      <c r="U37" s="770">
        <f t="shared" si="13"/>
        <v>100</v>
      </c>
      <c r="V37" s="769" t="s">
        <v>17</v>
      </c>
      <c r="W37" s="770">
        <f t="shared" si="14"/>
        <v>100</v>
      </c>
      <c r="X37" s="771"/>
      <c r="Y37" s="3216"/>
      <c r="Z37" s="55" t="str">
        <f t="shared" si="15"/>
        <v>市政基础设施</v>
      </c>
      <c r="AA37" s="772">
        <f t="shared" si="3"/>
        <v>1</v>
      </c>
      <c r="AB37" s="772">
        <f t="shared" si="4"/>
        <v>1</v>
      </c>
      <c r="AC37" s="772">
        <f t="shared" si="5"/>
        <v>1</v>
      </c>
    </row>
    <row r="38" spans="1:29" ht="15">
      <c r="A38" s="471"/>
      <c r="B38" s="421" t="s">
        <v>2652</v>
      </c>
      <c r="C38" s="2611"/>
      <c r="D38" s="434">
        <v>100</v>
      </c>
      <c r="E38" s="2611"/>
      <c r="F38" s="460">
        <f>SUMIF(114:114,E38,115:115)-SUMIF(114:114,C38,115:115)+100</f>
        <v>100</v>
      </c>
      <c r="G38" s="2611"/>
      <c r="H38" s="434">
        <f>SUMIF(114:114,G38,115:115)-SUMIF(114:114,C38,115:115)+100</f>
        <v>100</v>
      </c>
      <c r="I38" s="2611"/>
      <c r="J38" s="434">
        <f>SUMIF(114:114,I38,115:115)-SUMIF(114:114,C38,115:115)+100</f>
        <v>100</v>
      </c>
      <c r="K38" s="611"/>
      <c r="L38" s="1142"/>
      <c r="M38" s="1133"/>
      <c r="N38" s="1133"/>
      <c r="O38" s="1133"/>
      <c r="P38" s="3280" t="s">
        <v>2553</v>
      </c>
      <c r="Q38" s="1812" t="str">
        <f t="shared" si="11"/>
        <v>业态</v>
      </c>
      <c r="R38" s="773" t="s">
        <v>17</v>
      </c>
      <c r="S38" s="774">
        <f t="shared" si="12"/>
        <v>100</v>
      </c>
      <c r="T38" s="773" t="s">
        <v>17</v>
      </c>
      <c r="U38" s="774">
        <f t="shared" si="13"/>
        <v>100</v>
      </c>
      <c r="V38" s="773" t="s">
        <v>17</v>
      </c>
      <c r="W38" s="774">
        <f t="shared" si="14"/>
        <v>100</v>
      </c>
      <c r="X38" s="1815"/>
      <c r="Y38" s="3216" t="s">
        <v>2553</v>
      </c>
      <c r="Z38" s="1816" t="str">
        <f t="shared" si="15"/>
        <v>业态</v>
      </c>
      <c r="AA38" s="1813">
        <f t="shared" si="3"/>
        <v>1</v>
      </c>
      <c r="AB38" s="1813">
        <f t="shared" si="4"/>
        <v>1</v>
      </c>
      <c r="AC38" s="1813">
        <f t="shared" si="5"/>
        <v>1</v>
      </c>
    </row>
    <row r="39" spans="1:29" ht="15">
      <c r="A39" s="471"/>
      <c r="B39" s="421" t="s">
        <v>2653</v>
      </c>
      <c r="C39" s="2611"/>
      <c r="D39" s="434">
        <v>100</v>
      </c>
      <c r="E39" s="2611"/>
      <c r="F39" s="460">
        <f>SUMIF(116:116,E39,117:117)-SUMIF(116:116,C39,117:117)+100</f>
        <v>100</v>
      </c>
      <c r="G39" s="2611"/>
      <c r="H39" s="434">
        <f>SUMIF(116:116,G39,117:117)-SUMIF(116:116,C39,117:117)+100</f>
        <v>100</v>
      </c>
      <c r="I39" s="2611"/>
      <c r="J39" s="434">
        <f>SUMIF(116:116,I39,117:117)-SUMIF(116:116,C39,117:117)+100</f>
        <v>100</v>
      </c>
      <c r="K39" s="611"/>
      <c r="L39" s="1142"/>
      <c r="M39" s="1133"/>
      <c r="N39" s="1133"/>
      <c r="O39" s="1133"/>
      <c r="P39" s="3280"/>
      <c r="Q39" s="1812" t="str">
        <f t="shared" si="11"/>
        <v>层高</v>
      </c>
      <c r="R39" s="773" t="s">
        <v>17</v>
      </c>
      <c r="S39" s="774">
        <f t="shared" si="12"/>
        <v>100</v>
      </c>
      <c r="T39" s="773" t="s">
        <v>17</v>
      </c>
      <c r="U39" s="774">
        <f t="shared" si="13"/>
        <v>100</v>
      </c>
      <c r="V39" s="773" t="s">
        <v>17</v>
      </c>
      <c r="W39" s="774">
        <f t="shared" si="14"/>
        <v>100</v>
      </c>
      <c r="X39" s="1815"/>
      <c r="Y39" s="3216"/>
      <c r="Z39" s="1816" t="str">
        <f t="shared" si="15"/>
        <v>层高</v>
      </c>
      <c r="AA39" s="1813">
        <f t="shared" si="3"/>
        <v>1</v>
      </c>
      <c r="AB39" s="1813">
        <f t="shared" si="4"/>
        <v>1</v>
      </c>
      <c r="AC39" s="1813">
        <f t="shared" si="5"/>
        <v>1</v>
      </c>
    </row>
    <row r="40" spans="1:29" ht="15">
      <c r="A40" s="471"/>
      <c r="B40" s="421" t="s">
        <v>2654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80"/>
      <c r="Q40" s="1812" t="str">
        <f t="shared" si="11"/>
        <v>单套建筑面积</v>
      </c>
      <c r="R40" s="773" t="s">
        <v>17</v>
      </c>
      <c r="S40" s="774">
        <f t="shared" si="12"/>
        <v>100</v>
      </c>
      <c r="T40" s="773" t="s">
        <v>17</v>
      </c>
      <c r="U40" s="774">
        <f t="shared" si="13"/>
        <v>100</v>
      </c>
      <c r="V40" s="773" t="s">
        <v>17</v>
      </c>
      <c r="W40" s="774">
        <f t="shared" si="14"/>
        <v>100</v>
      </c>
      <c r="X40" s="1815"/>
      <c r="Y40" s="3216"/>
      <c r="Z40" s="1816" t="str">
        <f t="shared" si="15"/>
        <v>单套建筑面积</v>
      </c>
      <c r="AA40" s="1813">
        <f t="shared" si="3"/>
        <v>1</v>
      </c>
      <c r="AB40" s="1813">
        <f t="shared" si="4"/>
        <v>1</v>
      </c>
      <c r="AC40" s="1813">
        <f t="shared" si="5"/>
        <v>1</v>
      </c>
    </row>
    <row r="41" spans="1:29" s="470" customFormat="1" ht="15">
      <c r="A41" s="467"/>
      <c r="B41" s="1814" t="s">
        <v>2655</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80"/>
      <c r="Q41" s="775" t="str">
        <f t="shared" si="11"/>
        <v>进深比</v>
      </c>
      <c r="R41" s="776" t="s">
        <v>17</v>
      </c>
      <c r="S41" s="777">
        <f t="shared" si="12"/>
        <v>100</v>
      </c>
      <c r="T41" s="776" t="s">
        <v>17</v>
      </c>
      <c r="U41" s="777">
        <f t="shared" si="13"/>
        <v>100</v>
      </c>
      <c r="V41" s="776" t="s">
        <v>17</v>
      </c>
      <c r="W41" s="777">
        <f t="shared" si="14"/>
        <v>100</v>
      </c>
      <c r="X41" s="778"/>
      <c r="Y41" s="3216"/>
      <c r="Z41" s="779" t="str">
        <f t="shared" si="15"/>
        <v>进深比</v>
      </c>
      <c r="AA41" s="1813">
        <f t="shared" si="3"/>
        <v>1</v>
      </c>
      <c r="AB41" s="1813">
        <f t="shared" si="4"/>
        <v>1</v>
      </c>
      <c r="AC41" s="1813">
        <f t="shared" si="5"/>
        <v>1</v>
      </c>
    </row>
    <row r="42" spans="1:29" ht="15">
      <c r="A42" s="471"/>
      <c r="B42" s="421" t="s">
        <v>2656</v>
      </c>
      <c r="C42" s="2611"/>
      <c r="D42" s="434">
        <v>100</v>
      </c>
      <c r="E42" s="2611"/>
      <c r="F42" s="460">
        <f>SUMIF(122:122,E42,123:123)-SUMIF(122:122,C42,123:123)+100</f>
        <v>100</v>
      </c>
      <c r="G42" s="2611"/>
      <c r="H42" s="434">
        <f>SUMIF(122:122,G42,123:123)-SUMIF(122:122,C42,123:123)+100</f>
        <v>100</v>
      </c>
      <c r="I42" s="2611"/>
      <c r="J42" s="434">
        <f>SUMIF(122:122,I42,123:123)-SUMIF(122:122,C42,123:123)+100</f>
        <v>100</v>
      </c>
      <c r="K42" s="611"/>
      <c r="L42" s="1142"/>
      <c r="M42" s="1133"/>
      <c r="N42" s="1133"/>
      <c r="O42" s="1133"/>
      <c r="P42" s="3280"/>
      <c r="Q42" s="1812" t="str">
        <f t="shared" si="11"/>
        <v>内部装修</v>
      </c>
      <c r="R42" s="773" t="s">
        <v>17</v>
      </c>
      <c r="S42" s="774">
        <f t="shared" si="12"/>
        <v>100</v>
      </c>
      <c r="T42" s="773" t="s">
        <v>17</v>
      </c>
      <c r="U42" s="774">
        <f t="shared" si="13"/>
        <v>100</v>
      </c>
      <c r="V42" s="773" t="s">
        <v>17</v>
      </c>
      <c r="W42" s="774">
        <f t="shared" si="14"/>
        <v>100</v>
      </c>
      <c r="X42" s="1815"/>
      <c r="Y42" s="3216"/>
      <c r="Z42" s="1816" t="str">
        <f t="shared" si="15"/>
        <v>内部装修</v>
      </c>
      <c r="AA42" s="1813">
        <f t="shared" si="3"/>
        <v>1</v>
      </c>
      <c r="AB42" s="1813">
        <f t="shared" si="4"/>
        <v>1</v>
      </c>
      <c r="AC42" s="1813">
        <f t="shared" si="5"/>
        <v>1</v>
      </c>
    </row>
    <row r="43" spans="1:29" ht="15">
      <c r="A43" s="471"/>
      <c r="B43" s="421" t="s">
        <v>2564</v>
      </c>
      <c r="C43" s="2611"/>
      <c r="D43" s="434">
        <v>100</v>
      </c>
      <c r="E43" s="2611"/>
      <c r="F43" s="460">
        <f>SUMIF(124:124,E43,125:125)-SUMIF(124:124,C43,125:125)+100</f>
        <v>100</v>
      </c>
      <c r="G43" s="2611"/>
      <c r="H43" s="434">
        <f>SUMIF(124:124,G43,125:125)-SUMIF(124:124,C43,125:125)+100</f>
        <v>100</v>
      </c>
      <c r="I43" s="2611"/>
      <c r="J43" s="434">
        <f>SUMIF(124:124,I43,125:125)-SUMIF(124:124,C43,125:125)+100</f>
        <v>100</v>
      </c>
      <c r="K43" s="611"/>
      <c r="L43" s="1142"/>
      <c r="M43" s="1133"/>
      <c r="N43" s="1133"/>
      <c r="O43" s="1133"/>
      <c r="P43" s="3280"/>
      <c r="Q43" s="1812" t="str">
        <f t="shared" si="11"/>
        <v>内部装修维护情况</v>
      </c>
      <c r="R43" s="773" t="s">
        <v>17</v>
      </c>
      <c r="S43" s="774">
        <f t="shared" si="12"/>
        <v>100</v>
      </c>
      <c r="T43" s="773" t="s">
        <v>17</v>
      </c>
      <c r="U43" s="774">
        <f t="shared" si="13"/>
        <v>100</v>
      </c>
      <c r="V43" s="773" t="s">
        <v>17</v>
      </c>
      <c r="W43" s="774">
        <f t="shared" si="14"/>
        <v>100</v>
      </c>
      <c r="X43" s="1815"/>
      <c r="Y43" s="3216"/>
      <c r="Z43" s="1816" t="str">
        <f t="shared" si="15"/>
        <v>内部装修维护情况</v>
      </c>
      <c r="AA43" s="1813">
        <f t="shared" si="3"/>
        <v>1</v>
      </c>
      <c r="AB43" s="1813">
        <f t="shared" si="4"/>
        <v>1</v>
      </c>
      <c r="AC43" s="1813">
        <f t="shared" si="5"/>
        <v>1</v>
      </c>
    </row>
    <row r="44" spans="1:29" s="117"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80"/>
      <c r="Q44" s="1797">
        <f t="shared" si="11"/>
        <v>111</v>
      </c>
      <c r="R44" s="769" t="s">
        <v>17</v>
      </c>
      <c r="S44" s="770">
        <f t="shared" si="12"/>
        <v>100</v>
      </c>
      <c r="T44" s="769" t="s">
        <v>17</v>
      </c>
      <c r="U44" s="770">
        <f t="shared" si="13"/>
        <v>100</v>
      </c>
      <c r="V44" s="769" t="s">
        <v>17</v>
      </c>
      <c r="W44" s="770">
        <f t="shared" si="14"/>
        <v>100</v>
      </c>
      <c r="X44" s="771"/>
      <c r="Y44" s="3216"/>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80"/>
      <c r="Q45" s="1812">
        <f t="shared" si="11"/>
        <v>111</v>
      </c>
      <c r="R45" s="773" t="s">
        <v>17</v>
      </c>
      <c r="S45" s="774">
        <f t="shared" si="12"/>
        <v>100</v>
      </c>
      <c r="T45" s="773" t="s">
        <v>17</v>
      </c>
      <c r="U45" s="774">
        <f t="shared" si="13"/>
        <v>100</v>
      </c>
      <c r="V45" s="773" t="s">
        <v>17</v>
      </c>
      <c r="W45" s="774">
        <f t="shared" si="14"/>
        <v>100</v>
      </c>
      <c r="X45" s="1815"/>
      <c r="Y45" s="3216"/>
      <c r="Z45" s="1816">
        <f t="shared" si="15"/>
        <v>111</v>
      </c>
      <c r="AA45" s="1813">
        <f t="shared" si="3"/>
        <v>1</v>
      </c>
      <c r="AB45" s="1813">
        <f t="shared" si="4"/>
        <v>1</v>
      </c>
      <c r="AC45" s="1813">
        <f t="shared" si="5"/>
        <v>1</v>
      </c>
    </row>
    <row r="46" spans="1:29" ht="15.75" thickBot="1">
      <c r="A46" s="477"/>
      <c r="B46" s="2600">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81"/>
      <c r="Q46" s="1812">
        <f t="shared" si="11"/>
        <v>111</v>
      </c>
      <c r="R46" s="773" t="s">
        <v>17</v>
      </c>
      <c r="S46" s="774">
        <f t="shared" si="12"/>
        <v>100</v>
      </c>
      <c r="T46" s="773" t="s">
        <v>17</v>
      </c>
      <c r="U46" s="774">
        <f t="shared" si="13"/>
        <v>100</v>
      </c>
      <c r="V46" s="773" t="s">
        <v>17</v>
      </c>
      <c r="W46" s="774">
        <f t="shared" si="14"/>
        <v>100</v>
      </c>
      <c r="X46" s="1815"/>
      <c r="Y46" s="3282"/>
      <c r="Z46" s="1816">
        <f t="shared" si="15"/>
        <v>111</v>
      </c>
      <c r="AA46" s="1813">
        <f t="shared" si="3"/>
        <v>1</v>
      </c>
      <c r="AB46" s="1813">
        <f t="shared" si="4"/>
        <v>1</v>
      </c>
      <c r="AC46" s="1813">
        <f t="shared" si="5"/>
        <v>1</v>
      </c>
    </row>
    <row r="47" spans="1:29" ht="15">
      <c r="A47" s="478" t="s">
        <v>2565</v>
      </c>
      <c r="B47" s="479"/>
      <c r="C47" s="1409" t="s">
        <v>1</v>
      </c>
      <c r="D47" s="1410"/>
      <c r="E47" s="1411"/>
      <c r="F47" s="1412"/>
      <c r="G47" s="1413"/>
      <c r="H47" s="1414"/>
      <c r="I47" s="1411"/>
      <c r="J47" s="1414"/>
      <c r="K47" s="782"/>
      <c r="L47" s="1145"/>
      <c r="M47" s="1146"/>
      <c r="N47" s="1133"/>
      <c r="O47" s="1146"/>
      <c r="P47" s="3211" t="str">
        <f>A47</f>
        <v>成交单价（元/平方米）</v>
      </c>
      <c r="Q47" s="3211"/>
      <c r="R47" s="3217">
        <f>E47</f>
        <v>0</v>
      </c>
      <c r="S47" s="3217"/>
      <c r="T47" s="3217">
        <f>G47</f>
        <v>0</v>
      </c>
      <c r="U47" s="3217"/>
      <c r="V47" s="3217">
        <f>I47</f>
        <v>0</v>
      </c>
      <c r="W47" s="3217"/>
      <c r="X47" s="758"/>
      <c r="Y47" s="780"/>
      <c r="Z47" s="758"/>
      <c r="AA47" s="758"/>
      <c r="AB47" s="758"/>
      <c r="AC47" s="758"/>
    </row>
    <row r="48" spans="1:29" ht="15.75" thickBot="1">
      <c r="A48" s="485" t="s">
        <v>2657</v>
      </c>
      <c r="B48" s="486"/>
      <c r="C48" s="1415" t="e">
        <f>R49</f>
        <v>#DIV/0!</v>
      </c>
      <c r="D48" s="1416"/>
      <c r="E48" s="1417" t="e">
        <f>R48</f>
        <v>#DIV/0!</v>
      </c>
      <c r="F48" s="1417"/>
      <c r="G48" s="1415" t="e">
        <f>T48</f>
        <v>#DIV/0!</v>
      </c>
      <c r="H48" s="1416"/>
      <c r="I48" s="1417" t="e">
        <f>V48</f>
        <v>#DIV/0!</v>
      </c>
      <c r="J48" s="1416"/>
      <c r="K48" s="783"/>
      <c r="L48" s="1145"/>
      <c r="M48" s="1146"/>
      <c r="N48" s="1133"/>
      <c r="O48" s="1146"/>
      <c r="P48" s="3211" t="str">
        <f>A48</f>
        <v>比较价值（元/平方米）</v>
      </c>
      <c r="Q48" s="3211"/>
      <c r="R48" s="3278" t="e">
        <f>IF(F1="售价",ROUND(PRODUCT(R47,AA7:AA46),0),ROUND(PRODUCT(R47,AA7:AA46),1))</f>
        <v>#DIV/0!</v>
      </c>
      <c r="S48" s="3278"/>
      <c r="T48" s="3278" t="e">
        <f>IF(F1="售价",ROUND(PRODUCT(T47,AB7:AB46),0),ROUND(PRODUCT(T47,AB7:AB46),1))</f>
        <v>#DIV/0!</v>
      </c>
      <c r="U48" s="3278"/>
      <c r="V48" s="3278" t="e">
        <f>IF(F1="售价",ROUND(PRODUCT(V47,AC7:AC46),0),ROUND(PRODUCT(V47,AC7:AC46),1))</f>
        <v>#DIV/0!</v>
      </c>
      <c r="W48" s="3278"/>
      <c r="X48" s="758"/>
      <c r="Y48" s="758"/>
      <c r="Z48" s="758"/>
      <c r="AA48" s="758"/>
      <c r="AB48" s="758"/>
      <c r="AC48" s="758"/>
    </row>
    <row r="49" spans="1:29" ht="15.75" thickBot="1">
      <c r="A49" s="491" t="s">
        <v>2658</v>
      </c>
      <c r="B49" s="492"/>
      <c r="C49" s="1419" t="e">
        <f>R49</f>
        <v>#DIV/0!</v>
      </c>
      <c r="D49" s="1419"/>
      <c r="E49" s="1419"/>
      <c r="F49" s="1419"/>
      <c r="G49" s="1419"/>
      <c r="H49" s="1419"/>
      <c r="I49" s="1419"/>
      <c r="J49" s="1419"/>
      <c r="K49" s="784"/>
      <c r="L49" s="1145"/>
      <c r="M49" s="1146"/>
      <c r="N49" s="1133"/>
      <c r="O49" s="1146"/>
      <c r="P49" s="3205" t="str">
        <f>A49</f>
        <v>估价对象XX用房的比较价值（楼面单价，元/平方米）</v>
      </c>
      <c r="Q49" s="3206"/>
      <c r="R49" s="3277" t="e">
        <f>IF(F1="售价",ROUND(AVERAGE(R48:V48),0),ROUND(AVERAGE(R48:V48),1))</f>
        <v>#DIV/0!</v>
      </c>
      <c r="S49" s="3277"/>
      <c r="T49" s="3277"/>
      <c r="U49" s="3277"/>
      <c r="V49" s="3277"/>
      <c r="W49" s="3277"/>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2659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2660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2661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4"/>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4"/>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2662</v>
      </c>
      <c r="B57" s="758"/>
      <c r="C57" s="763"/>
      <c r="D57" s="763"/>
      <c r="E57" s="763"/>
      <c r="F57" s="764"/>
      <c r="G57" s="764"/>
      <c r="H57" s="763"/>
      <c r="I57" s="763"/>
      <c r="J57" s="763"/>
      <c r="K57" s="765"/>
      <c r="L57" s="1163"/>
      <c r="M57" s="1161"/>
      <c r="N57" s="1161"/>
      <c r="O57" s="1161"/>
      <c r="P57" s="2665"/>
      <c r="Q57" s="2666"/>
      <c r="R57" s="758"/>
      <c r="S57" s="758"/>
      <c r="T57" s="758"/>
      <c r="U57" s="758"/>
      <c r="V57" s="758"/>
      <c r="W57" s="758"/>
      <c r="X57" s="758"/>
      <c r="Y57" s="758"/>
      <c r="Z57" s="758"/>
      <c r="AA57" s="758"/>
      <c r="AB57" s="758"/>
      <c r="AC57" s="758"/>
    </row>
    <row r="58" spans="1:29" s="507" customFormat="1" ht="15">
      <c r="A58" s="504" t="s">
        <v>2536</v>
      </c>
      <c r="B58" s="505"/>
      <c r="C58" s="1576" t="str">
        <f>YEAR(C7)&amp;"-"&amp;MONTH(C7)</f>
        <v>2018-5</v>
      </c>
      <c r="D58" s="1577">
        <f>EDATE(C58,-1)</f>
        <v>43191</v>
      </c>
      <c r="E58" s="1577">
        <f t="shared" ref="E58:N58" si="16">EDATE(D58,-1)</f>
        <v>43160</v>
      </c>
      <c r="F58" s="1577">
        <f t="shared" si="16"/>
        <v>43132</v>
      </c>
      <c r="G58" s="1577">
        <f t="shared" si="16"/>
        <v>43101</v>
      </c>
      <c r="H58" s="1577">
        <f t="shared" si="16"/>
        <v>43070</v>
      </c>
      <c r="I58" s="1577">
        <f t="shared" si="16"/>
        <v>43040</v>
      </c>
      <c r="J58" s="1577">
        <f t="shared" si="16"/>
        <v>43009</v>
      </c>
      <c r="K58" s="1577">
        <f t="shared" si="16"/>
        <v>42979</v>
      </c>
      <c r="L58" s="1577">
        <f t="shared" si="16"/>
        <v>42948</v>
      </c>
      <c r="M58" s="1577">
        <f t="shared" si="16"/>
        <v>42917</v>
      </c>
      <c r="N58" s="1577">
        <f t="shared" si="16"/>
        <v>42887</v>
      </c>
      <c r="O58" s="1577">
        <f>EDATE(N58,-1)</f>
        <v>42856</v>
      </c>
      <c r="P58" s="1572"/>
    </row>
    <row r="59" spans="1:29" s="117" customFormat="1" ht="15">
      <c r="A59" s="508"/>
      <c r="B59" s="509"/>
      <c r="C59" s="1575">
        <v>100</v>
      </c>
      <c r="D59" s="511"/>
      <c r="E59" s="511"/>
      <c r="F59" s="511"/>
      <c r="G59" s="511"/>
      <c r="H59" s="511"/>
      <c r="I59" s="511"/>
      <c r="J59" s="511"/>
      <c r="K59" s="511"/>
      <c r="L59" s="511"/>
      <c r="M59" s="512"/>
      <c r="N59" s="511"/>
      <c r="O59" s="512"/>
      <c r="P59" s="2626"/>
    </row>
    <row r="60" spans="1:29" s="117" customFormat="1" ht="15.75" thickBot="1">
      <c r="A60" s="514" t="s">
        <v>2573</v>
      </c>
      <c r="B60" s="515"/>
      <c r="C60" s="516"/>
      <c r="D60" s="517"/>
      <c r="E60" s="517"/>
      <c r="F60" s="517"/>
      <c r="G60" s="517"/>
      <c r="H60" s="517"/>
      <c r="I60" s="517"/>
      <c r="J60" s="517"/>
      <c r="K60" s="517"/>
      <c r="L60" s="517"/>
      <c r="M60" s="518"/>
      <c r="N60" s="517"/>
      <c r="O60" s="518"/>
      <c r="P60" s="2626"/>
      <c r="Q60" s="503"/>
    </row>
    <row r="61" spans="1:29" s="117" customFormat="1" ht="15">
      <c r="A61" s="520" t="s">
        <v>2538</v>
      </c>
      <c r="B61" s="509"/>
      <c r="C61" s="521" t="s">
        <v>2640</v>
      </c>
      <c r="D61" s="522"/>
      <c r="E61" s="522"/>
      <c r="F61" s="522"/>
      <c r="G61" s="522"/>
      <c r="H61" s="522"/>
      <c r="I61" s="522"/>
      <c r="J61" s="522"/>
      <c r="K61" s="522"/>
      <c r="L61" s="523"/>
      <c r="M61" s="524"/>
      <c r="N61" s="1153"/>
      <c r="O61" s="1153"/>
      <c r="P61" s="2627"/>
      <c r="Q61" s="503"/>
    </row>
    <row r="62" spans="1:29" s="117" customFormat="1" ht="15.75" thickBot="1">
      <c r="A62" s="520"/>
      <c r="B62" s="509"/>
      <c r="C62" s="510">
        <v>100</v>
      </c>
      <c r="D62" s="511"/>
      <c r="E62" s="511"/>
      <c r="F62" s="511"/>
      <c r="G62" s="511"/>
      <c r="H62" s="511"/>
      <c r="I62" s="511"/>
      <c r="J62" s="511"/>
      <c r="K62" s="511"/>
      <c r="L62" s="511"/>
      <c r="M62" s="513"/>
      <c r="N62" s="1153"/>
      <c r="O62" s="1153"/>
      <c r="P62" s="2626"/>
      <c r="Q62" s="503"/>
    </row>
    <row r="63" spans="1:29">
      <c r="A63" s="526" t="s">
        <v>2576</v>
      </c>
      <c r="B63" s="527" t="s">
        <v>2542</v>
      </c>
      <c r="C63" s="528">
        <f>C9</f>
        <v>0</v>
      </c>
      <c r="D63" s="529"/>
      <c r="E63" s="529"/>
      <c r="F63" s="529"/>
      <c r="G63" s="529"/>
      <c r="H63" s="529"/>
      <c r="I63" s="529"/>
      <c r="J63" s="529"/>
      <c r="K63" s="530"/>
      <c r="L63" s="531"/>
      <c r="M63" s="532"/>
      <c r="N63" s="1154"/>
      <c r="O63" s="1154"/>
      <c r="P63" s="2628"/>
      <c r="Q63" s="503"/>
    </row>
    <row r="64" spans="1:29" ht="15.75" thickBot="1">
      <c r="A64" s="533"/>
      <c r="B64" s="534"/>
      <c r="C64" s="535">
        <v>100</v>
      </c>
      <c r="D64" s="535"/>
      <c r="E64" s="535"/>
      <c r="F64" s="535"/>
      <c r="G64" s="535"/>
      <c r="H64" s="535"/>
      <c r="I64" s="535"/>
      <c r="J64" s="535"/>
      <c r="K64" s="535"/>
      <c r="L64" s="535"/>
      <c r="M64" s="536"/>
      <c r="N64" s="1155"/>
      <c r="O64" s="1155"/>
      <c r="P64" s="2628"/>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54"/>
      <c r="O65" s="1154"/>
      <c r="P65" s="2628"/>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28"/>
      <c r="Q66" s="503"/>
    </row>
    <row r="67" spans="1:17" ht="15.75" thickTop="1">
      <c r="A67" s="533"/>
      <c r="B67" s="545" t="s">
        <v>2546</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28"/>
      <c r="Q67" s="503"/>
    </row>
    <row r="68" spans="1:17" ht="15">
      <c r="A68" s="533"/>
      <c r="B68" s="547"/>
      <c r="C68" s="548"/>
      <c r="D68" s="548"/>
      <c r="E68" s="548"/>
      <c r="F68" s="548"/>
      <c r="G68" s="548"/>
      <c r="H68" s="548"/>
      <c r="I68" s="548"/>
      <c r="J68" s="548"/>
      <c r="K68" s="549"/>
      <c r="L68" s="550"/>
      <c r="M68" s="551"/>
      <c r="N68" s="1154"/>
      <c r="O68" s="1154"/>
      <c r="P68" s="2628"/>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28"/>
      <c r="Q69" s="503"/>
    </row>
    <row r="70" spans="1:17" s="470" customFormat="1" ht="15.75" thickTop="1">
      <c r="A70" s="552"/>
      <c r="B70" s="537">
        <f>B12</f>
        <v>111</v>
      </c>
      <c r="C70" s="553"/>
      <c r="D70" s="553"/>
      <c r="E70" s="553"/>
      <c r="F70" s="553"/>
      <c r="G70" s="553"/>
      <c r="H70" s="554"/>
      <c r="I70" s="554"/>
      <c r="J70" s="554"/>
      <c r="K70" s="554"/>
      <c r="L70" s="555"/>
      <c r="M70" s="556"/>
      <c r="N70" s="1156"/>
      <c r="O70" s="1156"/>
      <c r="P70" s="2629"/>
      <c r="Q70" s="558"/>
    </row>
    <row r="71" spans="1:17" s="470" customFormat="1" ht="15.75" thickBot="1">
      <c r="A71" s="552"/>
      <c r="B71" s="542"/>
      <c r="C71" s="559"/>
      <c r="D71" s="535"/>
      <c r="E71" s="535"/>
      <c r="F71" s="535"/>
      <c r="G71" s="535"/>
      <c r="H71" s="535"/>
      <c r="I71" s="535"/>
      <c r="J71" s="535"/>
      <c r="K71" s="535"/>
      <c r="L71" s="535"/>
      <c r="M71" s="536"/>
      <c r="N71" s="1155"/>
      <c r="O71" s="1155"/>
      <c r="P71" s="2629"/>
      <c r="Q71" s="558"/>
    </row>
    <row r="72" spans="1:17" s="470" customFormat="1" ht="15.75" thickTop="1">
      <c r="A72" s="552"/>
      <c r="B72" s="537">
        <f>B13</f>
        <v>111</v>
      </c>
      <c r="C72" s="553"/>
      <c r="D72" s="553"/>
      <c r="E72" s="553"/>
      <c r="F72" s="553"/>
      <c r="G72" s="553"/>
      <c r="H72" s="554"/>
      <c r="I72" s="554"/>
      <c r="J72" s="554"/>
      <c r="K72" s="554"/>
      <c r="L72" s="555"/>
      <c r="M72" s="556"/>
      <c r="N72" s="1156"/>
      <c r="O72" s="1156"/>
      <c r="P72" s="2630"/>
      <c r="Q72" s="560"/>
    </row>
    <row r="73" spans="1:17" s="470" customFormat="1" ht="15.75" thickBot="1">
      <c r="A73" s="552"/>
      <c r="B73" s="542"/>
      <c r="C73" s="559"/>
      <c r="D73" s="535"/>
      <c r="E73" s="535"/>
      <c r="F73" s="535"/>
      <c r="G73" s="559"/>
      <c r="H73" s="561"/>
      <c r="I73" s="561"/>
      <c r="J73" s="561"/>
      <c r="K73" s="561"/>
      <c r="L73" s="561"/>
      <c r="M73" s="562"/>
      <c r="N73" s="1156"/>
      <c r="O73" s="1156"/>
      <c r="P73" s="2629"/>
      <c r="Q73" s="558"/>
    </row>
    <row r="74" spans="1:17" s="470" customFormat="1" ht="15.75" thickTop="1">
      <c r="A74" s="552"/>
      <c r="B74" s="545">
        <f>B14</f>
        <v>111</v>
      </c>
      <c r="C74" s="553"/>
      <c r="D74" s="553"/>
      <c r="E74" s="553"/>
      <c r="F74" s="553"/>
      <c r="G74" s="522"/>
      <c r="H74" s="563"/>
      <c r="I74" s="563"/>
      <c r="J74" s="563"/>
      <c r="K74" s="563"/>
      <c r="L74" s="564"/>
      <c r="M74" s="565"/>
      <c r="N74" s="1156"/>
      <c r="O74" s="1156"/>
      <c r="P74" s="2631"/>
      <c r="Q74" s="558"/>
    </row>
    <row r="75" spans="1:17" s="470" customFormat="1" ht="15.75" thickBot="1">
      <c r="A75" s="567"/>
      <c r="B75" s="568"/>
      <c r="C75" s="569"/>
      <c r="D75" s="569"/>
      <c r="E75" s="569"/>
      <c r="F75" s="569"/>
      <c r="G75" s="569"/>
      <c r="H75" s="570"/>
      <c r="I75" s="570"/>
      <c r="J75" s="570"/>
      <c r="K75" s="570"/>
      <c r="L75" s="570"/>
      <c r="M75" s="571"/>
      <c r="N75" s="1156"/>
      <c r="O75" s="1156"/>
      <c r="P75" s="2629"/>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54"/>
      <c r="O76" s="1154"/>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8"/>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54"/>
      <c r="O78" s="1154"/>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28"/>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54"/>
      <c r="O80" s="1154"/>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28"/>
      <c r="Q81" s="503"/>
    </row>
    <row r="82" spans="1:17" ht="15.75" thickTop="1">
      <c r="A82" s="533"/>
      <c r="B82" s="545" t="s">
        <v>2643</v>
      </c>
      <c r="C82" s="659" t="s">
        <v>2663</v>
      </c>
      <c r="D82" s="659" t="s">
        <v>2664</v>
      </c>
      <c r="E82" s="659" t="s">
        <v>2665</v>
      </c>
      <c r="F82" s="659" t="s">
        <v>2666</v>
      </c>
      <c r="G82" s="659" t="s">
        <v>2667</v>
      </c>
      <c r="H82" s="538"/>
      <c r="I82" s="538"/>
      <c r="J82" s="538"/>
      <c r="K82" s="538"/>
      <c r="L82" s="538"/>
      <c r="M82" s="1384"/>
      <c r="N82" s="1155"/>
      <c r="O82" s="1155"/>
      <c r="P82" s="2628"/>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28"/>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54"/>
      <c r="O84" s="1154"/>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28"/>
      <c r="Q85" s="503"/>
    </row>
    <row r="86" spans="1:17" s="117" customFormat="1" ht="15.75" thickTop="1">
      <c r="A86" s="578"/>
      <c r="B86" s="537" t="s">
        <v>2668</v>
      </c>
      <c r="C86" s="553"/>
      <c r="D86" s="553"/>
      <c r="E86" s="553"/>
      <c r="F86" s="553"/>
      <c r="G86" s="553"/>
      <c r="H86" s="553"/>
      <c r="I86" s="553"/>
      <c r="J86" s="553"/>
      <c r="K86" s="553"/>
      <c r="L86" s="579"/>
      <c r="M86" s="580"/>
      <c r="N86" s="1153"/>
      <c r="O86" s="1153"/>
      <c r="P86" s="2628"/>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28"/>
      <c r="Q87" s="503"/>
    </row>
    <row r="88" spans="1:17" s="117" customFormat="1" ht="15.75" thickTop="1">
      <c r="A88" s="578"/>
      <c r="B88" s="537" t="str">
        <f>B26</f>
        <v>平面位置/可视性</v>
      </c>
      <c r="C88" s="553"/>
      <c r="D88" s="553"/>
      <c r="E88" s="553"/>
      <c r="F88" s="2633"/>
      <c r="G88" s="553"/>
      <c r="H88" s="553"/>
      <c r="I88" s="553"/>
      <c r="J88" s="553"/>
      <c r="K88" s="553"/>
      <c r="L88" s="553"/>
      <c r="M88" s="580"/>
      <c r="N88" s="1153"/>
      <c r="O88" s="1153"/>
      <c r="P88" s="2628"/>
      <c r="Q88" s="503"/>
    </row>
    <row r="89" spans="1:17" s="117" customFormat="1" ht="15.75" thickBot="1">
      <c r="A89" s="578"/>
      <c r="B89" s="542"/>
      <c r="C89" s="559"/>
      <c r="D89" s="535"/>
      <c r="E89" s="535"/>
      <c r="F89" s="535"/>
      <c r="G89" s="535"/>
      <c r="H89" s="535"/>
      <c r="I89" s="535"/>
      <c r="J89" s="535"/>
      <c r="K89" s="535"/>
      <c r="L89" s="535"/>
      <c r="M89" s="535"/>
      <c r="N89" s="1155"/>
      <c r="O89" s="1155"/>
      <c r="P89" s="2628"/>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29"/>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29"/>
      <c r="Q91" s="558"/>
    </row>
    <row r="92" spans="1:17" ht="15.75" thickTop="1">
      <c r="A92" s="533"/>
      <c r="B92" s="537" t="str">
        <f>B28</f>
        <v>楼层</v>
      </c>
      <c r="C92" s="553"/>
      <c r="D92" s="553"/>
      <c r="E92" s="553"/>
      <c r="F92" s="553"/>
      <c r="G92" s="553"/>
      <c r="H92" s="553"/>
      <c r="I92" s="553"/>
      <c r="J92" s="553"/>
      <c r="K92" s="553"/>
      <c r="L92" s="579"/>
      <c r="M92" s="580"/>
      <c r="N92" s="1154"/>
      <c r="O92" s="1154"/>
      <c r="P92" s="2628"/>
      <c r="Q92" s="503"/>
    </row>
    <row r="93" spans="1:17" ht="15.75" thickBot="1">
      <c r="A93" s="533"/>
      <c r="B93" s="542"/>
      <c r="C93" s="535"/>
      <c r="D93" s="535"/>
      <c r="E93" s="535"/>
      <c r="F93" s="535"/>
      <c r="G93" s="535"/>
      <c r="H93" s="535"/>
      <c r="I93" s="535"/>
      <c r="J93" s="535"/>
      <c r="K93" s="535"/>
      <c r="L93" s="535"/>
      <c r="M93" s="536"/>
      <c r="N93" s="1155"/>
      <c r="O93" s="1155"/>
      <c r="P93" s="2628"/>
      <c r="Q93" s="503"/>
    </row>
    <row r="94" spans="1:17" ht="15.75" thickTop="1">
      <c r="A94" s="533"/>
      <c r="B94" s="537">
        <f>B29</f>
        <v>111</v>
      </c>
      <c r="C94" s="553"/>
      <c r="D94" s="553"/>
      <c r="E94" s="553"/>
      <c r="F94" s="553"/>
      <c r="G94" s="582"/>
      <c r="H94" s="582"/>
      <c r="I94" s="582"/>
      <c r="J94" s="582"/>
      <c r="K94" s="583"/>
      <c r="L94" s="584"/>
      <c r="M94" s="585"/>
      <c r="N94" s="1154"/>
      <c r="O94" s="1154"/>
      <c r="P94" s="2628"/>
      <c r="Q94" s="503"/>
    </row>
    <row r="95" spans="1:17" ht="15.75" thickBot="1">
      <c r="A95" s="533"/>
      <c r="B95" s="542"/>
      <c r="C95" s="559"/>
      <c r="D95" s="535"/>
      <c r="E95" s="535"/>
      <c r="F95" s="535"/>
      <c r="G95" s="535"/>
      <c r="H95" s="535"/>
      <c r="I95" s="535"/>
      <c r="J95" s="535"/>
      <c r="K95" s="535"/>
      <c r="L95" s="535"/>
      <c r="M95" s="536"/>
      <c r="N95" s="1155"/>
      <c r="O95" s="1155"/>
      <c r="P95" s="2628"/>
      <c r="Q95" s="503"/>
    </row>
    <row r="96" spans="1:17" ht="15.75" thickTop="1">
      <c r="A96" s="533"/>
      <c r="B96" s="537">
        <f>B30</f>
        <v>111</v>
      </c>
      <c r="C96" s="553"/>
      <c r="D96" s="553"/>
      <c r="E96" s="553"/>
      <c r="F96" s="553"/>
      <c r="G96" s="582"/>
      <c r="H96" s="582"/>
      <c r="I96" s="582"/>
      <c r="J96" s="582"/>
      <c r="K96" s="583"/>
      <c r="L96" s="584"/>
      <c r="M96" s="585"/>
      <c r="N96" s="1154"/>
      <c r="O96" s="1154"/>
      <c r="P96" s="2628"/>
      <c r="Q96" s="503"/>
    </row>
    <row r="97" spans="1:17" ht="15.75" thickBot="1">
      <c r="A97" s="533"/>
      <c r="B97" s="542"/>
      <c r="C97" s="559"/>
      <c r="D97" s="535"/>
      <c r="E97" s="535"/>
      <c r="F97" s="535"/>
      <c r="G97" s="535"/>
      <c r="H97" s="535"/>
      <c r="I97" s="535"/>
      <c r="J97" s="535"/>
      <c r="K97" s="535"/>
      <c r="L97" s="535"/>
      <c r="M97" s="536"/>
      <c r="N97" s="1155"/>
      <c r="O97" s="1155"/>
      <c r="P97" s="2628"/>
      <c r="Q97" s="503"/>
    </row>
    <row r="98" spans="1:17" ht="15.75" thickTop="1">
      <c r="A98" s="533"/>
      <c r="B98" s="545">
        <f>B31</f>
        <v>111</v>
      </c>
      <c r="C98" s="553"/>
      <c r="D98" s="553"/>
      <c r="E98" s="553"/>
      <c r="F98" s="553"/>
      <c r="G98" s="586"/>
      <c r="H98" s="586"/>
      <c r="I98" s="586"/>
      <c r="J98" s="586"/>
      <c r="K98" s="587"/>
      <c r="L98" s="588"/>
      <c r="M98" s="589"/>
      <c r="N98" s="1154"/>
      <c r="O98" s="1154"/>
      <c r="P98" s="2628"/>
      <c r="Q98" s="503"/>
    </row>
    <row r="99" spans="1:17" ht="15.75" thickBot="1">
      <c r="A99" s="2634"/>
      <c r="B99" s="568"/>
      <c r="C99" s="569"/>
      <c r="D99" s="569"/>
      <c r="E99" s="569"/>
      <c r="F99" s="569"/>
      <c r="G99" s="590"/>
      <c r="H99" s="590"/>
      <c r="I99" s="590"/>
      <c r="J99" s="590"/>
      <c r="K99" s="590"/>
      <c r="L99" s="590"/>
      <c r="M99" s="591"/>
      <c r="N99" s="1155"/>
      <c r="O99" s="1155"/>
      <c r="P99" s="2628"/>
      <c r="Q99" s="503"/>
    </row>
    <row r="100" spans="1:17">
      <c r="A100" s="526" t="s">
        <v>2551</v>
      </c>
      <c r="B100" s="527" t="s">
        <v>2669</v>
      </c>
      <c r="C100" s="529"/>
      <c r="D100" s="529"/>
      <c r="E100" s="529"/>
      <c r="F100" s="529"/>
      <c r="G100" s="529"/>
      <c r="H100" s="529"/>
      <c r="I100" s="529"/>
      <c r="J100" s="529"/>
      <c r="K100" s="530"/>
      <c r="L100" s="531"/>
      <c r="M100" s="532"/>
      <c r="N100" s="1154"/>
      <c r="O100" s="1154"/>
      <c r="P100" s="2628"/>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28"/>
      <c r="Q101" s="503"/>
    </row>
    <row r="102" spans="1:17" ht="15.75" thickTop="1">
      <c r="A102" s="533"/>
      <c r="B102" s="537" t="s">
        <v>2601</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28"/>
      <c r="Q102" s="503"/>
    </row>
    <row r="103" spans="1:17" s="470" customFormat="1">
      <c r="A103" s="592"/>
      <c r="B103" s="593"/>
      <c r="C103" s="594"/>
      <c r="D103" s="594"/>
      <c r="E103" s="594"/>
      <c r="F103" s="594"/>
      <c r="G103" s="594"/>
      <c r="H103" s="594"/>
      <c r="I103" s="594"/>
      <c r="J103" s="595"/>
      <c r="K103" s="595"/>
      <c r="L103" s="596"/>
      <c r="M103" s="597"/>
      <c r="N103" s="1156"/>
      <c r="O103" s="1156"/>
      <c r="P103" s="2629"/>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29"/>
      <c r="Q104" s="558"/>
    </row>
    <row r="105" spans="1:17" ht="15" thickTop="1">
      <c r="A105" s="598"/>
      <c r="B105" s="537" t="s">
        <v>2602</v>
      </c>
      <c r="C105" s="553"/>
      <c r="D105" s="553"/>
      <c r="E105" s="582"/>
      <c r="F105" s="582"/>
      <c r="G105" s="582"/>
      <c r="H105" s="582"/>
      <c r="I105" s="582"/>
      <c r="J105" s="582"/>
      <c r="K105" s="583"/>
      <c r="L105" s="584"/>
      <c r="M105" s="585"/>
      <c r="N105" s="1154"/>
      <c r="O105" s="1154"/>
      <c r="P105" s="2628"/>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28"/>
      <c r="Q106" s="503"/>
    </row>
    <row r="107" spans="1:17" ht="15" thickTop="1">
      <c r="A107" s="598"/>
      <c r="B107" s="537" t="s">
        <v>2604</v>
      </c>
      <c r="C107" s="553"/>
      <c r="D107" s="553"/>
      <c r="E107" s="553"/>
      <c r="F107" s="582"/>
      <c r="G107" s="582"/>
      <c r="H107" s="582"/>
      <c r="I107" s="582"/>
      <c r="J107" s="582"/>
      <c r="K107" s="583"/>
      <c r="L107" s="584"/>
      <c r="M107" s="585"/>
      <c r="N107" s="1154"/>
      <c r="O107" s="1154"/>
      <c r="P107" s="2628"/>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28"/>
      <c r="Q108" s="503"/>
    </row>
    <row r="109" spans="1:17" ht="15" thickTop="1">
      <c r="A109" s="598"/>
      <c r="B109" s="537" t="s">
        <v>1998</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28"/>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28"/>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28"/>
      <c r="Q111" s="503"/>
    </row>
    <row r="112" spans="1:17" s="470" customFormat="1" ht="15" thickTop="1">
      <c r="A112" s="592"/>
      <c r="B112" s="537" t="s">
        <v>2606</v>
      </c>
      <c r="C112" s="553"/>
      <c r="D112" s="553"/>
      <c r="E112" s="553"/>
      <c r="F112" s="553"/>
      <c r="G112" s="553"/>
      <c r="H112" s="582"/>
      <c r="I112" s="582"/>
      <c r="J112" s="582"/>
      <c r="K112" s="583"/>
      <c r="L112" s="584"/>
      <c r="M112" s="585"/>
      <c r="N112" s="1156"/>
      <c r="O112" s="1156"/>
      <c r="P112" s="2629"/>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29"/>
      <c r="Q113" s="558"/>
    </row>
    <row r="114" spans="1:17" ht="15" thickTop="1">
      <c r="A114" s="598"/>
      <c r="B114" s="537" t="s">
        <v>2670</v>
      </c>
      <c r="C114" s="553"/>
      <c r="D114" s="553"/>
      <c r="E114" s="582"/>
      <c r="F114" s="582"/>
      <c r="G114" s="582"/>
      <c r="H114" s="582"/>
      <c r="I114" s="582"/>
      <c r="J114" s="582"/>
      <c r="K114" s="583"/>
      <c r="L114" s="584"/>
      <c r="M114" s="585"/>
      <c r="N114" s="1154"/>
      <c r="O114" s="1154"/>
      <c r="P114" s="2628"/>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28"/>
      <c r="Q115" s="503"/>
    </row>
    <row r="116" spans="1:17" ht="15" thickTop="1">
      <c r="A116" s="598"/>
      <c r="B116" s="537" t="s">
        <v>2671</v>
      </c>
      <c r="C116" s="553"/>
      <c r="D116" s="553"/>
      <c r="E116" s="553"/>
      <c r="F116" s="553"/>
      <c r="G116" s="553"/>
      <c r="H116" s="582"/>
      <c r="I116" s="582"/>
      <c r="J116" s="582"/>
      <c r="K116" s="583"/>
      <c r="L116" s="584"/>
      <c r="M116" s="585"/>
      <c r="N116" s="1154"/>
      <c r="O116" s="1154"/>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28"/>
      <c r="Q117" s="503"/>
    </row>
    <row r="118" spans="1:17" ht="15" thickTop="1">
      <c r="A118" s="598"/>
      <c r="B118" s="537" t="s">
        <v>2672</v>
      </c>
      <c r="C118" s="626"/>
      <c r="D118" s="626"/>
      <c r="E118" s="626"/>
      <c r="F118" s="626"/>
      <c r="G118" s="626"/>
      <c r="H118" s="554"/>
      <c r="I118" s="554"/>
      <c r="J118" s="554"/>
      <c r="K118" s="554"/>
      <c r="L118" s="555"/>
      <c r="M118" s="556"/>
      <c r="N118" s="1154"/>
      <c r="O118" s="1154"/>
      <c r="P118" s="2628"/>
      <c r="Q118" s="503"/>
    </row>
    <row r="119" spans="1:17" ht="15.75" thickBot="1">
      <c r="A119" s="533"/>
      <c r="B119" s="542"/>
      <c r="C119" s="559"/>
      <c r="D119" s="535"/>
      <c r="E119" s="535"/>
      <c r="F119" s="535"/>
      <c r="G119" s="535"/>
      <c r="H119" s="535"/>
      <c r="I119" s="535"/>
      <c r="J119" s="535"/>
      <c r="K119" s="535"/>
      <c r="L119" s="535"/>
      <c r="M119" s="536"/>
      <c r="N119" s="1155"/>
      <c r="O119" s="1155"/>
      <c r="P119" s="2628"/>
      <c r="Q119" s="503"/>
    </row>
    <row r="120" spans="1:17" s="470" customFormat="1" ht="15" thickTop="1">
      <c r="A120" s="592"/>
      <c r="B120" s="537" t="s">
        <v>2673</v>
      </c>
      <c r="C120" s="582"/>
      <c r="D120" s="582"/>
      <c r="E120" s="582"/>
      <c r="F120" s="582"/>
      <c r="G120" s="554"/>
      <c r="H120" s="554"/>
      <c r="I120" s="554"/>
      <c r="J120" s="554"/>
      <c r="K120" s="554"/>
      <c r="L120" s="555"/>
      <c r="M120" s="556"/>
      <c r="N120" s="1156"/>
      <c r="O120" s="1156"/>
      <c r="P120" s="2629"/>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29"/>
      <c r="Q121" s="558"/>
    </row>
    <row r="122" spans="1:17" ht="15" thickTop="1">
      <c r="A122" s="598"/>
      <c r="B122" s="537" t="s">
        <v>2608</v>
      </c>
      <c r="C122" s="553"/>
      <c r="D122" s="553"/>
      <c r="E122" s="553"/>
      <c r="F122" s="582"/>
      <c r="G122" s="582"/>
      <c r="H122" s="582"/>
      <c r="I122" s="582"/>
      <c r="J122" s="582"/>
      <c r="K122" s="583"/>
      <c r="L122" s="584"/>
      <c r="M122" s="585"/>
      <c r="N122" s="1154"/>
      <c r="O122" s="1154"/>
      <c r="P122" s="2628"/>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28"/>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54"/>
      <c r="O124" s="1154"/>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28"/>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29"/>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29"/>
      <c r="Q127" s="558"/>
    </row>
    <row r="128" spans="1:17" ht="15" thickTop="1">
      <c r="A128" s="598"/>
      <c r="B128" s="537">
        <f>B45</f>
        <v>111</v>
      </c>
      <c r="C128" s="553"/>
      <c r="D128" s="553"/>
      <c r="E128" s="553"/>
      <c r="F128" s="553"/>
      <c r="G128" s="582"/>
      <c r="H128" s="582"/>
      <c r="I128" s="582"/>
      <c r="J128" s="582"/>
      <c r="K128" s="583"/>
      <c r="L128" s="584"/>
      <c r="M128" s="585"/>
      <c r="N128" s="1154"/>
      <c r="O128" s="1154"/>
      <c r="P128" s="2628"/>
      <c r="Q128" s="503"/>
    </row>
    <row r="129" spans="1:17" ht="15.75" thickBot="1">
      <c r="A129" s="533"/>
      <c r="B129" s="542"/>
      <c r="C129" s="559"/>
      <c r="D129" s="535"/>
      <c r="E129" s="535"/>
      <c r="F129" s="535"/>
      <c r="G129" s="535"/>
      <c r="H129" s="535"/>
      <c r="I129" s="535"/>
      <c r="J129" s="535"/>
      <c r="K129" s="535"/>
      <c r="L129" s="535"/>
      <c r="M129" s="536"/>
      <c r="N129" s="1155"/>
      <c r="O129" s="1155"/>
      <c r="P129" s="2628"/>
      <c r="Q129" s="503"/>
    </row>
    <row r="130" spans="1:17" ht="15" thickTop="1">
      <c r="A130" s="598"/>
      <c r="B130" s="545">
        <f>B46</f>
        <v>111</v>
      </c>
      <c r="C130" s="553"/>
      <c r="D130" s="553"/>
      <c r="E130" s="553"/>
      <c r="F130" s="553"/>
      <c r="G130" s="586"/>
      <c r="H130" s="586"/>
      <c r="I130" s="586"/>
      <c r="J130" s="586"/>
      <c r="K130" s="522"/>
      <c r="L130" s="523"/>
      <c r="M130" s="589"/>
      <c r="N130" s="1154"/>
      <c r="O130" s="1154"/>
      <c r="P130" s="2628"/>
      <c r="Q130" s="503"/>
    </row>
    <row r="131" spans="1:17" ht="15.75" thickBot="1">
      <c r="A131" s="2634"/>
      <c r="B131" s="568"/>
      <c r="C131" s="569"/>
      <c r="D131" s="569"/>
      <c r="E131" s="569"/>
      <c r="F131" s="569"/>
      <c r="G131" s="590"/>
      <c r="H131" s="590"/>
      <c r="I131" s="590"/>
      <c r="J131" s="590"/>
      <c r="K131" s="590"/>
      <c r="L131" s="590"/>
      <c r="M131" s="591"/>
      <c r="N131" s="1155"/>
      <c r="O131" s="1155"/>
      <c r="P131" s="2628"/>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2516</v>
      </c>
      <c r="B1" s="2667" t="s">
        <v>2674</v>
      </c>
      <c r="C1" s="1622" t="s">
        <v>2518</v>
      </c>
      <c r="D1" s="1623"/>
      <c r="E1" s="1632"/>
      <c r="F1" s="2582"/>
      <c r="G1" s="1633" t="s">
        <v>2631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2318</v>
      </c>
      <c r="B2" s="1420" t="e">
        <f ca="1">IF(C2="——",ROUND(C50*D3/10000,0),ROUND(C50*D3/10000,0)-D2)</f>
        <v>#DIV/0!</v>
      </c>
      <c r="C2" s="2584"/>
      <c r="D2" s="1367" t="e">
        <f ca="1">SUMIF(INDIRECT("'"&amp;F2&amp;"'"&amp;"!A:A"),"承租人权益价值",INDIRECT("'"&amp;F2&amp;"'"&amp;"!c:c"))</f>
        <v>#REF!</v>
      </c>
      <c r="E2" s="2585" t="s">
        <v>2319</v>
      </c>
      <c r="F2" s="2586"/>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2320</v>
      </c>
      <c r="B3" s="608" t="e">
        <f ca="1">IF(C2="——",C50,ROUND(B2*10000/D3,0))</f>
        <v>#DIV/0!</v>
      </c>
      <c r="C3" s="399" t="s">
        <v>2632</v>
      </c>
      <c r="D3" s="398">
        <f>IF(D1="",'数据-汇总表'!E3,SUMIF('数据-汇总表'!$C19:$C33,D1,'数据-汇总表'!$E19:$E33))</f>
        <v>178615</v>
      </c>
      <c r="E3" s="2661"/>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2633</v>
      </c>
      <c r="B4" s="401"/>
      <c r="C4" s="3208" t="s">
        <v>2634</v>
      </c>
      <c r="D4" s="3221"/>
      <c r="E4" s="3222" t="s">
        <v>2635</v>
      </c>
      <c r="F4" s="3223"/>
      <c r="G4" s="3208" t="s">
        <v>2636</v>
      </c>
      <c r="H4" s="3221"/>
      <c r="I4" s="3208" t="s">
        <v>2637</v>
      </c>
      <c r="J4" s="3221"/>
      <c r="K4" s="609" t="s">
        <v>2638</v>
      </c>
      <c r="L4" s="1132"/>
      <c r="M4" s="1133"/>
      <c r="N4" s="1133"/>
      <c r="O4" s="1133"/>
      <c r="P4" s="3293" t="s">
        <v>2639</v>
      </c>
      <c r="Q4" s="3294"/>
      <c r="R4" s="3297" t="s">
        <v>2635</v>
      </c>
      <c r="S4" s="3298"/>
      <c r="T4" s="3297" t="s">
        <v>2636</v>
      </c>
      <c r="U4" s="3298"/>
      <c r="V4" s="3299" t="s">
        <v>2637</v>
      </c>
      <c r="W4" s="3299"/>
      <c r="X4" s="2668"/>
      <c r="Y4" s="3297" t="s">
        <v>2639</v>
      </c>
      <c r="Z4" s="3298"/>
      <c r="AA4" s="3301" t="s">
        <v>2635</v>
      </c>
      <c r="AB4" s="3301" t="s">
        <v>2636</v>
      </c>
      <c r="AC4" s="3290" t="s">
        <v>2637</v>
      </c>
    </row>
    <row r="5" spans="1:29" ht="15">
      <c r="A5" s="403"/>
      <c r="B5" s="404"/>
      <c r="C5" s="3243" t="s">
        <v>2530</v>
      </c>
      <c r="D5" s="3239"/>
      <c r="E5" s="3286" t="s">
        <v>2531</v>
      </c>
      <c r="F5" s="3248"/>
      <c r="G5" s="3243" t="s">
        <v>2532</v>
      </c>
      <c r="H5" s="3239"/>
      <c r="I5" s="3243" t="s">
        <v>2533</v>
      </c>
      <c r="J5" s="3239"/>
      <c r="K5" s="609"/>
      <c r="L5" s="1132"/>
      <c r="M5" s="1133"/>
      <c r="N5" s="1133"/>
      <c r="O5" s="1133"/>
      <c r="P5" s="3295"/>
      <c r="Q5" s="3227"/>
      <c r="R5" s="3232"/>
      <c r="S5" s="3233"/>
      <c r="T5" s="3232"/>
      <c r="U5" s="3233"/>
      <c r="V5" s="3217"/>
      <c r="W5" s="3217"/>
      <c r="X5" s="1815"/>
      <c r="Y5" s="3232"/>
      <c r="Z5" s="3233"/>
      <c r="AA5" s="3219"/>
      <c r="AB5" s="3219"/>
      <c r="AC5" s="3291"/>
    </row>
    <row r="6" spans="1:29" ht="15.75" thickBot="1">
      <c r="A6" s="405"/>
      <c r="B6" s="406"/>
      <c r="C6" s="3244" t="s">
        <v>2534</v>
      </c>
      <c r="D6" s="3237"/>
      <c r="E6" s="3285" t="s">
        <v>2534</v>
      </c>
      <c r="F6" s="3246"/>
      <c r="G6" s="3244" t="s">
        <v>2534</v>
      </c>
      <c r="H6" s="3237"/>
      <c r="I6" s="3244" t="s">
        <v>2534</v>
      </c>
      <c r="J6" s="3237"/>
      <c r="K6" s="609" t="s">
        <v>2535</v>
      </c>
      <c r="L6" s="1132"/>
      <c r="M6" s="1133"/>
      <c r="N6" s="1133"/>
      <c r="O6" s="1133"/>
      <c r="P6" s="3296"/>
      <c r="Q6" s="3229"/>
      <c r="R6" s="3232"/>
      <c r="S6" s="3233"/>
      <c r="T6" s="3234"/>
      <c r="U6" s="3235"/>
      <c r="V6" s="3217"/>
      <c r="W6" s="3217"/>
      <c r="X6" s="1815"/>
      <c r="Y6" s="3234"/>
      <c r="Z6" s="3235"/>
      <c r="AA6" s="3220"/>
      <c r="AB6" s="3220"/>
      <c r="AC6" s="3292"/>
    </row>
    <row r="7" spans="1:29" s="117" customFormat="1" ht="15.75" thickBot="1">
      <c r="A7" s="407" t="s">
        <v>2536</v>
      </c>
      <c r="B7" s="408"/>
      <c r="C7" s="409">
        <f>'数据-取费表'!B2</f>
        <v>43248</v>
      </c>
      <c r="D7" s="410">
        <v>100</v>
      </c>
      <c r="E7" s="411"/>
      <c r="F7" s="412">
        <f>SUMIF(59:59,YEAR(E7)&amp;"-"&amp;MONTH(E7),60:60)</f>
        <v>0</v>
      </c>
      <c r="G7" s="411"/>
      <c r="H7" s="410">
        <f>SUMIF(59:59,YEAR(G7)&amp;"-"&amp;MONTH(G7),60:60)</f>
        <v>0</v>
      </c>
      <c r="I7" s="411"/>
      <c r="J7" s="410">
        <f>SUMIF(59:59,YEAR(I7)&amp;"-"&amp;MONTH(I7),60:60)</f>
        <v>0</v>
      </c>
      <c r="K7" s="610"/>
      <c r="L7" s="1134"/>
      <c r="M7" s="1135"/>
      <c r="N7" s="1135"/>
      <c r="O7" s="1135"/>
      <c r="P7" s="3300" t="s">
        <v>2537</v>
      </c>
      <c r="Q7" s="3242"/>
      <c r="R7" s="769" t="s">
        <v>17</v>
      </c>
      <c r="S7" s="770">
        <f t="shared" ref="S7:S15" si="0">F7</f>
        <v>0</v>
      </c>
      <c r="T7" s="769" t="s">
        <v>17</v>
      </c>
      <c r="U7" s="770">
        <f t="shared" ref="U7:U15" si="1">H7</f>
        <v>0</v>
      </c>
      <c r="V7" s="769" t="s">
        <v>17</v>
      </c>
      <c r="W7" s="770">
        <f t="shared" ref="W7:W15" si="2">J7</f>
        <v>0</v>
      </c>
      <c r="X7" s="771"/>
      <c r="Y7" s="3240" t="s">
        <v>2537</v>
      </c>
      <c r="Z7" s="3241"/>
      <c r="AA7" s="772" t="e">
        <f>D7/F7</f>
        <v>#DIV/0!</v>
      </c>
      <c r="AB7" s="772" t="e">
        <f>D7/H7</f>
        <v>#DIV/0!</v>
      </c>
      <c r="AC7" s="2669" t="e">
        <f>D7/J7</f>
        <v>#DIV/0!</v>
      </c>
    </row>
    <row r="8" spans="1:29" s="117" customFormat="1" ht="15.75" thickBot="1">
      <c r="A8" s="407" t="s">
        <v>2538</v>
      </c>
      <c r="B8" s="408"/>
      <c r="C8" s="413" t="s">
        <v>2640</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300" t="s">
        <v>2540</v>
      </c>
      <c r="Q8" s="3241"/>
      <c r="R8" s="769" t="s">
        <v>17</v>
      </c>
      <c r="S8" s="770">
        <f t="shared" si="0"/>
        <v>0</v>
      </c>
      <c r="T8" s="769" t="s">
        <v>17</v>
      </c>
      <c r="U8" s="770">
        <f t="shared" si="1"/>
        <v>0</v>
      </c>
      <c r="V8" s="769" t="s">
        <v>17</v>
      </c>
      <c r="W8" s="770">
        <f t="shared" si="2"/>
        <v>0</v>
      </c>
      <c r="X8" s="771"/>
      <c r="Y8" s="3240" t="s">
        <v>2540</v>
      </c>
      <c r="Z8" s="3241"/>
      <c r="AA8" s="772" t="e">
        <f t="shared" ref="AA8:AA47" si="3">D8/F8</f>
        <v>#DIV/0!</v>
      </c>
      <c r="AB8" s="772" t="e">
        <f t="shared" ref="AB8:AB47" si="4">D8/H8</f>
        <v>#DIV/0!</v>
      </c>
      <c r="AC8" s="2669" t="e">
        <f t="shared" ref="AC8:AC47" si="5">D8/J8</f>
        <v>#DIV/0!</v>
      </c>
    </row>
    <row r="9" spans="1:29" s="117" customFormat="1">
      <c r="A9" s="414" t="s">
        <v>2541</v>
      </c>
      <c r="B9" s="71" t="s">
        <v>2542</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210" t="s">
        <v>2543</v>
      </c>
      <c r="Q9" s="1797" t="str">
        <f t="shared" ref="Q9:Q15" si="6">B9</f>
        <v>用途</v>
      </c>
      <c r="R9" s="769" t="s">
        <v>17</v>
      </c>
      <c r="S9" s="770">
        <f t="shared" si="0"/>
        <v>100</v>
      </c>
      <c r="T9" s="769" t="s">
        <v>17</v>
      </c>
      <c r="U9" s="770">
        <f t="shared" si="1"/>
        <v>100</v>
      </c>
      <c r="V9" s="769" t="s">
        <v>17</v>
      </c>
      <c r="W9" s="770">
        <f t="shared" si="2"/>
        <v>100</v>
      </c>
      <c r="X9" s="771"/>
      <c r="Y9" s="3059" t="s">
        <v>2544</v>
      </c>
      <c r="Z9" s="55" t="str">
        <f t="shared" ref="Z9:Z15" si="7">Q9</f>
        <v>用途</v>
      </c>
      <c r="AA9" s="772">
        <f t="shared" si="3"/>
        <v>1</v>
      </c>
      <c r="AB9" s="772">
        <f t="shared" si="4"/>
        <v>1</v>
      </c>
      <c r="AC9" s="2669">
        <f t="shared" si="5"/>
        <v>1</v>
      </c>
    </row>
    <row r="10" spans="1:29" s="426" customFormat="1" ht="27">
      <c r="A10" s="420"/>
      <c r="B10" s="421" t="s">
        <v>2545</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210"/>
      <c r="Q10" s="1797" t="str">
        <f t="shared" si="6"/>
        <v>土地使用年限（年）</v>
      </c>
      <c r="R10" s="769" t="s">
        <v>17</v>
      </c>
      <c r="S10" s="770">
        <f t="shared" si="0"/>
        <v>100</v>
      </c>
      <c r="T10" s="769" t="s">
        <v>17</v>
      </c>
      <c r="U10" s="770">
        <f t="shared" si="1"/>
        <v>100</v>
      </c>
      <c r="V10" s="769" t="s">
        <v>17</v>
      </c>
      <c r="W10" s="770">
        <f t="shared" si="2"/>
        <v>100</v>
      </c>
      <c r="X10" s="771"/>
      <c r="Y10" s="3059"/>
      <c r="Z10" s="55" t="str">
        <f t="shared" si="7"/>
        <v>土地使用年限（年）</v>
      </c>
      <c r="AA10" s="772">
        <f t="shared" si="3"/>
        <v>1</v>
      </c>
      <c r="AB10" s="772">
        <f t="shared" si="4"/>
        <v>1</v>
      </c>
      <c r="AC10" s="2669">
        <f t="shared" si="5"/>
        <v>1</v>
      </c>
    </row>
    <row r="11" spans="1:29" ht="15">
      <c r="A11" s="427"/>
      <c r="B11" s="421" t="s">
        <v>2546</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210"/>
      <c r="Q11" s="1797" t="str">
        <f t="shared" si="6"/>
        <v>容积率</v>
      </c>
      <c r="R11" s="769" t="s">
        <v>17</v>
      </c>
      <c r="S11" s="770" t="e">
        <f t="shared" si="0"/>
        <v>#N/A</v>
      </c>
      <c r="T11" s="769" t="s">
        <v>17</v>
      </c>
      <c r="U11" s="770" t="e">
        <f t="shared" si="1"/>
        <v>#N/A</v>
      </c>
      <c r="V11" s="769" t="s">
        <v>17</v>
      </c>
      <c r="W11" s="770" t="e">
        <f t="shared" si="2"/>
        <v>#N/A</v>
      </c>
      <c r="X11" s="771"/>
      <c r="Y11" s="3059"/>
      <c r="Z11" s="55" t="str">
        <f t="shared" si="7"/>
        <v>容积率</v>
      </c>
      <c r="AA11" s="772" t="e">
        <f t="shared" si="3"/>
        <v>#N/A</v>
      </c>
      <c r="AB11" s="772" t="e">
        <f t="shared" si="4"/>
        <v>#N/A</v>
      </c>
      <c r="AC11" s="2669" t="e">
        <f t="shared" si="5"/>
        <v>#N/A</v>
      </c>
    </row>
    <row r="12" spans="1:29" s="117" customFormat="1" ht="15">
      <c r="A12" s="430"/>
      <c r="B12" s="2598">
        <v>111</v>
      </c>
      <c r="C12" s="431"/>
      <c r="D12" s="432">
        <v>100</v>
      </c>
      <c r="E12" s="431"/>
      <c r="F12" s="135">
        <f>SUMIF(71:71,E12,72:72)-SUMIF(71:71,C12,72:72)+100</f>
        <v>100</v>
      </c>
      <c r="G12" s="2670"/>
      <c r="H12" s="135">
        <f>SUMIF(71:71,G12,72:72)-SUMIF(71:71,C12,72:72)+100</f>
        <v>100</v>
      </c>
      <c r="I12" s="431"/>
      <c r="J12" s="135">
        <f>SUMIF(71:71,I12,72:72)-SUMIF(71:71,C12,72:72)+100</f>
        <v>100</v>
      </c>
      <c r="K12" s="612"/>
      <c r="L12" s="1134"/>
      <c r="M12" s="1135"/>
      <c r="N12" s="1135"/>
      <c r="O12" s="1135"/>
      <c r="P12" s="3210"/>
      <c r="Q12" s="1797">
        <f t="shared" si="6"/>
        <v>111</v>
      </c>
      <c r="R12" s="769" t="s">
        <v>17</v>
      </c>
      <c r="S12" s="770">
        <f t="shared" si="0"/>
        <v>100</v>
      </c>
      <c r="T12" s="769" t="s">
        <v>17</v>
      </c>
      <c r="U12" s="770">
        <f t="shared" si="1"/>
        <v>100</v>
      </c>
      <c r="V12" s="769" t="s">
        <v>17</v>
      </c>
      <c r="W12" s="770">
        <f t="shared" si="2"/>
        <v>100</v>
      </c>
      <c r="X12" s="771"/>
      <c r="Y12" s="3059"/>
      <c r="Z12" s="55">
        <f t="shared" si="7"/>
        <v>111</v>
      </c>
      <c r="AA12" s="772">
        <f>D12/F12</f>
        <v>1</v>
      </c>
      <c r="AB12" s="772">
        <f>D12/H12</f>
        <v>1</v>
      </c>
      <c r="AC12" s="2669">
        <f>D12/J12</f>
        <v>1</v>
      </c>
    </row>
    <row r="13" spans="1:29" ht="15">
      <c r="A13" s="427"/>
      <c r="B13" s="2598">
        <v>111</v>
      </c>
      <c r="C13" s="433"/>
      <c r="D13" s="434">
        <v>100</v>
      </c>
      <c r="E13" s="431"/>
      <c r="F13" s="135">
        <f>SUMIF(73:73,E13,74:74)-SUMIF(73:73,C13,74:74)+100</f>
        <v>100</v>
      </c>
      <c r="G13" s="2670"/>
      <c r="H13" s="434">
        <f>SUMIF(73:73,G13,74:74)-SUMIF(73:73,C13,74:74)+100</f>
        <v>100</v>
      </c>
      <c r="I13" s="431"/>
      <c r="J13" s="434">
        <f>SUMIF(73:73,I13,74:74)-SUMIF(73:73,C13,74:74)+100</f>
        <v>100</v>
      </c>
      <c r="K13" s="612"/>
      <c r="L13" s="1142"/>
      <c r="M13" s="1133"/>
      <c r="N13" s="1133"/>
      <c r="O13" s="1133"/>
      <c r="P13" s="3210"/>
      <c r="Q13" s="1797">
        <f t="shared" si="6"/>
        <v>111</v>
      </c>
      <c r="R13" s="769" t="s">
        <v>17</v>
      </c>
      <c r="S13" s="770">
        <f t="shared" si="0"/>
        <v>100</v>
      </c>
      <c r="T13" s="769" t="s">
        <v>17</v>
      </c>
      <c r="U13" s="770">
        <f t="shared" si="1"/>
        <v>100</v>
      </c>
      <c r="V13" s="769" t="s">
        <v>17</v>
      </c>
      <c r="W13" s="770">
        <f t="shared" si="2"/>
        <v>100</v>
      </c>
      <c r="X13" s="771"/>
      <c r="Y13" s="3059"/>
      <c r="Z13" s="55">
        <f t="shared" si="7"/>
        <v>111</v>
      </c>
      <c r="AA13" s="772">
        <f t="shared" si="3"/>
        <v>1</v>
      </c>
      <c r="AB13" s="772">
        <f t="shared" si="4"/>
        <v>1</v>
      </c>
      <c r="AC13" s="2669">
        <f t="shared" si="5"/>
        <v>1</v>
      </c>
    </row>
    <row r="14" spans="1:29" ht="15.75" thickBot="1">
      <c r="A14" s="435"/>
      <c r="B14" s="2600">
        <v>111</v>
      </c>
      <c r="C14" s="436"/>
      <c r="D14" s="437">
        <v>100</v>
      </c>
      <c r="E14" s="627"/>
      <c r="F14" s="437">
        <f>SUMIF(75:75,E14,76:76)-SUMIF(75:75,C14,76:76)+100</f>
        <v>100</v>
      </c>
      <c r="G14" s="2670"/>
      <c r="H14" s="437">
        <f>SUMIF(75:75,G14,76:76)-SUMIF(75:75,C14,76:76)+100</f>
        <v>100</v>
      </c>
      <c r="I14" s="431"/>
      <c r="J14" s="437">
        <f>SUMIF(75:75,I14,76:76)-SUMIF(75:75,C14,76:76)+100</f>
        <v>100</v>
      </c>
      <c r="K14" s="612"/>
      <c r="L14" s="1142"/>
      <c r="M14" s="1133"/>
      <c r="N14" s="1133"/>
      <c r="O14" s="1133"/>
      <c r="P14" s="3210"/>
      <c r="Q14" s="1797">
        <f t="shared" si="6"/>
        <v>111</v>
      </c>
      <c r="R14" s="769" t="s">
        <v>17</v>
      </c>
      <c r="S14" s="770">
        <f t="shared" si="0"/>
        <v>100</v>
      </c>
      <c r="T14" s="769" t="s">
        <v>17</v>
      </c>
      <c r="U14" s="770">
        <f t="shared" si="1"/>
        <v>100</v>
      </c>
      <c r="V14" s="769" t="s">
        <v>17</v>
      </c>
      <c r="W14" s="770">
        <f t="shared" si="2"/>
        <v>100</v>
      </c>
      <c r="X14" s="771"/>
      <c r="Y14" s="3059"/>
      <c r="Z14" s="55">
        <f t="shared" si="7"/>
        <v>111</v>
      </c>
      <c r="AA14" s="772">
        <f t="shared" si="3"/>
        <v>1</v>
      </c>
      <c r="AB14" s="772">
        <f t="shared" si="4"/>
        <v>1</v>
      </c>
      <c r="AC14" s="2669">
        <f t="shared" si="5"/>
        <v>1</v>
      </c>
    </row>
    <row r="15" spans="1:29" ht="15">
      <c r="A15" s="439" t="s">
        <v>2547</v>
      </c>
      <c r="B15" s="628" t="s">
        <v>2675</v>
      </c>
      <c r="C15" s="2671">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83" t="s">
        <v>2548</v>
      </c>
      <c r="Q15" s="1812" t="str">
        <f t="shared" si="6"/>
        <v>办公集聚程度</v>
      </c>
      <c r="R15" s="773" t="s">
        <v>17</v>
      </c>
      <c r="S15" s="774">
        <f t="shared" si="0"/>
        <v>100</v>
      </c>
      <c r="T15" s="773" t="s">
        <v>17</v>
      </c>
      <c r="U15" s="774">
        <f t="shared" si="1"/>
        <v>100</v>
      </c>
      <c r="V15" s="773" t="s">
        <v>17</v>
      </c>
      <c r="W15" s="774">
        <f t="shared" si="2"/>
        <v>100</v>
      </c>
      <c r="X15" s="1815"/>
      <c r="Y15" s="3213" t="s">
        <v>2548</v>
      </c>
      <c r="Z15" s="1816" t="str">
        <f t="shared" si="7"/>
        <v>办公集聚程度</v>
      </c>
      <c r="AA15" s="1813">
        <f t="shared" si="3"/>
        <v>1</v>
      </c>
      <c r="AB15" s="1813">
        <f t="shared" si="4"/>
        <v>1</v>
      </c>
      <c r="AC15" s="2672">
        <f t="shared" si="5"/>
        <v>1</v>
      </c>
    </row>
    <row r="16" spans="1:29" ht="15">
      <c r="A16" s="427"/>
      <c r="B16" s="629"/>
      <c r="C16" s="2609"/>
      <c r="D16" s="447"/>
      <c r="E16" s="446"/>
      <c r="F16" s="447"/>
      <c r="G16" s="2609"/>
      <c r="H16" s="449"/>
      <c r="I16" s="446"/>
      <c r="J16" s="447"/>
      <c r="K16" s="614"/>
      <c r="L16" s="1142"/>
      <c r="M16" s="1133"/>
      <c r="N16" s="1133"/>
      <c r="O16" s="1133"/>
      <c r="P16" s="3284"/>
      <c r="Q16" s="1812"/>
      <c r="R16" s="773"/>
      <c r="S16" s="774"/>
      <c r="T16" s="773"/>
      <c r="U16" s="774"/>
      <c r="V16" s="773"/>
      <c r="W16" s="774"/>
      <c r="X16" s="1815"/>
      <c r="Y16" s="3214"/>
      <c r="Z16" s="1816"/>
      <c r="AA16" s="1813">
        <v>1</v>
      </c>
      <c r="AB16" s="1813">
        <v>1</v>
      </c>
      <c r="AC16" s="2672">
        <v>1</v>
      </c>
    </row>
    <row r="17" spans="1:29" ht="15">
      <c r="A17" s="427"/>
      <c r="B17" s="630" t="s">
        <v>2091</v>
      </c>
      <c r="C17" s="2673">
        <f>估价对象房地状况!C6</f>
        <v>0</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84"/>
      <c r="Q17" s="1812" t="str">
        <f>B17</f>
        <v>交通便捷度</v>
      </c>
      <c r="R17" s="773" t="s">
        <v>17</v>
      </c>
      <c r="S17" s="774">
        <f>F17</f>
        <v>100</v>
      </c>
      <c r="T17" s="773" t="s">
        <v>17</v>
      </c>
      <c r="U17" s="774">
        <f>H17</f>
        <v>100</v>
      </c>
      <c r="V17" s="773" t="s">
        <v>17</v>
      </c>
      <c r="W17" s="774">
        <f>J17</f>
        <v>100</v>
      </c>
      <c r="X17" s="1815"/>
      <c r="Y17" s="3214"/>
      <c r="Z17" s="1816" t="str">
        <f>Q17</f>
        <v>交通便捷度</v>
      </c>
      <c r="AA17" s="1813">
        <f t="shared" si="3"/>
        <v>1</v>
      </c>
      <c r="AB17" s="1813">
        <f t="shared" si="4"/>
        <v>1</v>
      </c>
      <c r="AC17" s="2672">
        <f t="shared" si="5"/>
        <v>1</v>
      </c>
    </row>
    <row r="18" spans="1:29" ht="15">
      <c r="A18" s="427"/>
      <c r="B18" s="631"/>
      <c r="C18" s="2674"/>
      <c r="D18" s="449"/>
      <c r="E18" s="2607"/>
      <c r="F18" s="449"/>
      <c r="G18" s="2608"/>
      <c r="H18" s="447"/>
      <c r="I18" s="2608"/>
      <c r="J18" s="447"/>
      <c r="K18" s="614"/>
      <c r="L18" s="1142"/>
      <c r="M18" s="1133"/>
      <c r="N18" s="1133"/>
      <c r="O18" s="1133"/>
      <c r="P18" s="3284"/>
      <c r="Q18" s="1812"/>
      <c r="R18" s="773"/>
      <c r="S18" s="774"/>
      <c r="T18" s="773"/>
      <c r="U18" s="774"/>
      <c r="V18" s="773"/>
      <c r="W18" s="774"/>
      <c r="X18" s="1815"/>
      <c r="Y18" s="3214"/>
      <c r="Z18" s="1816"/>
      <c r="AA18" s="1813">
        <v>1</v>
      </c>
      <c r="AB18" s="1813">
        <v>1</v>
      </c>
      <c r="AC18" s="2672">
        <v>1</v>
      </c>
    </row>
    <row r="19" spans="1:29" ht="15">
      <c r="A19" s="427"/>
      <c r="B19" s="630" t="s">
        <v>2676</v>
      </c>
      <c r="C19" s="2673">
        <f>估价对象房地状况!C7</f>
        <v>0</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84"/>
      <c r="Q19" s="1812" t="str">
        <f>B19</f>
        <v>公共配套设施</v>
      </c>
      <c r="R19" s="773" t="s">
        <v>17</v>
      </c>
      <c r="S19" s="774">
        <f>F19</f>
        <v>100</v>
      </c>
      <c r="T19" s="773" t="s">
        <v>17</v>
      </c>
      <c r="U19" s="774">
        <f>H19</f>
        <v>100</v>
      </c>
      <c r="V19" s="773" t="s">
        <v>17</v>
      </c>
      <c r="W19" s="774">
        <f>J19</f>
        <v>100</v>
      </c>
      <c r="X19" s="1815"/>
      <c r="Y19" s="3214"/>
      <c r="Z19" s="1816" t="str">
        <f>Q19</f>
        <v>公共配套设施</v>
      </c>
      <c r="AA19" s="1813">
        <f t="shared" si="3"/>
        <v>1</v>
      </c>
      <c r="AB19" s="1813">
        <f t="shared" si="4"/>
        <v>1</v>
      </c>
      <c r="AC19" s="2672">
        <f t="shared" si="5"/>
        <v>1</v>
      </c>
    </row>
    <row r="20" spans="1:29" ht="15">
      <c r="A20" s="427"/>
      <c r="B20" s="631"/>
      <c r="C20" s="2609"/>
      <c r="D20" s="447"/>
      <c r="E20" s="2602"/>
      <c r="F20" s="447"/>
      <c r="G20" s="2603"/>
      <c r="H20" s="447"/>
      <c r="I20" s="2603"/>
      <c r="J20" s="447"/>
      <c r="K20" s="614"/>
      <c r="L20" s="1142"/>
      <c r="M20" s="1133"/>
      <c r="N20" s="1133"/>
      <c r="O20" s="1133"/>
      <c r="P20" s="3284"/>
      <c r="Q20" s="1812"/>
      <c r="R20" s="773"/>
      <c r="S20" s="774"/>
      <c r="T20" s="773"/>
      <c r="U20" s="774"/>
      <c r="V20" s="773"/>
      <c r="W20" s="774"/>
      <c r="X20" s="1815"/>
      <c r="Y20" s="3214"/>
      <c r="Z20" s="1816"/>
      <c r="AA20" s="1813">
        <v>1</v>
      </c>
      <c r="AB20" s="1813">
        <v>1</v>
      </c>
      <c r="AC20" s="2672">
        <v>1</v>
      </c>
    </row>
    <row r="21" spans="1:29" ht="15">
      <c r="A21" s="427"/>
      <c r="B21" s="632" t="s">
        <v>2677</v>
      </c>
      <c r="C21" s="2673">
        <f>估价对象房地状况!C8</f>
        <v>0</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84"/>
      <c r="Q21" s="1812" t="str">
        <f>B21</f>
        <v>基础设施水平</v>
      </c>
      <c r="R21" s="773" t="s">
        <v>17</v>
      </c>
      <c r="S21" s="774">
        <f>F21</f>
        <v>100</v>
      </c>
      <c r="T21" s="773" t="s">
        <v>17</v>
      </c>
      <c r="U21" s="774">
        <f>H21</f>
        <v>100</v>
      </c>
      <c r="V21" s="773" t="s">
        <v>17</v>
      </c>
      <c r="W21" s="774">
        <f>J21</f>
        <v>100</v>
      </c>
      <c r="X21" s="1815"/>
      <c r="Y21" s="3214"/>
      <c r="Z21" s="1816" t="str">
        <f>Q21</f>
        <v>基础设施水平</v>
      </c>
      <c r="AA21" s="1813">
        <f t="shared" ref="AA21" si="8">D21/F21</f>
        <v>1</v>
      </c>
      <c r="AB21" s="1813">
        <f t="shared" ref="AB21" si="9">D21/H21</f>
        <v>1</v>
      </c>
      <c r="AC21" s="2672">
        <f t="shared" ref="AC21" si="10">D21/J21</f>
        <v>1</v>
      </c>
    </row>
    <row r="22" spans="1:29" ht="15">
      <c r="A22" s="427"/>
      <c r="B22" s="632"/>
      <c r="C22" s="2674"/>
      <c r="D22" s="447"/>
      <c r="E22" s="446"/>
      <c r="F22" s="447"/>
      <c r="G22" s="2609"/>
      <c r="H22" s="447"/>
      <c r="I22" s="2609"/>
      <c r="J22" s="447"/>
      <c r="K22" s="1385"/>
      <c r="L22" s="1142"/>
      <c r="M22" s="1133"/>
      <c r="N22" s="1133"/>
      <c r="O22" s="1133"/>
      <c r="P22" s="3284"/>
      <c r="Q22" s="1812"/>
      <c r="R22" s="773"/>
      <c r="S22" s="774"/>
      <c r="T22" s="773"/>
      <c r="U22" s="774"/>
      <c r="V22" s="773"/>
      <c r="W22" s="774"/>
      <c r="X22" s="1815"/>
      <c r="Y22" s="3214"/>
      <c r="Z22" s="1816"/>
      <c r="AA22" s="1813">
        <v>1</v>
      </c>
      <c r="AB22" s="1813">
        <v>1</v>
      </c>
      <c r="AC22" s="2672">
        <v>1</v>
      </c>
    </row>
    <row r="23" spans="1:29" ht="15">
      <c r="A23" s="427"/>
      <c r="B23" s="630" t="s">
        <v>2678</v>
      </c>
      <c r="C23" s="2673">
        <f>估价对象房地状况!C9</f>
        <v>0</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84"/>
      <c r="Q23" s="1812" t="str">
        <f>B23</f>
        <v>环境质量</v>
      </c>
      <c r="R23" s="773" t="s">
        <v>17</v>
      </c>
      <c r="S23" s="774">
        <f>F23</f>
        <v>100</v>
      </c>
      <c r="T23" s="773" t="s">
        <v>17</v>
      </c>
      <c r="U23" s="774">
        <f>H23</f>
        <v>100</v>
      </c>
      <c r="V23" s="773" t="s">
        <v>17</v>
      </c>
      <c r="W23" s="774">
        <f>J23</f>
        <v>100</v>
      </c>
      <c r="X23" s="1815"/>
      <c r="Y23" s="3214"/>
      <c r="Z23" s="1816" t="str">
        <f>Q23</f>
        <v>环境质量</v>
      </c>
      <c r="AA23" s="1813">
        <f t="shared" si="3"/>
        <v>1</v>
      </c>
      <c r="AB23" s="1813">
        <f t="shared" si="4"/>
        <v>1</v>
      </c>
      <c r="AC23" s="2672">
        <f t="shared" si="5"/>
        <v>1</v>
      </c>
    </row>
    <row r="24" spans="1:29" ht="15">
      <c r="A24" s="427"/>
      <c r="B24" s="632"/>
      <c r="C24" s="2609"/>
      <c r="D24" s="447"/>
      <c r="E24" s="2602"/>
      <c r="F24" s="447"/>
      <c r="G24" s="2603"/>
      <c r="H24" s="447"/>
      <c r="I24" s="2603"/>
      <c r="J24" s="447"/>
      <c r="K24" s="614"/>
      <c r="L24" s="1142"/>
      <c r="M24" s="1133"/>
      <c r="N24" s="1133"/>
      <c r="O24" s="1133"/>
      <c r="P24" s="3284"/>
      <c r="Q24" s="1812"/>
      <c r="R24" s="773"/>
      <c r="S24" s="774"/>
      <c r="T24" s="773"/>
      <c r="U24" s="774"/>
      <c r="V24" s="773"/>
      <c r="W24" s="774"/>
      <c r="X24" s="1815"/>
      <c r="Y24" s="3214"/>
      <c r="Z24" s="1816"/>
      <c r="AA24" s="1813">
        <v>1</v>
      </c>
      <c r="AB24" s="1813">
        <v>1</v>
      </c>
      <c r="AC24" s="2672">
        <v>1</v>
      </c>
    </row>
    <row r="25" spans="1:29" ht="27">
      <c r="A25" s="403"/>
      <c r="B25" s="630" t="s">
        <v>2679</v>
      </c>
      <c r="C25" s="2613"/>
      <c r="D25" s="434">
        <v>100</v>
      </c>
      <c r="E25" s="433"/>
      <c r="F25" s="434">
        <f>SUMIF(87:87,E26,88:88)-SUMIF(87:87,C26,88:88)+100</f>
        <v>100</v>
      </c>
      <c r="G25" s="2613"/>
      <c r="H25" s="434">
        <f>SUMIF(87:87,G26,88:88)-SUMIF(87:87,C26,88:88)+100</f>
        <v>100</v>
      </c>
      <c r="I25" s="433"/>
      <c r="J25" s="434">
        <f>SUMIF(87:87,I26,88:88)-SUMIF(87:87,C26,88:88)+100</f>
        <v>100</v>
      </c>
      <c r="K25" s="613"/>
      <c r="L25" s="1142"/>
      <c r="M25" s="1133"/>
      <c r="N25" s="1133"/>
      <c r="O25" s="1133"/>
      <c r="P25" s="3284"/>
      <c r="Q25" s="1812" t="str">
        <f>B25</f>
        <v>毗邻道路的类型与等级</v>
      </c>
      <c r="R25" s="773" t="s">
        <v>17</v>
      </c>
      <c r="S25" s="774">
        <f>F25</f>
        <v>100</v>
      </c>
      <c r="T25" s="773" t="s">
        <v>17</v>
      </c>
      <c r="U25" s="774">
        <f>H25</f>
        <v>100</v>
      </c>
      <c r="V25" s="773" t="s">
        <v>17</v>
      </c>
      <c r="W25" s="774">
        <f>J25</f>
        <v>100</v>
      </c>
      <c r="X25" s="1815"/>
      <c r="Y25" s="3214"/>
      <c r="Z25" s="1816" t="str">
        <f>Q25</f>
        <v>毗邻道路的类型与等级</v>
      </c>
      <c r="AA25" s="1813">
        <f t="shared" si="3"/>
        <v>1</v>
      </c>
      <c r="AB25" s="1813">
        <f t="shared" si="4"/>
        <v>1</v>
      </c>
      <c r="AC25" s="2672">
        <f t="shared" si="5"/>
        <v>1</v>
      </c>
    </row>
    <row r="26" spans="1:29" ht="15">
      <c r="A26" s="403"/>
      <c r="B26" s="631"/>
      <c r="C26" s="633"/>
      <c r="D26" s="434"/>
      <c r="E26" s="615"/>
      <c r="F26" s="434"/>
      <c r="G26" s="633"/>
      <c r="H26" s="434"/>
      <c r="I26" s="615"/>
      <c r="J26" s="434"/>
      <c r="K26" s="614"/>
      <c r="L26" s="1142"/>
      <c r="M26" s="1133"/>
      <c r="N26" s="1133"/>
      <c r="O26" s="1133"/>
      <c r="P26" s="3284"/>
      <c r="Q26" s="1812"/>
      <c r="R26" s="773"/>
      <c r="S26" s="774"/>
      <c r="T26" s="773"/>
      <c r="U26" s="774"/>
      <c r="V26" s="773"/>
      <c r="W26" s="774"/>
      <c r="X26" s="1815"/>
      <c r="Y26" s="3214"/>
      <c r="Z26" s="1816"/>
      <c r="AA26" s="1813">
        <v>1</v>
      </c>
      <c r="AB26" s="1813">
        <v>1</v>
      </c>
      <c r="AC26" s="2672">
        <v>1</v>
      </c>
    </row>
    <row r="27" spans="1:29" ht="15">
      <c r="A27" s="427"/>
      <c r="B27" s="631" t="s">
        <v>2647</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84"/>
      <c r="Q27" s="1812" t="str">
        <f t="shared" ref="Q27:Q47" si="11">B27</f>
        <v>楼层</v>
      </c>
      <c r="R27" s="773" t="s">
        <v>17</v>
      </c>
      <c r="S27" s="774">
        <f>F27</f>
        <v>100</v>
      </c>
      <c r="T27" s="773" t="s">
        <v>17</v>
      </c>
      <c r="U27" s="774">
        <f>H27</f>
        <v>100</v>
      </c>
      <c r="V27" s="773" t="s">
        <v>17</v>
      </c>
      <c r="W27" s="774">
        <f>J27</f>
        <v>100</v>
      </c>
      <c r="X27" s="1815"/>
      <c r="Y27" s="3214"/>
      <c r="Z27" s="1816" t="str">
        <f>Q27</f>
        <v>楼层</v>
      </c>
      <c r="AA27" s="1813">
        <f t="shared" si="3"/>
        <v>1</v>
      </c>
      <c r="AB27" s="1813">
        <f t="shared" si="4"/>
        <v>1</v>
      </c>
      <c r="AC27" s="2672">
        <f t="shared" si="5"/>
        <v>1</v>
      </c>
    </row>
    <row r="28" spans="1:29" s="117" customFormat="1" ht="15">
      <c r="A28" s="430"/>
      <c r="B28" s="630" t="s">
        <v>2680</v>
      </c>
      <c r="C28" s="2675"/>
      <c r="D28" s="461">
        <v>100</v>
      </c>
      <c r="E28" s="2663"/>
      <c r="F28" s="461">
        <f>SUMIF(91:91,E28,92:92)-SUMIF(91:91,C28,92:92)+100</f>
        <v>100</v>
      </c>
      <c r="G28" s="2675"/>
      <c r="H28" s="461">
        <f>SUMIF(91:91,G28,92:92)-SUMIF(91:91,C28,92:92)+100</f>
        <v>100</v>
      </c>
      <c r="I28" s="2663"/>
      <c r="J28" s="461">
        <f>SUMIF(91:91,I28,92:92)-SUMIF(91:91,C28,92:92)+100</f>
        <v>100</v>
      </c>
      <c r="K28" s="611"/>
      <c r="L28" s="1134"/>
      <c r="M28" s="1135"/>
      <c r="N28" s="1135"/>
      <c r="O28" s="1135"/>
      <c r="P28" s="3284"/>
      <c r="Q28" s="1797" t="str">
        <f t="shared" si="11"/>
        <v>朝向</v>
      </c>
      <c r="R28" s="769" t="s">
        <v>17</v>
      </c>
      <c r="S28" s="770">
        <f>F28</f>
        <v>100</v>
      </c>
      <c r="T28" s="769" t="s">
        <v>17</v>
      </c>
      <c r="U28" s="770">
        <f>H28</f>
        <v>100</v>
      </c>
      <c r="V28" s="769" t="s">
        <v>17</v>
      </c>
      <c r="W28" s="770">
        <f>J28</f>
        <v>100</v>
      </c>
      <c r="X28" s="771"/>
      <c r="Y28" s="3214"/>
      <c r="Z28" s="55" t="str">
        <f>Q28</f>
        <v>朝向</v>
      </c>
      <c r="AA28" s="1813">
        <f>D28/F28</f>
        <v>1</v>
      </c>
      <c r="AB28" s="1813">
        <f>D28/H28</f>
        <v>1</v>
      </c>
      <c r="AC28" s="2672">
        <f>D28/J28</f>
        <v>1</v>
      </c>
    </row>
    <row r="29" spans="1:29" ht="15">
      <c r="A29" s="427"/>
      <c r="B29" s="2676">
        <v>111</v>
      </c>
      <c r="C29" s="2613"/>
      <c r="D29" s="434">
        <v>100</v>
      </c>
      <c r="E29" s="431"/>
      <c r="F29" s="434">
        <f>SUMIF(93:93,E29,94:94)-SUMIF(93:93,C29,94:94)+100</f>
        <v>100</v>
      </c>
      <c r="G29" s="2670"/>
      <c r="H29" s="434">
        <f>SUMIF(93:93,G29,94:94)-SUMIF(93:93,C29,94:94)+100</f>
        <v>100</v>
      </c>
      <c r="I29" s="431"/>
      <c r="J29" s="434">
        <f>SUMIF(93:93,I29,94:94)-SUMIF(93:93,C29,94:94)+100</f>
        <v>100</v>
      </c>
      <c r="K29" s="612"/>
      <c r="L29" s="1142"/>
      <c r="M29" s="1133"/>
      <c r="N29" s="1133"/>
      <c r="O29" s="1133"/>
      <c r="P29" s="3284"/>
      <c r="Q29" s="1812">
        <f t="shared" si="11"/>
        <v>111</v>
      </c>
      <c r="R29" s="773" t="s">
        <v>17</v>
      </c>
      <c r="S29" s="774">
        <f t="shared" ref="S29:S47" si="12">F29</f>
        <v>100</v>
      </c>
      <c r="T29" s="773" t="s">
        <v>17</v>
      </c>
      <c r="U29" s="774">
        <f t="shared" ref="U29:U47" si="13">H29</f>
        <v>100</v>
      </c>
      <c r="V29" s="773" t="s">
        <v>17</v>
      </c>
      <c r="W29" s="774">
        <f t="shared" ref="W29:W47" si="14">J29</f>
        <v>100</v>
      </c>
      <c r="X29" s="1815"/>
      <c r="Y29" s="3214"/>
      <c r="Z29" s="1816">
        <f t="shared" ref="Z29:Z47" si="15">Q29</f>
        <v>111</v>
      </c>
      <c r="AA29" s="1813">
        <f t="shared" si="3"/>
        <v>1</v>
      </c>
      <c r="AB29" s="1813">
        <f t="shared" si="4"/>
        <v>1</v>
      </c>
      <c r="AC29" s="2672">
        <f t="shared" si="5"/>
        <v>1</v>
      </c>
    </row>
    <row r="30" spans="1:29" ht="15">
      <c r="A30" s="427"/>
      <c r="B30" s="2676">
        <v>111</v>
      </c>
      <c r="C30" s="2613"/>
      <c r="D30" s="434">
        <v>100</v>
      </c>
      <c r="E30" s="431"/>
      <c r="F30" s="434">
        <f>SUMIF(95:95,E30,96:96)-SUMIF(95:95,C30,96:96)+100</f>
        <v>100</v>
      </c>
      <c r="G30" s="2670"/>
      <c r="H30" s="434">
        <f>SUMIF(95:95,G30,96:96)-SUMIF(95:95,C30,96:96)+100</f>
        <v>100</v>
      </c>
      <c r="I30" s="431"/>
      <c r="J30" s="434">
        <f>SUMIF(95:95,I30,96:96)-SUMIF(95:95,C30,96:96)+100</f>
        <v>100</v>
      </c>
      <c r="K30" s="612"/>
      <c r="L30" s="1142"/>
      <c r="M30" s="1133"/>
      <c r="N30" s="1133"/>
      <c r="O30" s="1133"/>
      <c r="P30" s="3284"/>
      <c r="Q30" s="1812">
        <f t="shared" si="11"/>
        <v>111</v>
      </c>
      <c r="R30" s="773" t="s">
        <v>17</v>
      </c>
      <c r="S30" s="774">
        <f t="shared" si="12"/>
        <v>100</v>
      </c>
      <c r="T30" s="773" t="s">
        <v>17</v>
      </c>
      <c r="U30" s="774">
        <f t="shared" si="13"/>
        <v>100</v>
      </c>
      <c r="V30" s="773" t="s">
        <v>17</v>
      </c>
      <c r="W30" s="774">
        <f t="shared" si="14"/>
        <v>100</v>
      </c>
      <c r="X30" s="1815"/>
      <c r="Y30" s="3214"/>
      <c r="Z30" s="1816">
        <f t="shared" si="15"/>
        <v>111</v>
      </c>
      <c r="AA30" s="1813">
        <f t="shared" si="3"/>
        <v>1</v>
      </c>
      <c r="AB30" s="1813">
        <f t="shared" si="4"/>
        <v>1</v>
      </c>
      <c r="AC30" s="2672">
        <f t="shared" si="5"/>
        <v>1</v>
      </c>
    </row>
    <row r="31" spans="1:29" ht="15">
      <c r="A31" s="427"/>
      <c r="B31" s="2676">
        <v>111</v>
      </c>
      <c r="C31" s="2613"/>
      <c r="D31" s="434">
        <v>100</v>
      </c>
      <c r="E31" s="431"/>
      <c r="F31" s="434">
        <f>SUMIF(97:97,E31,98:98)-SUMIF(97:97,C31,98:98)+100</f>
        <v>100</v>
      </c>
      <c r="G31" s="2670"/>
      <c r="H31" s="434">
        <f>SUMIF(97:97,G31,98:98)-SUMIF(97:97,C31,98:98)+100</f>
        <v>100</v>
      </c>
      <c r="I31" s="431"/>
      <c r="J31" s="434">
        <f>SUMIF(97:97,I31,98:98)-SUMIF(97:97,C31,98:98)+100</f>
        <v>100</v>
      </c>
      <c r="K31" s="612"/>
      <c r="L31" s="1142"/>
      <c r="M31" s="1133"/>
      <c r="N31" s="1133"/>
      <c r="O31" s="1133"/>
      <c r="P31" s="3284"/>
      <c r="Q31" s="1812">
        <f t="shared" si="11"/>
        <v>111</v>
      </c>
      <c r="R31" s="773" t="s">
        <v>17</v>
      </c>
      <c r="S31" s="774">
        <f t="shared" si="12"/>
        <v>100</v>
      </c>
      <c r="T31" s="773" t="s">
        <v>17</v>
      </c>
      <c r="U31" s="774">
        <f t="shared" si="13"/>
        <v>100</v>
      </c>
      <c r="V31" s="773" t="s">
        <v>17</v>
      </c>
      <c r="W31" s="774">
        <f t="shared" si="14"/>
        <v>100</v>
      </c>
      <c r="X31" s="1815"/>
      <c r="Y31" s="3214"/>
      <c r="Z31" s="1816">
        <f t="shared" si="15"/>
        <v>111</v>
      </c>
      <c r="AA31" s="1813">
        <f t="shared" si="3"/>
        <v>1</v>
      </c>
      <c r="AB31" s="1813">
        <f t="shared" si="4"/>
        <v>1</v>
      </c>
      <c r="AC31" s="2672">
        <f t="shared" si="5"/>
        <v>1</v>
      </c>
    </row>
    <row r="32" spans="1:29" ht="15.75" thickBot="1">
      <c r="A32" s="435"/>
      <c r="B32" s="634">
        <v>111</v>
      </c>
      <c r="C32" s="2614"/>
      <c r="D32" s="437">
        <v>100</v>
      </c>
      <c r="E32" s="627"/>
      <c r="F32" s="437">
        <f>SUMIF(99:99,E32,100:100)-SUMIF(99:99,C32,100:100)+100</f>
        <v>100</v>
      </c>
      <c r="G32" s="2670"/>
      <c r="H32" s="437">
        <f>SUMIF(99:99,G32,100:100)-SUMIF(99:99,C32,100:100)+100</f>
        <v>100</v>
      </c>
      <c r="I32" s="431"/>
      <c r="J32" s="437">
        <f>SUMIF(99:99,I32,100:100)-SUMIF(99:99,C32,100:100)+100</f>
        <v>100</v>
      </c>
      <c r="K32" s="612"/>
      <c r="L32" s="1142"/>
      <c r="M32" s="1133"/>
      <c r="N32" s="1133"/>
      <c r="O32" s="1133"/>
      <c r="P32" s="3284"/>
      <c r="Q32" s="1812">
        <f t="shared" si="11"/>
        <v>111</v>
      </c>
      <c r="R32" s="773" t="s">
        <v>17</v>
      </c>
      <c r="S32" s="774">
        <f t="shared" si="12"/>
        <v>100</v>
      </c>
      <c r="T32" s="773" t="s">
        <v>17</v>
      </c>
      <c r="U32" s="774">
        <f t="shared" si="13"/>
        <v>100</v>
      </c>
      <c r="V32" s="773" t="s">
        <v>17</v>
      </c>
      <c r="W32" s="774">
        <f t="shared" si="14"/>
        <v>100</v>
      </c>
      <c r="X32" s="1815"/>
      <c r="Y32" s="3214"/>
      <c r="Z32" s="1816">
        <f t="shared" si="15"/>
        <v>111</v>
      </c>
      <c r="AA32" s="1813">
        <f t="shared" si="3"/>
        <v>1</v>
      </c>
      <c r="AB32" s="1813">
        <f t="shared" si="4"/>
        <v>1</v>
      </c>
      <c r="AC32" s="2672">
        <f t="shared" si="5"/>
        <v>1</v>
      </c>
    </row>
    <row r="33" spans="1:29" ht="15">
      <c r="A33" s="439" t="s">
        <v>2551</v>
      </c>
      <c r="B33" s="71" t="s">
        <v>2681</v>
      </c>
      <c r="C33" s="2677"/>
      <c r="D33" s="466">
        <v>100</v>
      </c>
      <c r="E33" s="2677"/>
      <c r="F33" s="460">
        <f>SUMIF(101:101,E33,102:102)-SUMIF(101:101,C33,102:102)+100</f>
        <v>100</v>
      </c>
      <c r="G33" s="2677"/>
      <c r="H33" s="434">
        <f>SUMIF(101:101,G33,102:102)-SUMIF(101:101,C33,102:102)+100</f>
        <v>100</v>
      </c>
      <c r="I33" s="2677"/>
      <c r="J33" s="466">
        <f>SUMIF(101:101,I33,102:102)-SUMIF(101:101,C33,102:102)+100</f>
        <v>100</v>
      </c>
      <c r="K33" s="611"/>
      <c r="L33" s="1142"/>
      <c r="M33" s="1133"/>
      <c r="N33" s="1133"/>
      <c r="O33" s="1133"/>
      <c r="P33" s="3279" t="s">
        <v>2553</v>
      </c>
      <c r="Q33" s="1812" t="str">
        <f t="shared" si="11"/>
        <v>建筑类型</v>
      </c>
      <c r="R33" s="773" t="s">
        <v>17</v>
      </c>
      <c r="S33" s="774">
        <f t="shared" si="12"/>
        <v>100</v>
      </c>
      <c r="T33" s="773" t="s">
        <v>17</v>
      </c>
      <c r="U33" s="774">
        <f t="shared" si="13"/>
        <v>100</v>
      </c>
      <c r="V33" s="773" t="s">
        <v>17</v>
      </c>
      <c r="W33" s="774">
        <f t="shared" si="14"/>
        <v>100</v>
      </c>
      <c r="X33" s="1815"/>
      <c r="Y33" s="3216" t="s">
        <v>2553</v>
      </c>
      <c r="Z33" s="1816" t="str">
        <f t="shared" si="15"/>
        <v>建筑类型</v>
      </c>
      <c r="AA33" s="1813">
        <f t="shared" si="3"/>
        <v>1</v>
      </c>
      <c r="AB33" s="1813">
        <f t="shared" si="4"/>
        <v>1</v>
      </c>
      <c r="AC33" s="2672">
        <f t="shared" si="5"/>
        <v>1</v>
      </c>
    </row>
    <row r="34" spans="1:29" s="470" customFormat="1" ht="15">
      <c r="A34" s="467"/>
      <c r="B34" s="421" t="s">
        <v>2554</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280"/>
      <c r="Q34" s="775" t="str">
        <f t="shared" si="11"/>
        <v>项目建筑规模</v>
      </c>
      <c r="R34" s="776" t="s">
        <v>17</v>
      </c>
      <c r="S34" s="777" t="e">
        <f t="shared" si="12"/>
        <v>#N/A</v>
      </c>
      <c r="T34" s="776" t="s">
        <v>17</v>
      </c>
      <c r="U34" s="777" t="e">
        <f t="shared" si="13"/>
        <v>#N/A</v>
      </c>
      <c r="V34" s="776" t="s">
        <v>17</v>
      </c>
      <c r="W34" s="777" t="e">
        <f t="shared" si="14"/>
        <v>#N/A</v>
      </c>
      <c r="X34" s="778"/>
      <c r="Y34" s="3216"/>
      <c r="Z34" s="779" t="str">
        <f t="shared" si="15"/>
        <v>项目建筑规模</v>
      </c>
      <c r="AA34" s="1813" t="e">
        <f t="shared" si="3"/>
        <v>#N/A</v>
      </c>
      <c r="AB34" s="1813" t="e">
        <f t="shared" si="4"/>
        <v>#N/A</v>
      </c>
      <c r="AC34" s="2672" t="e">
        <f t="shared" si="5"/>
        <v>#N/A</v>
      </c>
    </row>
    <row r="35" spans="1:29" ht="15">
      <c r="A35" s="471"/>
      <c r="B35" s="421" t="s">
        <v>2555</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80"/>
      <c r="Q35" s="1812" t="str">
        <f t="shared" si="11"/>
        <v>建筑结构</v>
      </c>
      <c r="R35" s="773" t="s">
        <v>17</v>
      </c>
      <c r="S35" s="774">
        <f t="shared" si="12"/>
        <v>100</v>
      </c>
      <c r="T35" s="773" t="s">
        <v>17</v>
      </c>
      <c r="U35" s="774">
        <f t="shared" si="13"/>
        <v>100</v>
      </c>
      <c r="V35" s="773" t="s">
        <v>17</v>
      </c>
      <c r="W35" s="774">
        <f t="shared" si="14"/>
        <v>100</v>
      </c>
      <c r="X35" s="1815"/>
      <c r="Y35" s="3216"/>
      <c r="Z35" s="1816" t="str">
        <f t="shared" si="15"/>
        <v>建筑结构</v>
      </c>
      <c r="AA35" s="1813">
        <f t="shared" si="3"/>
        <v>1</v>
      </c>
      <c r="AB35" s="1813">
        <f t="shared" si="4"/>
        <v>1</v>
      </c>
      <c r="AC35" s="2672">
        <f t="shared" si="5"/>
        <v>1</v>
      </c>
    </row>
    <row r="36" spans="1:29" ht="15">
      <c r="A36" s="471"/>
      <c r="B36" s="421" t="s">
        <v>2649</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80"/>
      <c r="Q36" s="1812" t="str">
        <f t="shared" si="11"/>
        <v>公共部分装修</v>
      </c>
      <c r="R36" s="773" t="s">
        <v>17</v>
      </c>
      <c r="S36" s="774">
        <f t="shared" si="12"/>
        <v>100</v>
      </c>
      <c r="T36" s="773" t="s">
        <v>17</v>
      </c>
      <c r="U36" s="774">
        <f t="shared" si="13"/>
        <v>100</v>
      </c>
      <c r="V36" s="773" t="s">
        <v>17</v>
      </c>
      <c r="W36" s="774">
        <f t="shared" si="14"/>
        <v>100</v>
      </c>
      <c r="X36" s="1815"/>
      <c r="Y36" s="3216"/>
      <c r="Z36" s="1816" t="str">
        <f t="shared" si="15"/>
        <v>公共部分装修</v>
      </c>
      <c r="AA36" s="1813">
        <f t="shared" si="3"/>
        <v>1</v>
      </c>
      <c r="AB36" s="1813">
        <f t="shared" si="4"/>
        <v>1</v>
      </c>
      <c r="AC36" s="2672">
        <f t="shared" si="5"/>
        <v>1</v>
      </c>
    </row>
    <row r="37" spans="1:29" ht="15">
      <c r="A37" s="471"/>
      <c r="B37" s="421" t="s">
        <v>2650</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80"/>
      <c r="Q37" s="1812" t="str">
        <f t="shared" si="11"/>
        <v>成新度</v>
      </c>
      <c r="R37" s="773" t="s">
        <v>17</v>
      </c>
      <c r="S37" s="774" t="e">
        <f t="shared" si="12"/>
        <v>#N/A</v>
      </c>
      <c r="T37" s="773" t="s">
        <v>17</v>
      </c>
      <c r="U37" s="774" t="e">
        <f t="shared" si="13"/>
        <v>#N/A</v>
      </c>
      <c r="V37" s="773" t="s">
        <v>17</v>
      </c>
      <c r="W37" s="774" t="e">
        <f t="shared" si="14"/>
        <v>#N/A</v>
      </c>
      <c r="X37" s="1815"/>
      <c r="Y37" s="3216"/>
      <c r="Z37" s="1816" t="str">
        <f t="shared" si="15"/>
        <v>成新度</v>
      </c>
      <c r="AA37" s="1813" t="e">
        <f t="shared" si="3"/>
        <v>#N/A</v>
      </c>
      <c r="AB37" s="1813" t="e">
        <f t="shared" si="4"/>
        <v>#N/A</v>
      </c>
      <c r="AC37" s="2672" t="e">
        <f t="shared" si="5"/>
        <v>#N/A</v>
      </c>
    </row>
    <row r="38" spans="1:29" s="117" customFormat="1" ht="15">
      <c r="A38" s="472"/>
      <c r="B38" s="421" t="s">
        <v>2682</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80"/>
      <c r="Q38" s="1797" t="str">
        <f t="shared" si="11"/>
        <v>写字楼等级</v>
      </c>
      <c r="R38" s="769" t="s">
        <v>17</v>
      </c>
      <c r="S38" s="770">
        <f t="shared" si="12"/>
        <v>100</v>
      </c>
      <c r="T38" s="769" t="s">
        <v>17</v>
      </c>
      <c r="U38" s="770">
        <f t="shared" si="13"/>
        <v>100</v>
      </c>
      <c r="V38" s="769" t="s">
        <v>17</v>
      </c>
      <c r="W38" s="770">
        <f t="shared" si="14"/>
        <v>100</v>
      </c>
      <c r="X38" s="771"/>
      <c r="Y38" s="3216"/>
      <c r="Z38" s="55" t="str">
        <f t="shared" si="15"/>
        <v>写字楼等级</v>
      </c>
      <c r="AA38" s="772">
        <f t="shared" si="3"/>
        <v>1</v>
      </c>
      <c r="AB38" s="772">
        <f t="shared" si="4"/>
        <v>1</v>
      </c>
      <c r="AC38" s="2669">
        <f t="shared" si="5"/>
        <v>1</v>
      </c>
    </row>
    <row r="39" spans="1:29" ht="15">
      <c r="A39" s="471"/>
      <c r="B39" s="421" t="s">
        <v>2683</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80" t="s">
        <v>2553</v>
      </c>
      <c r="Q39" s="1812" t="str">
        <f t="shared" si="11"/>
        <v>物业管理</v>
      </c>
      <c r="R39" s="773" t="s">
        <v>17</v>
      </c>
      <c r="S39" s="774">
        <f t="shared" si="12"/>
        <v>100</v>
      </c>
      <c r="T39" s="773" t="s">
        <v>17</v>
      </c>
      <c r="U39" s="774">
        <f t="shared" si="13"/>
        <v>100</v>
      </c>
      <c r="V39" s="773" t="s">
        <v>17</v>
      </c>
      <c r="W39" s="774">
        <f t="shared" si="14"/>
        <v>100</v>
      </c>
      <c r="X39" s="1815"/>
      <c r="Y39" s="3216" t="s">
        <v>2553</v>
      </c>
      <c r="Z39" s="1816" t="str">
        <f t="shared" si="15"/>
        <v>物业管理</v>
      </c>
      <c r="AA39" s="1813">
        <f t="shared" si="3"/>
        <v>1</v>
      </c>
      <c r="AB39" s="1813">
        <f t="shared" si="4"/>
        <v>1</v>
      </c>
      <c r="AC39" s="2672">
        <f t="shared" si="5"/>
        <v>1</v>
      </c>
    </row>
    <row r="40" spans="1:29" ht="15">
      <c r="A40" s="471"/>
      <c r="B40" s="421" t="s">
        <v>2651</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80"/>
      <c r="Q40" s="1812" t="str">
        <f t="shared" si="11"/>
        <v>市政基础设施</v>
      </c>
      <c r="R40" s="773" t="s">
        <v>17</v>
      </c>
      <c r="S40" s="774">
        <f t="shared" si="12"/>
        <v>100</v>
      </c>
      <c r="T40" s="773" t="s">
        <v>17</v>
      </c>
      <c r="U40" s="774">
        <f t="shared" si="13"/>
        <v>100</v>
      </c>
      <c r="V40" s="773" t="s">
        <v>17</v>
      </c>
      <c r="W40" s="774">
        <f t="shared" si="14"/>
        <v>100</v>
      </c>
      <c r="X40" s="1815"/>
      <c r="Y40" s="3216"/>
      <c r="Z40" s="1816" t="str">
        <f t="shared" si="15"/>
        <v>市政基础设施</v>
      </c>
      <c r="AA40" s="1813">
        <f t="shared" si="3"/>
        <v>1</v>
      </c>
      <c r="AB40" s="1813">
        <f t="shared" si="4"/>
        <v>1</v>
      </c>
      <c r="AC40" s="2672">
        <f t="shared" si="5"/>
        <v>1</v>
      </c>
    </row>
    <row r="41" spans="1:29" ht="15">
      <c r="A41" s="471"/>
      <c r="B41" s="421" t="s">
        <v>2653</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80"/>
      <c r="Q41" s="1812" t="str">
        <f t="shared" si="11"/>
        <v>层高</v>
      </c>
      <c r="R41" s="773" t="s">
        <v>17</v>
      </c>
      <c r="S41" s="774">
        <f t="shared" si="12"/>
        <v>100</v>
      </c>
      <c r="T41" s="773" t="s">
        <v>17</v>
      </c>
      <c r="U41" s="774">
        <f t="shared" si="13"/>
        <v>100</v>
      </c>
      <c r="V41" s="773" t="s">
        <v>17</v>
      </c>
      <c r="W41" s="774">
        <f t="shared" si="14"/>
        <v>100</v>
      </c>
      <c r="X41" s="1815"/>
      <c r="Y41" s="3216"/>
      <c r="Z41" s="1816" t="str">
        <f t="shared" si="15"/>
        <v>层高</v>
      </c>
      <c r="AA41" s="1813">
        <f t="shared" si="3"/>
        <v>1</v>
      </c>
      <c r="AB41" s="1813">
        <f t="shared" si="4"/>
        <v>1</v>
      </c>
      <c r="AC41" s="2672">
        <f t="shared" si="5"/>
        <v>1</v>
      </c>
    </row>
    <row r="42" spans="1:29" s="470" customFormat="1" ht="15">
      <c r="A42" s="467"/>
      <c r="B42" s="1814" t="s">
        <v>2684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80"/>
      <c r="Q42" s="775" t="str">
        <f t="shared" si="11"/>
        <v>单套建筑面积</v>
      </c>
      <c r="R42" s="776" t="s">
        <v>17</v>
      </c>
      <c r="S42" s="777">
        <f t="shared" si="12"/>
        <v>100</v>
      </c>
      <c r="T42" s="776" t="s">
        <v>17</v>
      </c>
      <c r="U42" s="777">
        <f t="shared" si="13"/>
        <v>100</v>
      </c>
      <c r="V42" s="776" t="s">
        <v>17</v>
      </c>
      <c r="W42" s="777">
        <f t="shared" si="14"/>
        <v>100</v>
      </c>
      <c r="X42" s="778"/>
      <c r="Y42" s="3216"/>
      <c r="Z42" s="779" t="str">
        <f t="shared" si="15"/>
        <v>单套建筑面积</v>
      </c>
      <c r="AA42" s="1813">
        <f t="shared" si="3"/>
        <v>1</v>
      </c>
      <c r="AB42" s="1813">
        <f t="shared" si="4"/>
        <v>1</v>
      </c>
      <c r="AC42" s="2672">
        <f t="shared" si="5"/>
        <v>1</v>
      </c>
    </row>
    <row r="43" spans="1:29" ht="15">
      <c r="A43" s="471"/>
      <c r="B43" s="421" t="s">
        <v>2656</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80"/>
      <c r="Q43" s="1812" t="str">
        <f t="shared" si="11"/>
        <v>内部装修</v>
      </c>
      <c r="R43" s="773" t="s">
        <v>17</v>
      </c>
      <c r="S43" s="774">
        <f t="shared" si="12"/>
        <v>100</v>
      </c>
      <c r="T43" s="773" t="s">
        <v>17</v>
      </c>
      <c r="U43" s="774">
        <f t="shared" si="13"/>
        <v>100</v>
      </c>
      <c r="V43" s="773" t="s">
        <v>17</v>
      </c>
      <c r="W43" s="774">
        <f t="shared" si="14"/>
        <v>100</v>
      </c>
      <c r="X43" s="1815"/>
      <c r="Y43" s="3216"/>
      <c r="Z43" s="1816" t="str">
        <f t="shared" si="15"/>
        <v>内部装修</v>
      </c>
      <c r="AA43" s="1813">
        <f t="shared" si="3"/>
        <v>1</v>
      </c>
      <c r="AB43" s="1813">
        <f t="shared" si="4"/>
        <v>1</v>
      </c>
      <c r="AC43" s="2672">
        <f t="shared" si="5"/>
        <v>1</v>
      </c>
    </row>
    <row r="44" spans="1:29" ht="15">
      <c r="A44" s="471"/>
      <c r="B44" s="421" t="s">
        <v>2564</v>
      </c>
      <c r="C44" s="459"/>
      <c r="D44" s="434">
        <v>100</v>
      </c>
      <c r="E44" s="2611"/>
      <c r="F44" s="460">
        <f>SUMIF(125:125,E44,126:126)-SUMIF(125:125,C44,126:126)+100</f>
        <v>100</v>
      </c>
      <c r="G44" s="2611"/>
      <c r="H44" s="434">
        <f>SUMIF(125:125,G44,126:126)-SUMIF(125:125,C44,126:126)+100</f>
        <v>100</v>
      </c>
      <c r="I44" s="2611"/>
      <c r="J44" s="434">
        <f>SUMIF(125:125,I44,126:126)-SUMIF(125:125,C44,126:126)+100</f>
        <v>100</v>
      </c>
      <c r="K44" s="611"/>
      <c r="L44" s="1142"/>
      <c r="M44" s="1133"/>
      <c r="N44" s="1133"/>
      <c r="O44" s="1133"/>
      <c r="P44" s="3280"/>
      <c r="Q44" s="1812" t="str">
        <f t="shared" si="11"/>
        <v>内部装修维护情况</v>
      </c>
      <c r="R44" s="773" t="s">
        <v>17</v>
      </c>
      <c r="S44" s="774">
        <f t="shared" si="12"/>
        <v>100</v>
      </c>
      <c r="T44" s="773" t="s">
        <v>17</v>
      </c>
      <c r="U44" s="774">
        <f t="shared" si="13"/>
        <v>100</v>
      </c>
      <c r="V44" s="773" t="s">
        <v>17</v>
      </c>
      <c r="W44" s="774">
        <f t="shared" si="14"/>
        <v>100</v>
      </c>
      <c r="X44" s="1815"/>
      <c r="Y44" s="3216"/>
      <c r="Z44" s="1816" t="str">
        <f t="shared" si="15"/>
        <v>内部装修维护情况</v>
      </c>
      <c r="AA44" s="1813">
        <f t="shared" si="3"/>
        <v>1</v>
      </c>
      <c r="AB44" s="1813">
        <f t="shared" si="4"/>
        <v>1</v>
      </c>
      <c r="AC44" s="2672">
        <f t="shared" si="5"/>
        <v>1</v>
      </c>
    </row>
    <row r="45" spans="1:29" s="117"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80"/>
      <c r="Q45" s="1797">
        <f t="shared" si="11"/>
        <v>111</v>
      </c>
      <c r="R45" s="769" t="s">
        <v>17</v>
      </c>
      <c r="S45" s="770">
        <f t="shared" si="12"/>
        <v>100</v>
      </c>
      <c r="T45" s="769" t="s">
        <v>17</v>
      </c>
      <c r="U45" s="770">
        <f t="shared" si="13"/>
        <v>100</v>
      </c>
      <c r="V45" s="769" t="s">
        <v>17</v>
      </c>
      <c r="W45" s="770">
        <f t="shared" si="14"/>
        <v>100</v>
      </c>
      <c r="X45" s="771"/>
      <c r="Y45" s="3216"/>
      <c r="Z45" s="55">
        <f t="shared" si="15"/>
        <v>111</v>
      </c>
      <c r="AA45" s="772">
        <f t="shared" si="3"/>
        <v>1</v>
      </c>
      <c r="AB45" s="772">
        <f t="shared" si="4"/>
        <v>1</v>
      </c>
      <c r="AC45" s="2669">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80"/>
      <c r="Q46" s="1812">
        <f t="shared" si="11"/>
        <v>111</v>
      </c>
      <c r="R46" s="773" t="s">
        <v>17</v>
      </c>
      <c r="S46" s="774">
        <f t="shared" si="12"/>
        <v>100</v>
      </c>
      <c r="T46" s="773" t="s">
        <v>17</v>
      </c>
      <c r="U46" s="774">
        <f t="shared" si="13"/>
        <v>100</v>
      </c>
      <c r="V46" s="773" t="s">
        <v>17</v>
      </c>
      <c r="W46" s="774">
        <f t="shared" si="14"/>
        <v>100</v>
      </c>
      <c r="X46" s="1815"/>
      <c r="Y46" s="3216"/>
      <c r="Z46" s="1816">
        <f t="shared" si="15"/>
        <v>111</v>
      </c>
      <c r="AA46" s="1813">
        <f t="shared" si="3"/>
        <v>1</v>
      </c>
      <c r="AB46" s="1813">
        <f t="shared" si="4"/>
        <v>1</v>
      </c>
      <c r="AC46" s="2672">
        <f t="shared" si="5"/>
        <v>1</v>
      </c>
    </row>
    <row r="47" spans="1:29" ht="15.75" thickBot="1">
      <c r="A47" s="477"/>
      <c r="B47" s="260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81"/>
      <c r="Q47" s="1812">
        <f t="shared" si="11"/>
        <v>111</v>
      </c>
      <c r="R47" s="773" t="s">
        <v>17</v>
      </c>
      <c r="S47" s="774">
        <f t="shared" si="12"/>
        <v>100</v>
      </c>
      <c r="T47" s="773" t="s">
        <v>17</v>
      </c>
      <c r="U47" s="774">
        <f t="shared" si="13"/>
        <v>100</v>
      </c>
      <c r="V47" s="773" t="s">
        <v>17</v>
      </c>
      <c r="W47" s="774">
        <f t="shared" si="14"/>
        <v>100</v>
      </c>
      <c r="X47" s="1815"/>
      <c r="Y47" s="3282"/>
      <c r="Z47" s="1816">
        <f t="shared" si="15"/>
        <v>111</v>
      </c>
      <c r="AA47" s="1813">
        <f t="shared" si="3"/>
        <v>1</v>
      </c>
      <c r="AB47" s="1813">
        <f t="shared" si="4"/>
        <v>1</v>
      </c>
      <c r="AC47" s="2672">
        <f t="shared" si="5"/>
        <v>1</v>
      </c>
    </row>
    <row r="48" spans="1:29" ht="15">
      <c r="A48" s="478" t="s">
        <v>2565</v>
      </c>
      <c r="B48" s="479"/>
      <c r="C48" s="1409" t="s">
        <v>1</v>
      </c>
      <c r="D48" s="1410"/>
      <c r="E48" s="1411"/>
      <c r="F48" s="1412"/>
      <c r="G48" s="1413"/>
      <c r="H48" s="1414"/>
      <c r="I48" s="1411"/>
      <c r="J48" s="484"/>
      <c r="K48" s="782"/>
      <c r="L48" s="1145"/>
      <c r="M48" s="1133"/>
      <c r="N48" s="1133"/>
      <c r="O48" s="1133"/>
      <c r="P48" s="3210" t="str">
        <f>A48</f>
        <v>成交单价（元/平方米）</v>
      </c>
      <c r="Q48" s="3211"/>
      <c r="R48" s="3278">
        <f>E48</f>
        <v>0</v>
      </c>
      <c r="S48" s="3278"/>
      <c r="T48" s="3278">
        <f>G48</f>
        <v>0</v>
      </c>
      <c r="U48" s="3278"/>
      <c r="V48" s="3278">
        <f>I48</f>
        <v>0</v>
      </c>
      <c r="W48" s="3278"/>
      <c r="X48" s="445"/>
      <c r="Y48" s="780"/>
      <c r="Z48" s="445"/>
      <c r="AA48" s="445"/>
      <c r="AB48" s="445"/>
      <c r="AC48" s="629"/>
    </row>
    <row r="49" spans="1:29" ht="15.75" thickBot="1">
      <c r="A49" s="485" t="s">
        <v>2657</v>
      </c>
      <c r="B49" s="486"/>
      <c r="C49" s="1415" t="e">
        <f>R50</f>
        <v>#DIV/0!</v>
      </c>
      <c r="D49" s="1416"/>
      <c r="E49" s="1417" t="e">
        <f>R49</f>
        <v>#DIV/0!</v>
      </c>
      <c r="F49" s="1417"/>
      <c r="G49" s="1415" t="e">
        <f>T49</f>
        <v>#DIV/0!</v>
      </c>
      <c r="H49" s="1416"/>
      <c r="I49" s="1417" t="e">
        <f>V49</f>
        <v>#DIV/0!</v>
      </c>
      <c r="J49" s="488"/>
      <c r="K49" s="783"/>
      <c r="L49" s="1145"/>
      <c r="M49" s="1133"/>
      <c r="N49" s="1133"/>
      <c r="O49" s="1133"/>
      <c r="P49" s="3210" t="str">
        <f>A49</f>
        <v>比较价值（元/平方米）</v>
      </c>
      <c r="Q49" s="3211"/>
      <c r="R49" s="3278" t="e">
        <f>IF(F1="售价",ROUND(PRODUCT(R48,AA7:AA47),0),ROUND(PRODUCT(R48,AA7:AA47),1))</f>
        <v>#DIV/0!</v>
      </c>
      <c r="S49" s="3278"/>
      <c r="T49" s="3278" t="e">
        <f>IF(F1="售价",ROUND(PRODUCT(T48,AB7:AB47),0),ROUND(PRODUCT(T48,AB7:AB47),1))</f>
        <v>#DIV/0!</v>
      </c>
      <c r="U49" s="3278"/>
      <c r="V49" s="3278" t="e">
        <f>IF(F1="售价",ROUND(PRODUCT(V48,AC7:AC47),0),ROUND(PRODUCT(V48,AC7:AC47),1))</f>
        <v>#DIV/0!</v>
      </c>
      <c r="W49" s="3278"/>
      <c r="X49" s="445"/>
      <c r="Y49" s="445"/>
      <c r="Z49" s="445"/>
      <c r="AA49" s="445"/>
      <c r="AB49" s="445"/>
      <c r="AC49" s="629"/>
    </row>
    <row r="50" spans="1:29" ht="15.75" thickBot="1">
      <c r="A50" s="491" t="s">
        <v>2658</v>
      </c>
      <c r="B50" s="492"/>
      <c r="C50" s="1419" t="e">
        <f>R50</f>
        <v>#DIV/0!</v>
      </c>
      <c r="D50" s="1419"/>
      <c r="E50" s="1419"/>
      <c r="F50" s="1419"/>
      <c r="G50" s="1419"/>
      <c r="H50" s="1419"/>
      <c r="I50" s="1419"/>
      <c r="J50" s="493"/>
      <c r="K50" s="784"/>
      <c r="L50" s="1145"/>
      <c r="M50" s="1133"/>
      <c r="N50" s="1133"/>
      <c r="O50" s="1133"/>
      <c r="P50" s="3287" t="str">
        <f>A50</f>
        <v>估价对象XX用房的比较价值（楼面单价，元/平方米）</v>
      </c>
      <c r="Q50" s="3288"/>
      <c r="R50" s="3289" t="e">
        <f>IF(F1="售价",ROUND(AVERAGE(R49:V49),0),ROUND(AVERAGE(R49:V49),1))</f>
        <v>#DIV/0!</v>
      </c>
      <c r="S50" s="3289"/>
      <c r="T50" s="3289"/>
      <c r="U50" s="3289"/>
      <c r="V50" s="3289"/>
      <c r="W50" s="3289"/>
      <c r="X50" s="2652"/>
      <c r="Y50" s="2652"/>
      <c r="Z50" s="2652"/>
      <c r="AA50" s="2652"/>
      <c r="AB50" s="2652"/>
      <c r="AC50" s="2653"/>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2659</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2660</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2661</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78"/>
    </row>
    <row r="56" spans="1:29" s="501" customFormat="1">
      <c r="A56" s="1147"/>
      <c r="B56" s="1148"/>
      <c r="C56" s="1152"/>
      <c r="D56" s="1147"/>
      <c r="E56" s="1147"/>
      <c r="F56" s="1147"/>
      <c r="G56" s="1147"/>
      <c r="H56" s="1147"/>
      <c r="I56" s="1147"/>
      <c r="J56" s="1147"/>
      <c r="K56" s="1150"/>
      <c r="L56" s="1151"/>
      <c r="M56" s="1147"/>
      <c r="N56" s="1147"/>
      <c r="O56" s="1147"/>
      <c r="P56" s="2678"/>
    </row>
    <row r="57" spans="1:29">
      <c r="A57" s="1146"/>
      <c r="B57" s="1148"/>
      <c r="C57" s="1152"/>
      <c r="D57" s="1146"/>
      <c r="E57" s="1146"/>
      <c r="F57" s="1146"/>
      <c r="G57" s="1146"/>
      <c r="H57" s="1146"/>
      <c r="I57" s="1146"/>
      <c r="J57" s="1146"/>
      <c r="K57" s="1107"/>
      <c r="L57" s="1108"/>
      <c r="M57" s="1146"/>
      <c r="N57" s="1146"/>
      <c r="O57" s="1146"/>
    </row>
    <row r="58" spans="1:29" ht="21.75" thickBot="1">
      <c r="A58" s="762" t="s">
        <v>2662</v>
      </c>
      <c r="B58" s="758"/>
      <c r="C58" s="763"/>
      <c r="D58" s="763"/>
      <c r="E58" s="763"/>
      <c r="F58" s="764"/>
      <c r="G58" s="764"/>
      <c r="H58" s="763"/>
      <c r="I58" s="763"/>
      <c r="J58" s="763"/>
      <c r="K58" s="765"/>
      <c r="L58" s="1163"/>
      <c r="M58" s="1161"/>
      <c r="N58" s="1161"/>
      <c r="O58" s="1161"/>
      <c r="P58" s="2679"/>
      <c r="Q58" s="503"/>
    </row>
    <row r="59" spans="1:29" s="507" customFormat="1" ht="15">
      <c r="A59" s="504" t="s">
        <v>2536</v>
      </c>
      <c r="B59" s="505"/>
      <c r="C59" s="1576" t="str">
        <f>YEAR(C7)&amp;"-"&amp;MONTH(C7)</f>
        <v>2018-5</v>
      </c>
      <c r="D59" s="1577">
        <f>EDATE(C59,-1)</f>
        <v>43191</v>
      </c>
      <c r="E59" s="1577">
        <f>EDATE(D59,-1)</f>
        <v>43160</v>
      </c>
      <c r="F59" s="1577">
        <f t="shared" ref="F59:O59" si="16">EDATE(E59,-1)</f>
        <v>43132</v>
      </c>
      <c r="G59" s="1577">
        <f t="shared" si="16"/>
        <v>43101</v>
      </c>
      <c r="H59" s="1577">
        <f t="shared" si="16"/>
        <v>43070</v>
      </c>
      <c r="I59" s="1577">
        <f t="shared" si="16"/>
        <v>43040</v>
      </c>
      <c r="J59" s="1577">
        <f t="shared" si="16"/>
        <v>43009</v>
      </c>
      <c r="K59" s="1577">
        <f t="shared" si="16"/>
        <v>42979</v>
      </c>
      <c r="L59" s="1577">
        <f t="shared" si="16"/>
        <v>42948</v>
      </c>
      <c r="M59" s="1577">
        <f t="shared" si="16"/>
        <v>42917</v>
      </c>
      <c r="N59" s="1577">
        <f t="shared" si="16"/>
        <v>42887</v>
      </c>
      <c r="O59" s="1577">
        <f t="shared" si="16"/>
        <v>42856</v>
      </c>
      <c r="P59" s="1573"/>
    </row>
    <row r="60" spans="1:29" s="117" customFormat="1" ht="15">
      <c r="A60" s="508"/>
      <c r="B60" s="509"/>
      <c r="C60" s="1575">
        <v>100</v>
      </c>
      <c r="D60" s="511"/>
      <c r="E60" s="511"/>
      <c r="F60" s="511"/>
      <c r="G60" s="511"/>
      <c r="H60" s="511"/>
      <c r="I60" s="511"/>
      <c r="J60" s="511"/>
      <c r="K60" s="511"/>
      <c r="L60" s="511"/>
      <c r="M60" s="512"/>
      <c r="N60" s="511"/>
      <c r="O60" s="512"/>
      <c r="P60" s="2680"/>
    </row>
    <row r="61" spans="1:29" s="117" customFormat="1" ht="15.75" thickBot="1">
      <c r="A61" s="514" t="s">
        <v>2573</v>
      </c>
      <c r="B61" s="515"/>
      <c r="C61" s="516"/>
      <c r="D61" s="517"/>
      <c r="E61" s="517"/>
      <c r="F61" s="517"/>
      <c r="G61" s="517"/>
      <c r="H61" s="517"/>
      <c r="I61" s="517"/>
      <c r="J61" s="517"/>
      <c r="K61" s="517"/>
      <c r="L61" s="517"/>
      <c r="M61" s="518"/>
      <c r="N61" s="517"/>
      <c r="O61" s="518"/>
      <c r="P61" s="2680"/>
      <c r="Q61" s="503"/>
    </row>
    <row r="62" spans="1:29" s="117" customFormat="1" ht="15">
      <c r="A62" s="520" t="s">
        <v>2538</v>
      </c>
      <c r="B62" s="509"/>
      <c r="C62" s="521" t="s">
        <v>2640</v>
      </c>
      <c r="D62" s="522"/>
      <c r="E62" s="522"/>
      <c r="F62" s="522"/>
      <c r="G62" s="522"/>
      <c r="H62" s="522"/>
      <c r="I62" s="522"/>
      <c r="J62" s="522"/>
      <c r="K62" s="522"/>
      <c r="L62" s="523"/>
      <c r="M62" s="524"/>
      <c r="N62" s="1153"/>
      <c r="O62" s="1153"/>
      <c r="P62" s="2681"/>
      <c r="Q62" s="503"/>
    </row>
    <row r="63" spans="1:29" s="117" customFormat="1" ht="15.75" thickBot="1">
      <c r="A63" s="520"/>
      <c r="B63" s="509"/>
      <c r="C63" s="510">
        <v>100</v>
      </c>
      <c r="D63" s="511"/>
      <c r="E63" s="511"/>
      <c r="F63" s="511"/>
      <c r="G63" s="511"/>
      <c r="H63" s="511"/>
      <c r="I63" s="511"/>
      <c r="J63" s="511"/>
      <c r="K63" s="511"/>
      <c r="L63" s="511"/>
      <c r="M63" s="513"/>
      <c r="N63" s="1153"/>
      <c r="O63" s="1153"/>
      <c r="P63" s="2680"/>
      <c r="Q63" s="503"/>
    </row>
    <row r="64" spans="1:29">
      <c r="A64" s="526" t="s">
        <v>2576</v>
      </c>
      <c r="B64" s="527" t="s">
        <v>2542</v>
      </c>
      <c r="C64" s="528">
        <f>C9</f>
        <v>0</v>
      </c>
      <c r="D64" s="529"/>
      <c r="E64" s="529"/>
      <c r="F64" s="529"/>
      <c r="G64" s="529"/>
      <c r="H64" s="529"/>
      <c r="I64" s="529"/>
      <c r="J64" s="529"/>
      <c r="K64" s="530"/>
      <c r="L64" s="531"/>
      <c r="M64" s="532"/>
      <c r="N64" s="1154"/>
      <c r="O64" s="1154"/>
      <c r="P64" s="2682"/>
      <c r="Q64" s="503"/>
    </row>
    <row r="65" spans="1:17" ht="15.75" thickBot="1">
      <c r="A65" s="533"/>
      <c r="B65" s="534"/>
      <c r="C65" s="535">
        <v>100</v>
      </c>
      <c r="D65" s="535"/>
      <c r="E65" s="535"/>
      <c r="F65" s="535"/>
      <c r="G65" s="535"/>
      <c r="H65" s="535"/>
      <c r="I65" s="535"/>
      <c r="J65" s="535"/>
      <c r="K65" s="535"/>
      <c r="L65" s="535"/>
      <c r="M65" s="536"/>
      <c r="N65" s="1155"/>
      <c r="O65" s="1155"/>
      <c r="P65" s="2682"/>
      <c r="Q65" s="503"/>
    </row>
    <row r="66" spans="1:17" ht="27.75" thickTop="1">
      <c r="A66" s="533"/>
      <c r="B66" s="537" t="s">
        <v>2545</v>
      </c>
      <c r="C66" s="538" t="s">
        <v>2577</v>
      </c>
      <c r="D66" s="538" t="s">
        <v>2578</v>
      </c>
      <c r="E66" s="538" t="s">
        <v>2579</v>
      </c>
      <c r="F66" s="538" t="s">
        <v>2580</v>
      </c>
      <c r="G66" s="538" t="s">
        <v>2581</v>
      </c>
      <c r="H66" s="538" t="s">
        <v>2582</v>
      </c>
      <c r="I66" s="538" t="s">
        <v>2583</v>
      </c>
      <c r="J66" s="538"/>
      <c r="K66" s="539"/>
      <c r="L66" s="540"/>
      <c r="M66" s="541"/>
      <c r="N66" s="1154"/>
      <c r="O66" s="1154"/>
      <c r="P66" s="2682"/>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2"/>
      <c r="Q67" s="503"/>
    </row>
    <row r="68" spans="1:17" ht="15.75" thickTop="1">
      <c r="A68" s="533"/>
      <c r="B68" s="545" t="s">
        <v>2546</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2"/>
      <c r="Q68" s="503"/>
    </row>
    <row r="69" spans="1:17" ht="15">
      <c r="A69" s="533"/>
      <c r="B69" s="547"/>
      <c r="C69" s="548"/>
      <c r="D69" s="548"/>
      <c r="E69" s="548"/>
      <c r="F69" s="548"/>
      <c r="G69" s="548"/>
      <c r="H69" s="548"/>
      <c r="I69" s="548"/>
      <c r="J69" s="548"/>
      <c r="K69" s="549"/>
      <c r="L69" s="550"/>
      <c r="M69" s="551"/>
      <c r="N69" s="1154"/>
      <c r="O69" s="1154"/>
      <c r="P69" s="2682"/>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2"/>
      <c r="Q70" s="503"/>
    </row>
    <row r="71" spans="1:17" s="470" customFormat="1" ht="15.75" thickTop="1">
      <c r="A71" s="552"/>
      <c r="B71" s="537">
        <f>B12</f>
        <v>111</v>
      </c>
      <c r="C71" s="553"/>
      <c r="D71" s="553"/>
      <c r="E71" s="553"/>
      <c r="F71" s="553"/>
      <c r="G71" s="553"/>
      <c r="H71" s="554"/>
      <c r="I71" s="554"/>
      <c r="J71" s="554"/>
      <c r="K71" s="554"/>
      <c r="L71" s="555"/>
      <c r="M71" s="556"/>
      <c r="N71" s="1156"/>
      <c r="O71" s="1156"/>
      <c r="P71" s="2683"/>
      <c r="Q71" s="558"/>
    </row>
    <row r="72" spans="1:17" s="470" customFormat="1" ht="15.75" thickBot="1">
      <c r="A72" s="552"/>
      <c r="B72" s="542"/>
      <c r="C72" s="559"/>
      <c r="D72" s="535"/>
      <c r="E72" s="535"/>
      <c r="F72" s="535"/>
      <c r="G72" s="535"/>
      <c r="H72" s="535"/>
      <c r="I72" s="535"/>
      <c r="J72" s="535"/>
      <c r="K72" s="535"/>
      <c r="L72" s="535"/>
      <c r="M72" s="536"/>
      <c r="N72" s="1155"/>
      <c r="O72" s="1155"/>
      <c r="P72" s="2683"/>
      <c r="Q72" s="558"/>
    </row>
    <row r="73" spans="1:17" s="470" customFormat="1" ht="15.75" thickTop="1">
      <c r="A73" s="552"/>
      <c r="B73" s="537">
        <f>B13</f>
        <v>111</v>
      </c>
      <c r="C73" s="553"/>
      <c r="D73" s="553"/>
      <c r="E73" s="553"/>
      <c r="F73" s="553"/>
      <c r="G73" s="553"/>
      <c r="H73" s="554"/>
      <c r="I73" s="554"/>
      <c r="J73" s="554"/>
      <c r="K73" s="554"/>
      <c r="L73" s="555"/>
      <c r="M73" s="556"/>
      <c r="N73" s="1156"/>
      <c r="O73" s="1156"/>
      <c r="P73" s="2684"/>
      <c r="Q73" s="560"/>
    </row>
    <row r="74" spans="1:17" s="470" customFormat="1" ht="15.75" thickBot="1">
      <c r="A74" s="552"/>
      <c r="B74" s="542"/>
      <c r="C74" s="559"/>
      <c r="D74" s="559"/>
      <c r="E74" s="559"/>
      <c r="F74" s="559"/>
      <c r="G74" s="559"/>
      <c r="H74" s="561"/>
      <c r="I74" s="561"/>
      <c r="J74" s="561"/>
      <c r="K74" s="561"/>
      <c r="L74" s="561"/>
      <c r="M74" s="562"/>
      <c r="N74" s="1156"/>
      <c r="O74" s="1156"/>
      <c r="P74" s="2683"/>
      <c r="Q74" s="558"/>
    </row>
    <row r="75" spans="1:17" s="470" customFormat="1" ht="15.75" thickTop="1">
      <c r="A75" s="552"/>
      <c r="B75" s="545">
        <f>B14</f>
        <v>111</v>
      </c>
      <c r="C75" s="522"/>
      <c r="D75" s="522"/>
      <c r="E75" s="522"/>
      <c r="F75" s="522"/>
      <c r="G75" s="522"/>
      <c r="H75" s="563"/>
      <c r="I75" s="563"/>
      <c r="J75" s="563"/>
      <c r="K75" s="563"/>
      <c r="L75" s="564"/>
      <c r="M75" s="565"/>
      <c r="N75" s="1156"/>
      <c r="O75" s="1156"/>
      <c r="P75" s="2685"/>
      <c r="Q75" s="558"/>
    </row>
    <row r="76" spans="1:17" s="470" customFormat="1" ht="15.75" thickBot="1">
      <c r="A76" s="567"/>
      <c r="B76" s="568"/>
      <c r="C76" s="569"/>
      <c r="D76" s="569"/>
      <c r="E76" s="569"/>
      <c r="F76" s="569"/>
      <c r="G76" s="569"/>
      <c r="H76" s="570"/>
      <c r="I76" s="570"/>
      <c r="J76" s="570"/>
      <c r="K76" s="570"/>
      <c r="L76" s="570"/>
      <c r="M76" s="571"/>
      <c r="N76" s="1156"/>
      <c r="O76" s="1156"/>
      <c r="P76" s="2683"/>
      <c r="Q76" s="558"/>
    </row>
    <row r="77" spans="1:17">
      <c r="A77" s="526" t="s">
        <v>2547</v>
      </c>
      <c r="B77" s="527" t="s">
        <v>2685</v>
      </c>
      <c r="C77" s="572" t="s">
        <v>2585</v>
      </c>
      <c r="D77" s="572" t="s">
        <v>2586</v>
      </c>
      <c r="E77" s="572" t="s">
        <v>2587</v>
      </c>
      <c r="F77" s="572" t="s">
        <v>2588</v>
      </c>
      <c r="G77" s="572" t="s">
        <v>2589</v>
      </c>
      <c r="H77" s="528"/>
      <c r="I77" s="528"/>
      <c r="J77" s="528"/>
      <c r="K77" s="573"/>
      <c r="L77" s="574"/>
      <c r="M77" s="575"/>
      <c r="N77" s="1154"/>
      <c r="O77" s="1154"/>
      <c r="P77" s="2686"/>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2"/>
      <c r="Q78" s="503"/>
    </row>
    <row r="79" spans="1:17" ht="15.75" thickTop="1">
      <c r="A79" s="533"/>
      <c r="B79" s="537" t="s">
        <v>2590</v>
      </c>
      <c r="C79" s="577" t="s">
        <v>2585</v>
      </c>
      <c r="D79" s="577" t="s">
        <v>2586</v>
      </c>
      <c r="E79" s="577" t="s">
        <v>2587</v>
      </c>
      <c r="F79" s="577" t="s">
        <v>2588</v>
      </c>
      <c r="G79" s="577" t="s">
        <v>2589</v>
      </c>
      <c r="H79" s="538"/>
      <c r="I79" s="538"/>
      <c r="J79" s="538"/>
      <c r="K79" s="539"/>
      <c r="L79" s="540"/>
      <c r="M79" s="541"/>
      <c r="N79" s="1154"/>
      <c r="O79" s="1154"/>
      <c r="P79" s="2682"/>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2"/>
      <c r="Q80" s="503"/>
    </row>
    <row r="81" spans="1:17" ht="15.75" thickTop="1">
      <c r="A81" s="533"/>
      <c r="B81" s="537" t="s">
        <v>2591</v>
      </c>
      <c r="C81" s="577" t="s">
        <v>2585</v>
      </c>
      <c r="D81" s="577" t="s">
        <v>2586</v>
      </c>
      <c r="E81" s="577" t="s">
        <v>2587</v>
      </c>
      <c r="F81" s="577" t="s">
        <v>2588</v>
      </c>
      <c r="G81" s="577" t="s">
        <v>2589</v>
      </c>
      <c r="H81" s="538"/>
      <c r="I81" s="538"/>
      <c r="J81" s="538"/>
      <c r="K81" s="539"/>
      <c r="L81" s="540"/>
      <c r="M81" s="541"/>
      <c r="N81" s="1154"/>
      <c r="O81" s="1154"/>
      <c r="P81" s="2682"/>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2"/>
      <c r="Q82" s="503"/>
    </row>
    <row r="83" spans="1:17" ht="15.75" thickTop="1">
      <c r="A83" s="533"/>
      <c r="B83" s="545" t="s">
        <v>2677</v>
      </c>
      <c r="C83" s="659" t="s">
        <v>2663</v>
      </c>
      <c r="D83" s="659" t="s">
        <v>2664</v>
      </c>
      <c r="E83" s="659" t="s">
        <v>2665</v>
      </c>
      <c r="F83" s="659" t="s">
        <v>2666</v>
      </c>
      <c r="G83" s="659" t="s">
        <v>2667</v>
      </c>
      <c r="H83" s="538"/>
      <c r="I83" s="538"/>
      <c r="J83" s="538"/>
      <c r="K83" s="538"/>
      <c r="L83" s="538"/>
      <c r="M83" s="1384"/>
      <c r="N83" s="1155"/>
      <c r="O83" s="1155"/>
      <c r="P83" s="2682"/>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2"/>
      <c r="Q84" s="503"/>
    </row>
    <row r="85" spans="1:17" ht="15.75" thickTop="1">
      <c r="A85" s="533"/>
      <c r="B85" s="537" t="s">
        <v>2686</v>
      </c>
      <c r="C85" s="577" t="s">
        <v>2585</v>
      </c>
      <c r="D85" s="577" t="s">
        <v>2586</v>
      </c>
      <c r="E85" s="577" t="s">
        <v>2587</v>
      </c>
      <c r="F85" s="577" t="s">
        <v>2588</v>
      </c>
      <c r="G85" s="577" t="s">
        <v>2589</v>
      </c>
      <c r="H85" s="538"/>
      <c r="I85" s="538"/>
      <c r="J85" s="538"/>
      <c r="K85" s="539"/>
      <c r="L85" s="540"/>
      <c r="M85" s="541"/>
      <c r="N85" s="1154"/>
      <c r="O85" s="1154"/>
      <c r="P85" s="2682"/>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2"/>
      <c r="Q86" s="503"/>
    </row>
    <row r="87" spans="1:17" s="117" customFormat="1" ht="27.75" thickTop="1">
      <c r="A87" s="578"/>
      <c r="B87" s="537" t="s">
        <v>2687</v>
      </c>
      <c r="C87" s="553"/>
      <c r="D87" s="553"/>
      <c r="E87" s="553"/>
      <c r="F87" s="553"/>
      <c r="G87" s="553"/>
      <c r="H87" s="553"/>
      <c r="I87" s="553"/>
      <c r="J87" s="553"/>
      <c r="K87" s="553"/>
      <c r="L87" s="579"/>
      <c r="M87" s="580"/>
      <c r="N87" s="1153"/>
      <c r="O87" s="1153"/>
      <c r="P87" s="2682"/>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2"/>
      <c r="Q88" s="503"/>
    </row>
    <row r="89" spans="1:17" s="117" customFormat="1" ht="15.75" thickTop="1">
      <c r="A89" s="578"/>
      <c r="B89" s="537" t="str">
        <f>B27</f>
        <v>楼层</v>
      </c>
      <c r="C89" s="553"/>
      <c r="D89" s="553"/>
      <c r="E89" s="553"/>
      <c r="F89" s="2633"/>
      <c r="G89" s="553"/>
      <c r="H89" s="553"/>
      <c r="I89" s="553"/>
      <c r="J89" s="553"/>
      <c r="K89" s="553"/>
      <c r="L89" s="553"/>
      <c r="M89" s="580"/>
      <c r="N89" s="1153"/>
      <c r="O89" s="1153"/>
      <c r="P89" s="2682"/>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2"/>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3"/>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3"/>
      <c r="Q92" s="558"/>
    </row>
    <row r="93" spans="1:17" ht="15.75" thickTop="1">
      <c r="A93" s="533"/>
      <c r="B93" s="537">
        <f>B29</f>
        <v>111</v>
      </c>
      <c r="C93" s="553"/>
      <c r="D93" s="553"/>
      <c r="E93" s="553"/>
      <c r="F93" s="553"/>
      <c r="G93" s="553"/>
      <c r="H93" s="553"/>
      <c r="I93" s="553"/>
      <c r="J93" s="553"/>
      <c r="K93" s="553"/>
      <c r="L93" s="579"/>
      <c r="M93" s="580"/>
      <c r="N93" s="1154"/>
      <c r="O93" s="1154"/>
      <c r="P93" s="2682"/>
      <c r="Q93" s="503"/>
    </row>
    <row r="94" spans="1:17" ht="15.75" thickBot="1">
      <c r="A94" s="533"/>
      <c r="B94" s="542"/>
      <c r="C94" s="559"/>
      <c r="D94" s="535"/>
      <c r="E94" s="535"/>
      <c r="F94" s="535"/>
      <c r="G94" s="535"/>
      <c r="H94" s="535"/>
      <c r="I94" s="535"/>
      <c r="J94" s="535"/>
      <c r="K94" s="535"/>
      <c r="L94" s="535"/>
      <c r="M94" s="536"/>
      <c r="N94" s="1155"/>
      <c r="O94" s="1155"/>
      <c r="P94" s="2682"/>
      <c r="Q94" s="503"/>
    </row>
    <row r="95" spans="1:17" ht="15.75" thickTop="1">
      <c r="A95" s="533"/>
      <c r="B95" s="537">
        <f>B30</f>
        <v>111</v>
      </c>
      <c r="C95" s="553"/>
      <c r="D95" s="553"/>
      <c r="E95" s="553"/>
      <c r="F95" s="553"/>
      <c r="G95" s="582"/>
      <c r="H95" s="582"/>
      <c r="I95" s="582"/>
      <c r="J95" s="582"/>
      <c r="K95" s="583"/>
      <c r="L95" s="584"/>
      <c r="M95" s="585"/>
      <c r="N95" s="1154"/>
      <c r="O95" s="1154"/>
      <c r="P95" s="2682"/>
      <c r="Q95" s="503"/>
    </row>
    <row r="96" spans="1:17" ht="15.75" thickBot="1">
      <c r="A96" s="533"/>
      <c r="B96" s="542"/>
      <c r="C96" s="559"/>
      <c r="D96" s="559"/>
      <c r="E96" s="559"/>
      <c r="F96" s="559"/>
      <c r="G96" s="535"/>
      <c r="H96" s="535"/>
      <c r="I96" s="535"/>
      <c r="J96" s="535"/>
      <c r="K96" s="535"/>
      <c r="L96" s="535"/>
      <c r="M96" s="536"/>
      <c r="N96" s="1155"/>
      <c r="O96" s="1155"/>
      <c r="P96" s="2682"/>
      <c r="Q96" s="503"/>
    </row>
    <row r="97" spans="1:17" ht="15.75" thickTop="1">
      <c r="A97" s="533"/>
      <c r="B97" s="537">
        <f>B31</f>
        <v>111</v>
      </c>
      <c r="C97" s="553"/>
      <c r="D97" s="553"/>
      <c r="E97" s="553"/>
      <c r="F97" s="553"/>
      <c r="G97" s="582"/>
      <c r="H97" s="582"/>
      <c r="I97" s="582"/>
      <c r="J97" s="582"/>
      <c r="K97" s="583"/>
      <c r="L97" s="584"/>
      <c r="M97" s="585"/>
      <c r="N97" s="1154"/>
      <c r="O97" s="1154"/>
      <c r="P97" s="2682"/>
      <c r="Q97" s="503"/>
    </row>
    <row r="98" spans="1:17" ht="15.75" thickBot="1">
      <c r="A98" s="533"/>
      <c r="B98" s="542"/>
      <c r="C98" s="559"/>
      <c r="D98" s="535"/>
      <c r="E98" s="535"/>
      <c r="F98" s="535"/>
      <c r="G98" s="535"/>
      <c r="H98" s="535"/>
      <c r="I98" s="535"/>
      <c r="J98" s="535"/>
      <c r="K98" s="535"/>
      <c r="L98" s="535"/>
      <c r="M98" s="536"/>
      <c r="N98" s="1155"/>
      <c r="O98" s="1155"/>
      <c r="P98" s="2682"/>
      <c r="Q98" s="503"/>
    </row>
    <row r="99" spans="1:17" ht="15.75" thickTop="1">
      <c r="A99" s="533"/>
      <c r="B99" s="545">
        <f>B32</f>
        <v>111</v>
      </c>
      <c r="C99" s="522"/>
      <c r="D99" s="522"/>
      <c r="E99" s="522"/>
      <c r="F99" s="522"/>
      <c r="G99" s="586"/>
      <c r="H99" s="586"/>
      <c r="I99" s="586"/>
      <c r="J99" s="586"/>
      <c r="K99" s="587"/>
      <c r="L99" s="588"/>
      <c r="M99" s="589"/>
      <c r="N99" s="1154"/>
      <c r="O99" s="1154"/>
      <c r="P99" s="2682"/>
      <c r="Q99" s="503"/>
    </row>
    <row r="100" spans="1:17" ht="15.75" thickBot="1">
      <c r="A100" s="2634"/>
      <c r="B100" s="568"/>
      <c r="C100" s="569"/>
      <c r="D100" s="569"/>
      <c r="E100" s="569"/>
      <c r="F100" s="569"/>
      <c r="G100" s="590"/>
      <c r="H100" s="590"/>
      <c r="I100" s="590"/>
      <c r="J100" s="590"/>
      <c r="K100" s="590"/>
      <c r="L100" s="590"/>
      <c r="M100" s="591"/>
      <c r="N100" s="1155"/>
      <c r="O100" s="1155"/>
      <c r="P100" s="2682"/>
      <c r="Q100" s="503"/>
    </row>
    <row r="101" spans="1:17">
      <c r="A101" s="526" t="s">
        <v>2551</v>
      </c>
      <c r="B101" s="527" t="s">
        <v>2600</v>
      </c>
      <c r="C101" s="529"/>
      <c r="D101" s="529"/>
      <c r="E101" s="529"/>
      <c r="F101" s="529"/>
      <c r="G101" s="529"/>
      <c r="H101" s="529"/>
      <c r="I101" s="529"/>
      <c r="J101" s="529"/>
      <c r="K101" s="530"/>
      <c r="L101" s="531"/>
      <c r="M101" s="532"/>
      <c r="N101" s="1154"/>
      <c r="O101" s="1154"/>
      <c r="P101" s="2682"/>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2"/>
      <c r="Q102" s="503"/>
    </row>
    <row r="103" spans="1:17" ht="15.75" thickTop="1">
      <c r="A103" s="533"/>
      <c r="B103" s="537" t="s">
        <v>2601</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2"/>
      <c r="Q103" s="503"/>
    </row>
    <row r="104" spans="1:17" s="470" customFormat="1">
      <c r="A104" s="592"/>
      <c r="B104" s="593"/>
      <c r="C104" s="594"/>
      <c r="D104" s="594"/>
      <c r="E104" s="594"/>
      <c r="F104" s="594"/>
      <c r="G104" s="594"/>
      <c r="H104" s="594"/>
      <c r="I104" s="594"/>
      <c r="J104" s="595"/>
      <c r="K104" s="595"/>
      <c r="L104" s="596"/>
      <c r="M104" s="597"/>
      <c r="N104" s="1156"/>
      <c r="O104" s="1156"/>
      <c r="P104" s="2683"/>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3"/>
      <c r="Q105" s="558"/>
    </row>
    <row r="106" spans="1:17" ht="15" thickTop="1">
      <c r="A106" s="598"/>
      <c r="B106" s="537" t="s">
        <v>2602</v>
      </c>
      <c r="C106" s="553"/>
      <c r="D106" s="553"/>
      <c r="E106" s="582"/>
      <c r="F106" s="582"/>
      <c r="G106" s="582"/>
      <c r="H106" s="582"/>
      <c r="I106" s="582"/>
      <c r="J106" s="582"/>
      <c r="K106" s="583"/>
      <c r="L106" s="584"/>
      <c r="M106" s="585"/>
      <c r="N106" s="1154"/>
      <c r="O106" s="1154"/>
      <c r="P106" s="2682"/>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2"/>
      <c r="Q107" s="503"/>
    </row>
    <row r="108" spans="1:17" ht="15" thickTop="1">
      <c r="A108" s="598"/>
      <c r="B108" s="537" t="s">
        <v>2604</v>
      </c>
      <c r="C108" s="553"/>
      <c r="D108" s="553"/>
      <c r="E108" s="553"/>
      <c r="F108" s="582"/>
      <c r="G108" s="582"/>
      <c r="H108" s="582"/>
      <c r="I108" s="582"/>
      <c r="J108" s="582"/>
      <c r="K108" s="583"/>
      <c r="L108" s="584"/>
      <c r="M108" s="585"/>
      <c r="N108" s="1154"/>
      <c r="O108" s="1154"/>
      <c r="P108" s="2682"/>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2"/>
      <c r="Q109" s="503"/>
    </row>
    <row r="110" spans="1:17" ht="15" thickTop="1">
      <c r="A110" s="598"/>
      <c r="B110" s="537" t="s">
        <v>1998</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2"/>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2"/>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2"/>
      <c r="Q112" s="503"/>
    </row>
    <row r="113" spans="1:17" s="470" customFormat="1" ht="15" thickTop="1">
      <c r="A113" s="592"/>
      <c r="B113" s="537" t="s">
        <v>2688</v>
      </c>
      <c r="C113" s="553"/>
      <c r="D113" s="553"/>
      <c r="E113" s="553"/>
      <c r="F113" s="553"/>
      <c r="G113" s="553"/>
      <c r="H113" s="582"/>
      <c r="I113" s="582"/>
      <c r="J113" s="582"/>
      <c r="K113" s="583"/>
      <c r="L113" s="584"/>
      <c r="M113" s="585"/>
      <c r="N113" s="1156"/>
      <c r="O113" s="1156"/>
      <c r="P113" s="2683"/>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3"/>
      <c r="Q114" s="558"/>
    </row>
    <row r="115" spans="1:17" ht="15" thickTop="1">
      <c r="A115" s="598"/>
      <c r="B115" s="537" t="s">
        <v>2605</v>
      </c>
      <c r="C115" s="553"/>
      <c r="D115" s="553"/>
      <c r="E115" s="582"/>
      <c r="F115" s="582"/>
      <c r="G115" s="582"/>
      <c r="H115" s="582"/>
      <c r="I115" s="582"/>
      <c r="J115" s="582"/>
      <c r="K115" s="583"/>
      <c r="L115" s="584"/>
      <c r="M115" s="585"/>
      <c r="N115" s="1154"/>
      <c r="O115" s="1154"/>
      <c r="P115" s="2682"/>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2"/>
      <c r="Q116" s="503"/>
    </row>
    <row r="117" spans="1:17" ht="15" thickTop="1">
      <c r="A117" s="598"/>
      <c r="B117" s="537" t="s">
        <v>2606</v>
      </c>
      <c r="C117" s="553"/>
      <c r="D117" s="553"/>
      <c r="E117" s="553"/>
      <c r="F117" s="553"/>
      <c r="G117" s="553"/>
      <c r="H117" s="582"/>
      <c r="I117" s="582"/>
      <c r="J117" s="582"/>
      <c r="K117" s="583"/>
      <c r="L117" s="584"/>
      <c r="M117" s="585"/>
      <c r="N117" s="1154"/>
      <c r="O117" s="1154"/>
      <c r="P117" s="2682"/>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2"/>
      <c r="Q118" s="503"/>
    </row>
    <row r="119" spans="1:17" ht="15" thickTop="1">
      <c r="A119" s="598"/>
      <c r="B119" s="635" t="s">
        <v>2689</v>
      </c>
      <c r="C119" s="582"/>
      <c r="D119" s="582"/>
      <c r="E119" s="582"/>
      <c r="F119" s="582"/>
      <c r="G119" s="582"/>
      <c r="H119" s="582"/>
      <c r="I119" s="582"/>
      <c r="J119" s="582"/>
      <c r="K119" s="582"/>
      <c r="L119" s="2687"/>
      <c r="M119" s="2688"/>
      <c r="N119" s="1155"/>
      <c r="O119" s="1155"/>
      <c r="P119" s="2689"/>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2"/>
      <c r="Q120" s="503"/>
    </row>
    <row r="121" spans="1:17" s="470" customFormat="1" ht="15" thickTop="1">
      <c r="A121" s="592"/>
      <c r="B121" s="537" t="s">
        <v>2672</v>
      </c>
      <c r="C121" s="553"/>
      <c r="D121" s="553"/>
      <c r="E121" s="553"/>
      <c r="F121" s="582"/>
      <c r="G121" s="554"/>
      <c r="H121" s="554"/>
      <c r="I121" s="554"/>
      <c r="J121" s="554"/>
      <c r="K121" s="554"/>
      <c r="L121" s="555"/>
      <c r="M121" s="556"/>
      <c r="N121" s="1156"/>
      <c r="O121" s="1156"/>
      <c r="P121" s="2683"/>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3"/>
      <c r="Q122" s="558"/>
    </row>
    <row r="123" spans="1:17" ht="15" thickTop="1">
      <c r="A123" s="598"/>
      <c r="B123" s="537" t="s">
        <v>2608</v>
      </c>
      <c r="C123" s="553"/>
      <c r="D123" s="553"/>
      <c r="E123" s="553"/>
      <c r="F123" s="582"/>
      <c r="G123" s="582"/>
      <c r="H123" s="582"/>
      <c r="I123" s="582"/>
      <c r="J123" s="582"/>
      <c r="K123" s="583"/>
      <c r="L123" s="584"/>
      <c r="M123" s="585"/>
      <c r="N123" s="1154"/>
      <c r="O123" s="1154"/>
      <c r="P123" s="2682"/>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2"/>
      <c r="Q124" s="503"/>
    </row>
    <row r="125" spans="1:17" ht="15" thickTop="1">
      <c r="A125" s="598"/>
      <c r="B125" s="537" t="s">
        <v>2609</v>
      </c>
      <c r="C125" s="577" t="s">
        <v>2585</v>
      </c>
      <c r="D125" s="577" t="s">
        <v>2586</v>
      </c>
      <c r="E125" s="577" t="s">
        <v>2587</v>
      </c>
      <c r="F125" s="577" t="s">
        <v>2588</v>
      </c>
      <c r="G125" s="577" t="s">
        <v>2589</v>
      </c>
      <c r="H125" s="538"/>
      <c r="I125" s="538"/>
      <c r="J125" s="538"/>
      <c r="K125" s="539"/>
      <c r="L125" s="540"/>
      <c r="M125" s="541"/>
      <c r="N125" s="1154"/>
      <c r="O125" s="1154"/>
      <c r="P125" s="2683"/>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2"/>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3"/>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3"/>
      <c r="Q128" s="558"/>
    </row>
    <row r="129" spans="1:17" ht="15" thickTop="1">
      <c r="A129" s="598"/>
      <c r="B129" s="537">
        <f>B46</f>
        <v>111</v>
      </c>
      <c r="C129" s="553"/>
      <c r="D129" s="553"/>
      <c r="E129" s="553"/>
      <c r="F129" s="553"/>
      <c r="G129" s="582"/>
      <c r="H129" s="582"/>
      <c r="I129" s="582"/>
      <c r="J129" s="582"/>
      <c r="K129" s="583"/>
      <c r="L129" s="584"/>
      <c r="M129" s="585"/>
      <c r="N129" s="1154"/>
      <c r="O129" s="1154"/>
      <c r="P129" s="2682"/>
      <c r="Q129" s="503"/>
    </row>
    <row r="130" spans="1:17" ht="15.75" thickBot="1">
      <c r="A130" s="533"/>
      <c r="B130" s="542"/>
      <c r="C130" s="559"/>
      <c r="D130" s="559"/>
      <c r="E130" s="559"/>
      <c r="F130" s="559"/>
      <c r="G130" s="535"/>
      <c r="H130" s="535"/>
      <c r="I130" s="535"/>
      <c r="J130" s="535"/>
      <c r="K130" s="535"/>
      <c r="L130" s="535"/>
      <c r="M130" s="536"/>
      <c r="N130" s="1155"/>
      <c r="O130" s="1155"/>
      <c r="P130" s="2682"/>
      <c r="Q130" s="503"/>
    </row>
    <row r="131" spans="1:17" ht="15" thickTop="1">
      <c r="A131" s="598"/>
      <c r="B131" s="545">
        <f>B47</f>
        <v>111</v>
      </c>
      <c r="C131" s="522"/>
      <c r="D131" s="522"/>
      <c r="E131" s="522"/>
      <c r="F131" s="522"/>
      <c r="G131" s="586"/>
      <c r="H131" s="586"/>
      <c r="I131" s="586"/>
      <c r="J131" s="586"/>
      <c r="K131" s="522"/>
      <c r="L131" s="523"/>
      <c r="M131" s="589"/>
      <c r="N131" s="1154"/>
      <c r="O131" s="1154"/>
      <c r="P131" s="2682"/>
      <c r="Q131" s="503"/>
    </row>
    <row r="132" spans="1:17" ht="15.75" thickBot="1">
      <c r="A132" s="2634"/>
      <c r="B132" s="568"/>
      <c r="C132" s="569"/>
      <c r="D132" s="569"/>
      <c r="E132" s="569"/>
      <c r="F132" s="569"/>
      <c r="G132" s="590"/>
      <c r="H132" s="590"/>
      <c r="I132" s="590"/>
      <c r="J132" s="590"/>
      <c r="K132" s="590"/>
      <c r="L132" s="590"/>
      <c r="M132" s="591"/>
      <c r="N132" s="1155"/>
      <c r="O132" s="1155"/>
      <c r="P132" s="2682"/>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2516</v>
      </c>
      <c r="B1" s="2667" t="s">
        <v>2690</v>
      </c>
      <c r="C1" s="1622" t="s">
        <v>2518</v>
      </c>
      <c r="D1" s="1623"/>
      <c r="E1" s="1632"/>
      <c r="F1" s="2582"/>
      <c r="G1" s="1633" t="s">
        <v>2631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2318</v>
      </c>
      <c r="B2" s="1420" t="e">
        <f ca="1">IF(C2="——",ROUND(C43*D3/10000,0),ROUND(C43*D3/10000,0)-D2)</f>
        <v>#DIV/0!</v>
      </c>
      <c r="C2" s="2584"/>
      <c r="D2" s="1126" t="e">
        <f ca="1">SUMIF(INDIRECT("'"&amp;F2&amp;"'"&amp;"!A:A"),"承租人权益价值",INDIRECT("'"&amp;F2&amp;"'"&amp;"!c:c"))</f>
        <v>#REF!</v>
      </c>
      <c r="E2" s="2585" t="s">
        <v>2319</v>
      </c>
      <c r="F2" s="2586"/>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2320</v>
      </c>
      <c r="B3" s="608" t="e">
        <f ca="1">IF(C2="——",C43,ROUND(B2*10000/D3,0))</f>
        <v>#DIV/0!</v>
      </c>
      <c r="C3" s="399" t="s">
        <v>2632</v>
      </c>
      <c r="D3" s="398">
        <f>IF(D1="",'数据-汇总表'!E3,SUMIF('数据-汇总表'!$C19:$C33,D1,'数据-汇总表'!$E19:$E33))</f>
        <v>178615</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2633</v>
      </c>
      <c r="B4" s="401"/>
      <c r="C4" s="3208" t="s">
        <v>2634</v>
      </c>
      <c r="D4" s="3221"/>
      <c r="E4" s="3222" t="s">
        <v>2635</v>
      </c>
      <c r="F4" s="3223"/>
      <c r="G4" s="3208" t="s">
        <v>2636</v>
      </c>
      <c r="H4" s="3221"/>
      <c r="I4" s="3208" t="s">
        <v>2637</v>
      </c>
      <c r="J4" s="3221"/>
      <c r="K4" s="609" t="s">
        <v>2638</v>
      </c>
      <c r="L4" s="1132"/>
      <c r="M4" s="1133"/>
      <c r="N4" s="1133"/>
      <c r="O4" s="1133"/>
      <c r="P4" s="3224" t="s">
        <v>2639</v>
      </c>
      <c r="Q4" s="3225"/>
      <c r="R4" s="3230" t="s">
        <v>2635</v>
      </c>
      <c r="S4" s="3231"/>
      <c r="T4" s="3230" t="s">
        <v>2636</v>
      </c>
      <c r="U4" s="3231"/>
      <c r="V4" s="3217" t="s">
        <v>2637</v>
      </c>
      <c r="W4" s="3217"/>
      <c r="X4" s="1815"/>
      <c r="Y4" s="3230" t="s">
        <v>2639</v>
      </c>
      <c r="Z4" s="3231"/>
      <c r="AA4" s="3218" t="s">
        <v>2635</v>
      </c>
      <c r="AB4" s="3219" t="s">
        <v>2636</v>
      </c>
      <c r="AC4" s="3218" t="s">
        <v>2637</v>
      </c>
    </row>
    <row r="5" spans="1:29" ht="15">
      <c r="A5" s="403"/>
      <c r="B5" s="404"/>
      <c r="C5" s="3243" t="s">
        <v>2530</v>
      </c>
      <c r="D5" s="3239"/>
      <c r="E5" s="3286" t="s">
        <v>2531</v>
      </c>
      <c r="F5" s="3248"/>
      <c r="G5" s="3243" t="s">
        <v>2532</v>
      </c>
      <c r="H5" s="3239"/>
      <c r="I5" s="3243" t="s">
        <v>2533</v>
      </c>
      <c r="J5" s="3239"/>
      <c r="K5" s="609"/>
      <c r="L5" s="1132"/>
      <c r="M5" s="1133"/>
      <c r="N5" s="1133"/>
      <c r="O5" s="1133"/>
      <c r="P5" s="3226"/>
      <c r="Q5" s="3227"/>
      <c r="R5" s="3232"/>
      <c r="S5" s="3233"/>
      <c r="T5" s="3232"/>
      <c r="U5" s="3233"/>
      <c r="V5" s="3217"/>
      <c r="W5" s="3217"/>
      <c r="X5" s="1815"/>
      <c r="Y5" s="3232"/>
      <c r="Z5" s="3233"/>
      <c r="AA5" s="3219"/>
      <c r="AB5" s="3219"/>
      <c r="AC5" s="3219"/>
    </row>
    <row r="6" spans="1:29" ht="15.75" thickBot="1">
      <c r="A6" s="405"/>
      <c r="B6" s="406"/>
      <c r="C6" s="3244" t="s">
        <v>2534</v>
      </c>
      <c r="D6" s="3237"/>
      <c r="E6" s="3285" t="s">
        <v>2534</v>
      </c>
      <c r="F6" s="3246"/>
      <c r="G6" s="3244" t="s">
        <v>2534</v>
      </c>
      <c r="H6" s="3237"/>
      <c r="I6" s="3244" t="s">
        <v>2534</v>
      </c>
      <c r="J6" s="3237"/>
      <c r="K6" s="609" t="s">
        <v>2535</v>
      </c>
      <c r="L6" s="1132"/>
      <c r="M6" s="1133"/>
      <c r="N6" s="1133"/>
      <c r="O6" s="1133"/>
      <c r="P6" s="3228"/>
      <c r="Q6" s="3229"/>
      <c r="R6" s="3232"/>
      <c r="S6" s="3233"/>
      <c r="T6" s="3234"/>
      <c r="U6" s="3235"/>
      <c r="V6" s="3217"/>
      <c r="W6" s="3217"/>
      <c r="X6" s="1815"/>
      <c r="Y6" s="3234"/>
      <c r="Z6" s="3235"/>
      <c r="AA6" s="3220"/>
      <c r="AB6" s="3220"/>
      <c r="AC6" s="3220"/>
    </row>
    <row r="7" spans="1:29" s="117" customFormat="1" ht="15.75" thickBot="1">
      <c r="A7" s="407" t="s">
        <v>2536</v>
      </c>
      <c r="B7" s="408"/>
      <c r="C7" s="409">
        <f>'数据-取费表'!B2</f>
        <v>43248</v>
      </c>
      <c r="D7" s="410">
        <v>100</v>
      </c>
      <c r="E7" s="411"/>
      <c r="F7" s="412">
        <f>SUMIF(52:52,YEAR(E7)&amp;"-"&amp;MONTH(E7),53:53)</f>
        <v>0</v>
      </c>
      <c r="G7" s="411"/>
      <c r="H7" s="410">
        <f>SUMIF(52:52,YEAR(G7)&amp;"-"&amp;MONTH(G7),53:53)</f>
        <v>0</v>
      </c>
      <c r="I7" s="411"/>
      <c r="J7" s="410">
        <f>SUMIF(52:52,YEAR(I7)&amp;"-"&amp;MONTH(I7),53:53)</f>
        <v>0</v>
      </c>
      <c r="K7" s="610"/>
      <c r="L7" s="1134"/>
      <c r="M7" s="1135"/>
      <c r="N7" s="1135"/>
      <c r="O7" s="1135"/>
      <c r="P7" s="3240" t="s">
        <v>2537</v>
      </c>
      <c r="Q7" s="3242"/>
      <c r="R7" s="769" t="s">
        <v>17</v>
      </c>
      <c r="S7" s="770">
        <f t="shared" ref="S7:S15" si="0">F7</f>
        <v>0</v>
      </c>
      <c r="T7" s="769" t="s">
        <v>17</v>
      </c>
      <c r="U7" s="770">
        <f t="shared" ref="U7:U15" si="1">H7</f>
        <v>0</v>
      </c>
      <c r="V7" s="769" t="s">
        <v>17</v>
      </c>
      <c r="W7" s="770">
        <f t="shared" ref="W7:W15" si="2">J7</f>
        <v>0</v>
      </c>
      <c r="X7" s="771"/>
      <c r="Y7" s="3240" t="s">
        <v>2537</v>
      </c>
      <c r="Z7" s="3241"/>
      <c r="AA7" s="772" t="e">
        <f>D7/F7</f>
        <v>#DIV/0!</v>
      </c>
      <c r="AB7" s="772" t="e">
        <f>D7/H7</f>
        <v>#DIV/0!</v>
      </c>
      <c r="AC7" s="772" t="e">
        <f>D7/J7</f>
        <v>#DIV/0!</v>
      </c>
    </row>
    <row r="8" spans="1:29" s="117" customFormat="1" ht="15.75" thickBot="1">
      <c r="A8" s="407" t="s">
        <v>2538</v>
      </c>
      <c r="B8" s="408"/>
      <c r="C8" s="413" t="s">
        <v>2539</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240" t="s">
        <v>2540</v>
      </c>
      <c r="Q8" s="3241"/>
      <c r="R8" s="769" t="s">
        <v>17</v>
      </c>
      <c r="S8" s="770">
        <f t="shared" si="0"/>
        <v>0</v>
      </c>
      <c r="T8" s="769" t="s">
        <v>17</v>
      </c>
      <c r="U8" s="770">
        <f t="shared" si="1"/>
        <v>0</v>
      </c>
      <c r="V8" s="769" t="s">
        <v>17</v>
      </c>
      <c r="W8" s="770">
        <f t="shared" si="2"/>
        <v>0</v>
      </c>
      <c r="X8" s="771"/>
      <c r="Y8" s="3240" t="s">
        <v>2540</v>
      </c>
      <c r="Z8" s="3241"/>
      <c r="AA8" s="772" t="e">
        <f t="shared" ref="AA8:AA40" si="3">D8/F8</f>
        <v>#DIV/0!</v>
      </c>
      <c r="AB8" s="772" t="e">
        <f t="shared" ref="AB8:AB40" si="4">D8/H8</f>
        <v>#DIV/0!</v>
      </c>
      <c r="AC8" s="772" t="e">
        <f t="shared" ref="AC8:AC40" si="5">D8/J8</f>
        <v>#DIV/0!</v>
      </c>
    </row>
    <row r="9" spans="1:29" s="117" customFormat="1">
      <c r="A9" s="414" t="s">
        <v>2541</v>
      </c>
      <c r="B9" s="71" t="s">
        <v>2542</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211" t="s">
        <v>2543</v>
      </c>
      <c r="Q9" s="1797" t="str">
        <f t="shared" ref="Q9:Q15" si="6">B9</f>
        <v>用途</v>
      </c>
      <c r="R9" s="769" t="s">
        <v>17</v>
      </c>
      <c r="S9" s="770">
        <f t="shared" si="0"/>
        <v>100</v>
      </c>
      <c r="T9" s="769" t="s">
        <v>17</v>
      </c>
      <c r="U9" s="770">
        <f t="shared" si="1"/>
        <v>100</v>
      </c>
      <c r="V9" s="769" t="s">
        <v>17</v>
      </c>
      <c r="W9" s="770">
        <f t="shared" si="2"/>
        <v>100</v>
      </c>
      <c r="X9" s="771"/>
      <c r="Y9" s="3059" t="s">
        <v>2544</v>
      </c>
      <c r="Z9" s="55" t="str">
        <f t="shared" ref="Z9:Z15" si="7">Q9</f>
        <v>用途</v>
      </c>
      <c r="AA9" s="772">
        <f t="shared" si="3"/>
        <v>1</v>
      </c>
      <c r="AB9" s="772">
        <f t="shared" si="4"/>
        <v>1</v>
      </c>
      <c r="AC9" s="772">
        <f t="shared" si="5"/>
        <v>1</v>
      </c>
    </row>
    <row r="10" spans="1:29" s="426" customFormat="1" ht="27">
      <c r="A10" s="420"/>
      <c r="B10" s="421" t="s">
        <v>2545</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211"/>
      <c r="Q10" s="1797" t="str">
        <f t="shared" si="6"/>
        <v>土地使用年限（年）</v>
      </c>
      <c r="R10" s="769" t="s">
        <v>17</v>
      </c>
      <c r="S10" s="770">
        <f t="shared" si="0"/>
        <v>100</v>
      </c>
      <c r="T10" s="769" t="s">
        <v>17</v>
      </c>
      <c r="U10" s="770">
        <f t="shared" si="1"/>
        <v>100</v>
      </c>
      <c r="V10" s="769" t="s">
        <v>17</v>
      </c>
      <c r="W10" s="770">
        <f t="shared" si="2"/>
        <v>100</v>
      </c>
      <c r="X10" s="771"/>
      <c r="Y10" s="3059"/>
      <c r="Z10" s="55" t="str">
        <f t="shared" si="7"/>
        <v>土地使用年限（年）</v>
      </c>
      <c r="AA10" s="772">
        <f t="shared" si="3"/>
        <v>1</v>
      </c>
      <c r="AB10" s="772">
        <f t="shared" si="4"/>
        <v>1</v>
      </c>
      <c r="AC10" s="772">
        <f t="shared" si="5"/>
        <v>1</v>
      </c>
    </row>
    <row r="11" spans="1:29" ht="15">
      <c r="A11" s="427"/>
      <c r="B11" s="421" t="s">
        <v>2546</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211"/>
      <c r="Q11" s="1797" t="str">
        <f t="shared" si="6"/>
        <v>容积率</v>
      </c>
      <c r="R11" s="769" t="s">
        <v>17</v>
      </c>
      <c r="S11" s="770" t="e">
        <f t="shared" si="0"/>
        <v>#N/A</v>
      </c>
      <c r="T11" s="769" t="s">
        <v>17</v>
      </c>
      <c r="U11" s="770" t="e">
        <f t="shared" si="1"/>
        <v>#N/A</v>
      </c>
      <c r="V11" s="769" t="s">
        <v>17</v>
      </c>
      <c r="W11" s="770" t="e">
        <f t="shared" si="2"/>
        <v>#N/A</v>
      </c>
      <c r="X11" s="771"/>
      <c r="Y11" s="3059"/>
      <c r="Z11" s="55" t="str">
        <f t="shared" si="7"/>
        <v>容积率</v>
      </c>
      <c r="AA11" s="772" t="e">
        <f t="shared" si="3"/>
        <v>#N/A</v>
      </c>
      <c r="AB11" s="772" t="e">
        <f t="shared" si="4"/>
        <v>#N/A</v>
      </c>
      <c r="AC11" s="772" t="e">
        <f t="shared" si="5"/>
        <v>#N/A</v>
      </c>
    </row>
    <row r="12" spans="1:29" s="117" customFormat="1" ht="15">
      <c r="A12" s="430"/>
      <c r="B12" s="2598">
        <v>111</v>
      </c>
      <c r="C12" s="431"/>
      <c r="D12" s="432">
        <v>100</v>
      </c>
      <c r="E12" s="433"/>
      <c r="F12" s="135">
        <f>SUMIF(64:64,E12,65:65)-SUMIF(64:64,C12,65:65)+100</f>
        <v>100</v>
      </c>
      <c r="G12" s="2690"/>
      <c r="H12" s="135">
        <f>SUMIF(64:64,G12,65:65)-SUMIF(64:64,C12,65:65)+100</f>
        <v>100</v>
      </c>
      <c r="I12" s="468"/>
      <c r="J12" s="135">
        <f>SUMIF(64:64,I12,65:65)-SUMIF(64:64,C12,65:65)+100</f>
        <v>100</v>
      </c>
      <c r="K12" s="612"/>
      <c r="L12" s="1134"/>
      <c r="M12" s="1135"/>
      <c r="N12" s="1135"/>
      <c r="O12" s="1136"/>
      <c r="P12" s="3211"/>
      <c r="Q12" s="1797">
        <f t="shared" si="6"/>
        <v>111</v>
      </c>
      <c r="R12" s="769" t="s">
        <v>17</v>
      </c>
      <c r="S12" s="770">
        <f t="shared" si="0"/>
        <v>100</v>
      </c>
      <c r="T12" s="769" t="s">
        <v>17</v>
      </c>
      <c r="U12" s="770">
        <f t="shared" si="1"/>
        <v>100</v>
      </c>
      <c r="V12" s="769" t="s">
        <v>17</v>
      </c>
      <c r="W12" s="770">
        <f t="shared" si="2"/>
        <v>100</v>
      </c>
      <c r="X12" s="771"/>
      <c r="Y12" s="3059"/>
      <c r="Z12" s="55">
        <f t="shared" si="7"/>
        <v>111</v>
      </c>
      <c r="AA12" s="772">
        <f>D12/F12</f>
        <v>1</v>
      </c>
      <c r="AB12" s="772">
        <f>D12/H12</f>
        <v>1</v>
      </c>
      <c r="AC12" s="772">
        <f>D12/J12</f>
        <v>1</v>
      </c>
    </row>
    <row r="13" spans="1:29" ht="15">
      <c r="A13" s="427"/>
      <c r="B13" s="2598">
        <v>111</v>
      </c>
      <c r="C13" s="433"/>
      <c r="D13" s="434">
        <v>100</v>
      </c>
      <c r="E13" s="433"/>
      <c r="F13" s="135">
        <f>SUMIF(66:66,E13,67:67)-SUMIF(66:66,C13,67:67)+100</f>
        <v>100</v>
      </c>
      <c r="G13" s="2690"/>
      <c r="H13" s="434">
        <f>SUMIF(66:66,G13,67:67)-SUMIF(66:66,C13,67:67)+100</f>
        <v>100</v>
      </c>
      <c r="I13" s="468"/>
      <c r="J13" s="434">
        <f>SUMIF(66:66,I13,67:67)-SUMIF(66:66,C13,67:67)+100</f>
        <v>100</v>
      </c>
      <c r="K13" s="612"/>
      <c r="L13" s="1142"/>
      <c r="M13" s="1133"/>
      <c r="N13" s="1133"/>
      <c r="O13" s="1141"/>
      <c r="P13" s="3211"/>
      <c r="Q13" s="1797">
        <f t="shared" si="6"/>
        <v>111</v>
      </c>
      <c r="R13" s="769" t="s">
        <v>17</v>
      </c>
      <c r="S13" s="770">
        <f t="shared" si="0"/>
        <v>100</v>
      </c>
      <c r="T13" s="769" t="s">
        <v>17</v>
      </c>
      <c r="U13" s="770">
        <f t="shared" si="1"/>
        <v>100</v>
      </c>
      <c r="V13" s="769" t="s">
        <v>17</v>
      </c>
      <c r="W13" s="770">
        <f t="shared" si="2"/>
        <v>100</v>
      </c>
      <c r="X13" s="771"/>
      <c r="Y13" s="3059"/>
      <c r="Z13" s="55">
        <f t="shared" si="7"/>
        <v>111</v>
      </c>
      <c r="AA13" s="772">
        <f t="shared" si="3"/>
        <v>1</v>
      </c>
      <c r="AB13" s="772">
        <f t="shared" si="4"/>
        <v>1</v>
      </c>
      <c r="AC13" s="772">
        <f t="shared" si="5"/>
        <v>1</v>
      </c>
    </row>
    <row r="14" spans="1:29" ht="15.75" thickBot="1">
      <c r="A14" s="435"/>
      <c r="B14" s="2600">
        <v>111</v>
      </c>
      <c r="C14" s="436"/>
      <c r="D14" s="437">
        <v>100</v>
      </c>
      <c r="E14" s="436"/>
      <c r="F14" s="437">
        <f>SUMIF(68:68,E14,69:69)-SUMIF(68:68,C14,69:69)+100</f>
        <v>100</v>
      </c>
      <c r="G14" s="2690"/>
      <c r="H14" s="437">
        <f>SUMIF(68:68,G14,69:69)-SUMIF(68:68,C14,69:69)+100</f>
        <v>100</v>
      </c>
      <c r="I14" s="468"/>
      <c r="J14" s="437">
        <f>SUMIF(68:68,I14,69:69)-SUMIF(68:68,C14,69:69)+100</f>
        <v>100</v>
      </c>
      <c r="K14" s="612"/>
      <c r="L14" s="1142"/>
      <c r="M14" s="1133"/>
      <c r="N14" s="1133"/>
      <c r="O14" s="1141"/>
      <c r="P14" s="3211"/>
      <c r="Q14" s="1797">
        <f t="shared" si="6"/>
        <v>111</v>
      </c>
      <c r="R14" s="769" t="s">
        <v>17</v>
      </c>
      <c r="S14" s="770">
        <f t="shared" si="0"/>
        <v>100</v>
      </c>
      <c r="T14" s="769" t="s">
        <v>17</v>
      </c>
      <c r="U14" s="770">
        <f t="shared" si="1"/>
        <v>100</v>
      </c>
      <c r="V14" s="769" t="s">
        <v>17</v>
      </c>
      <c r="W14" s="770">
        <f t="shared" si="2"/>
        <v>100</v>
      </c>
      <c r="X14" s="771"/>
      <c r="Y14" s="3059"/>
      <c r="Z14" s="55">
        <f t="shared" si="7"/>
        <v>111</v>
      </c>
      <c r="AA14" s="772">
        <f t="shared" si="3"/>
        <v>1</v>
      </c>
      <c r="AB14" s="772">
        <f t="shared" si="4"/>
        <v>1</v>
      </c>
      <c r="AC14" s="772">
        <f t="shared" si="5"/>
        <v>1</v>
      </c>
    </row>
    <row r="15" spans="1:29" ht="15">
      <c r="A15" s="439" t="s">
        <v>2547</v>
      </c>
      <c r="B15" s="69" t="s">
        <v>2691</v>
      </c>
      <c r="C15" s="2691">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213" t="s">
        <v>2548</v>
      </c>
      <c r="Q15" s="1812" t="str">
        <f t="shared" si="6"/>
        <v>产业集聚程度</v>
      </c>
      <c r="R15" s="773" t="s">
        <v>17</v>
      </c>
      <c r="S15" s="774">
        <f t="shared" si="0"/>
        <v>100</v>
      </c>
      <c r="T15" s="773" t="s">
        <v>17</v>
      </c>
      <c r="U15" s="774">
        <f t="shared" si="1"/>
        <v>100</v>
      </c>
      <c r="V15" s="773" t="s">
        <v>17</v>
      </c>
      <c r="W15" s="774">
        <f t="shared" si="2"/>
        <v>100</v>
      </c>
      <c r="X15" s="1815"/>
      <c r="Y15" s="3213" t="s">
        <v>2548</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214"/>
      <c r="Q16" s="1812"/>
      <c r="R16" s="773"/>
      <c r="S16" s="774"/>
      <c r="T16" s="773"/>
      <c r="U16" s="774"/>
      <c r="V16" s="773"/>
      <c r="W16" s="774"/>
      <c r="X16" s="1815"/>
      <c r="Y16" s="3214"/>
      <c r="Z16" s="1816"/>
      <c r="AA16" s="1813">
        <v>1</v>
      </c>
      <c r="AB16" s="1813">
        <v>1</v>
      </c>
      <c r="AC16" s="1813">
        <v>1</v>
      </c>
    </row>
    <row r="17" spans="1:29" ht="15">
      <c r="A17" s="427"/>
      <c r="B17" s="450" t="s">
        <v>2091</v>
      </c>
      <c r="C17" s="2605">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214"/>
      <c r="Q17" s="1812" t="str">
        <f>B17</f>
        <v>交通便捷度</v>
      </c>
      <c r="R17" s="773" t="s">
        <v>17</v>
      </c>
      <c r="S17" s="774">
        <f>F17</f>
        <v>100</v>
      </c>
      <c r="T17" s="773" t="s">
        <v>17</v>
      </c>
      <c r="U17" s="774">
        <f>H17</f>
        <v>100</v>
      </c>
      <c r="V17" s="773" t="s">
        <v>17</v>
      </c>
      <c r="W17" s="774">
        <f>J17</f>
        <v>100</v>
      </c>
      <c r="X17" s="1815"/>
      <c r="Y17" s="3214"/>
      <c r="Z17" s="1816" t="str">
        <f>Q17</f>
        <v>交通便捷度</v>
      </c>
      <c r="AA17" s="1813">
        <f t="shared" si="3"/>
        <v>1</v>
      </c>
      <c r="AB17" s="1813">
        <f t="shared" si="4"/>
        <v>1</v>
      </c>
      <c r="AC17" s="1813">
        <f t="shared" si="5"/>
        <v>1</v>
      </c>
    </row>
    <row r="18" spans="1:29" ht="15">
      <c r="A18" s="427"/>
      <c r="B18" s="455"/>
      <c r="C18" s="2606"/>
      <c r="D18" s="449"/>
      <c r="E18" s="2608"/>
      <c r="F18" s="452"/>
      <c r="G18" s="2607"/>
      <c r="H18" s="447"/>
      <c r="I18" s="2608"/>
      <c r="J18" s="447"/>
      <c r="K18" s="614"/>
      <c r="L18" s="1142"/>
      <c r="M18" s="1133"/>
      <c r="N18" s="1133"/>
      <c r="O18" s="1141"/>
      <c r="P18" s="3214"/>
      <c r="Q18" s="1812"/>
      <c r="R18" s="773"/>
      <c r="S18" s="774"/>
      <c r="T18" s="773"/>
      <c r="U18" s="774"/>
      <c r="V18" s="773"/>
      <c r="W18" s="774"/>
      <c r="X18" s="1815"/>
      <c r="Y18" s="3214"/>
      <c r="Z18" s="1816"/>
      <c r="AA18" s="1813">
        <v>1</v>
      </c>
      <c r="AB18" s="1813">
        <v>1</v>
      </c>
      <c r="AC18" s="1813">
        <v>1</v>
      </c>
    </row>
    <row r="19" spans="1:29" ht="15">
      <c r="A19" s="427"/>
      <c r="B19" s="450" t="s">
        <v>2676</v>
      </c>
      <c r="C19" s="2605">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214"/>
      <c r="Q19" s="1812" t="str">
        <f>B19</f>
        <v>公共配套设施</v>
      </c>
      <c r="R19" s="773" t="s">
        <v>17</v>
      </c>
      <c r="S19" s="774">
        <f>F19</f>
        <v>100</v>
      </c>
      <c r="T19" s="773" t="s">
        <v>17</v>
      </c>
      <c r="U19" s="774">
        <f>H19</f>
        <v>100</v>
      </c>
      <c r="V19" s="773" t="s">
        <v>17</v>
      </c>
      <c r="W19" s="774">
        <f>J19</f>
        <v>100</v>
      </c>
      <c r="X19" s="1815"/>
      <c r="Y19" s="3214"/>
      <c r="Z19" s="1816" t="str">
        <f>Q19</f>
        <v>公共配套设施</v>
      </c>
      <c r="AA19" s="1813">
        <f t="shared" si="3"/>
        <v>1</v>
      </c>
      <c r="AB19" s="1813">
        <f t="shared" si="4"/>
        <v>1</v>
      </c>
      <c r="AC19" s="1813">
        <f t="shared" si="5"/>
        <v>1</v>
      </c>
    </row>
    <row r="20" spans="1:29" ht="15">
      <c r="A20" s="427"/>
      <c r="B20" s="455"/>
      <c r="C20" s="446"/>
      <c r="D20" s="447"/>
      <c r="E20" s="2603"/>
      <c r="F20" s="448"/>
      <c r="G20" s="2602"/>
      <c r="H20" s="447"/>
      <c r="I20" s="2603"/>
      <c r="J20" s="447"/>
      <c r="K20" s="614"/>
      <c r="L20" s="1142"/>
      <c r="M20" s="1133"/>
      <c r="N20" s="1133"/>
      <c r="O20" s="1141"/>
      <c r="P20" s="3214"/>
      <c r="Q20" s="1812"/>
      <c r="R20" s="773"/>
      <c r="S20" s="774"/>
      <c r="T20" s="773"/>
      <c r="U20" s="774"/>
      <c r="V20" s="773"/>
      <c r="W20" s="774"/>
      <c r="X20" s="1815"/>
      <c r="Y20" s="3214"/>
      <c r="Z20" s="1816"/>
      <c r="AA20" s="1813">
        <v>1</v>
      </c>
      <c r="AB20" s="1813">
        <v>1</v>
      </c>
      <c r="AC20" s="1813">
        <v>1</v>
      </c>
    </row>
    <row r="21" spans="1:29" ht="15">
      <c r="A21" s="427"/>
      <c r="B21" s="1386" t="s">
        <v>2677</v>
      </c>
      <c r="C21" s="2605">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214"/>
      <c r="Q21" s="1812" t="str">
        <f>B21</f>
        <v>基础设施水平</v>
      </c>
      <c r="R21" s="773" t="s">
        <v>17</v>
      </c>
      <c r="S21" s="774">
        <f>F21</f>
        <v>100</v>
      </c>
      <c r="T21" s="773" t="s">
        <v>17</v>
      </c>
      <c r="U21" s="774">
        <f>H21</f>
        <v>100</v>
      </c>
      <c r="V21" s="773" t="s">
        <v>17</v>
      </c>
      <c r="W21" s="774">
        <f>J21</f>
        <v>100</v>
      </c>
      <c r="X21" s="1815"/>
      <c r="Y21" s="3214"/>
      <c r="Z21" s="1816" t="str">
        <f>Q21</f>
        <v>基础设施水平</v>
      </c>
      <c r="AA21" s="1813">
        <f t="shared" ref="AA21" si="8">D21/F21</f>
        <v>1</v>
      </c>
      <c r="AB21" s="1813">
        <f t="shared" ref="AB21" si="9">D21/H21</f>
        <v>1</v>
      </c>
      <c r="AC21" s="1813">
        <f t="shared" ref="AC21" si="10">D21/J21</f>
        <v>1</v>
      </c>
    </row>
    <row r="22" spans="1:29" ht="15">
      <c r="A22" s="427"/>
      <c r="B22" s="1386"/>
      <c r="C22" s="2606"/>
      <c r="D22" s="447"/>
      <c r="E22" s="446"/>
      <c r="F22" s="448"/>
      <c r="G22" s="446"/>
      <c r="H22" s="447"/>
      <c r="I22" s="446"/>
      <c r="J22" s="447"/>
      <c r="K22" s="1385"/>
      <c r="L22" s="1142"/>
      <c r="M22" s="1133"/>
      <c r="N22" s="1133"/>
      <c r="O22" s="1141"/>
      <c r="P22" s="3214"/>
      <c r="Q22" s="1812"/>
      <c r="R22" s="773"/>
      <c r="S22" s="774"/>
      <c r="T22" s="773"/>
      <c r="U22" s="774"/>
      <c r="V22" s="773"/>
      <c r="W22" s="774"/>
      <c r="X22" s="1815"/>
      <c r="Y22" s="3214"/>
      <c r="Z22" s="1816"/>
      <c r="AA22" s="1813">
        <v>1</v>
      </c>
      <c r="AB22" s="1813">
        <v>1</v>
      </c>
      <c r="AC22" s="1813">
        <v>1</v>
      </c>
    </row>
    <row r="23" spans="1:29" ht="15">
      <c r="A23" s="427"/>
      <c r="B23" s="450" t="s">
        <v>2678</v>
      </c>
      <c r="C23" s="2605">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214"/>
      <c r="Q23" s="1812" t="str">
        <f>B23</f>
        <v>环境质量</v>
      </c>
      <c r="R23" s="773" t="s">
        <v>17</v>
      </c>
      <c r="S23" s="774">
        <f>F23</f>
        <v>100</v>
      </c>
      <c r="T23" s="773" t="s">
        <v>17</v>
      </c>
      <c r="U23" s="774">
        <f>H23</f>
        <v>100</v>
      </c>
      <c r="V23" s="773" t="s">
        <v>17</v>
      </c>
      <c r="W23" s="774">
        <f>J23</f>
        <v>100</v>
      </c>
      <c r="X23" s="1815"/>
      <c r="Y23" s="3214"/>
      <c r="Z23" s="1816" t="str">
        <f>Q23</f>
        <v>环境质量</v>
      </c>
      <c r="AA23" s="1813">
        <f t="shared" si="3"/>
        <v>1</v>
      </c>
      <c r="AB23" s="1813">
        <f t="shared" si="4"/>
        <v>1</v>
      </c>
      <c r="AC23" s="1813">
        <f t="shared" si="5"/>
        <v>1</v>
      </c>
    </row>
    <row r="24" spans="1:29" ht="15">
      <c r="A24" s="427"/>
      <c r="B24" s="1386"/>
      <c r="C24" s="446"/>
      <c r="D24" s="447"/>
      <c r="E24" s="2603"/>
      <c r="F24" s="448"/>
      <c r="G24" s="2602"/>
      <c r="H24" s="447"/>
      <c r="I24" s="2603"/>
      <c r="J24" s="447"/>
      <c r="K24" s="614"/>
      <c r="L24" s="1142"/>
      <c r="M24" s="1133"/>
      <c r="N24" s="1133"/>
      <c r="O24" s="1141"/>
      <c r="P24" s="3214"/>
      <c r="Q24" s="1812"/>
      <c r="R24" s="773"/>
      <c r="S24" s="774"/>
      <c r="T24" s="773"/>
      <c r="U24" s="774"/>
      <c r="V24" s="773"/>
      <c r="W24" s="774"/>
      <c r="X24" s="1815"/>
      <c r="Y24" s="3214"/>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214"/>
      <c r="Q25" s="1812">
        <f>B25</f>
        <v>111</v>
      </c>
      <c r="R25" s="773" t="s">
        <v>17</v>
      </c>
      <c r="S25" s="774">
        <f>F25</f>
        <v>100</v>
      </c>
      <c r="T25" s="773" t="s">
        <v>17</v>
      </c>
      <c r="U25" s="774">
        <f>H25</f>
        <v>100</v>
      </c>
      <c r="V25" s="773" t="s">
        <v>17</v>
      </c>
      <c r="W25" s="774">
        <f>J25</f>
        <v>100</v>
      </c>
      <c r="X25" s="1815"/>
      <c r="Y25" s="3214"/>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214"/>
      <c r="Q26" s="1812">
        <f t="shared" ref="Q26:Q40" si="11">B26</f>
        <v>111</v>
      </c>
      <c r="R26" s="773" t="s">
        <v>17</v>
      </c>
      <c r="S26" s="774">
        <f>F26</f>
        <v>100</v>
      </c>
      <c r="T26" s="773" t="s">
        <v>17</v>
      </c>
      <c r="U26" s="774">
        <f>H26</f>
        <v>100</v>
      </c>
      <c r="V26" s="773" t="s">
        <v>17</v>
      </c>
      <c r="W26" s="774">
        <f>J26</f>
        <v>100</v>
      </c>
      <c r="X26" s="1815"/>
      <c r="Y26" s="3214"/>
      <c r="Z26" s="1816">
        <f>Q26</f>
        <v>111</v>
      </c>
      <c r="AA26" s="1813">
        <f t="shared" si="3"/>
        <v>1</v>
      </c>
      <c r="AB26" s="1813">
        <f t="shared" si="4"/>
        <v>1</v>
      </c>
      <c r="AC26" s="1813">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214"/>
      <c r="Q27" s="1797">
        <f t="shared" si="11"/>
        <v>111</v>
      </c>
      <c r="R27" s="769" t="s">
        <v>17</v>
      </c>
      <c r="S27" s="770">
        <f>F27</f>
        <v>100</v>
      </c>
      <c r="T27" s="769" t="s">
        <v>17</v>
      </c>
      <c r="U27" s="770">
        <f>H27</f>
        <v>100</v>
      </c>
      <c r="V27" s="769" t="s">
        <v>17</v>
      </c>
      <c r="W27" s="770">
        <f>J27</f>
        <v>100</v>
      </c>
      <c r="X27" s="771"/>
      <c r="Y27" s="3214"/>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214"/>
      <c r="Q28" s="1812">
        <f t="shared" si="11"/>
        <v>111</v>
      </c>
      <c r="R28" s="773" t="s">
        <v>17</v>
      </c>
      <c r="S28" s="774">
        <f t="shared" ref="S28:S40" si="12">F28</f>
        <v>100</v>
      </c>
      <c r="T28" s="773" t="s">
        <v>17</v>
      </c>
      <c r="U28" s="774">
        <f t="shared" ref="U28:U40" si="13">H28</f>
        <v>100</v>
      </c>
      <c r="V28" s="773" t="s">
        <v>17</v>
      </c>
      <c r="W28" s="774">
        <f t="shared" ref="W28:W40" si="14">J28</f>
        <v>100</v>
      </c>
      <c r="X28" s="1815"/>
      <c r="Y28" s="3214"/>
      <c r="Z28" s="1816">
        <f t="shared" ref="Z28:Z40" si="15">Q28</f>
        <v>111</v>
      </c>
      <c r="AA28" s="1813">
        <f t="shared" si="3"/>
        <v>1</v>
      </c>
      <c r="AB28" s="1813">
        <f t="shared" si="4"/>
        <v>1</v>
      </c>
      <c r="AC28" s="1813">
        <f t="shared" si="5"/>
        <v>1</v>
      </c>
    </row>
    <row r="29" spans="1:29" ht="15">
      <c r="A29" s="465" t="s">
        <v>2551</v>
      </c>
      <c r="B29" s="71" t="s">
        <v>2681</v>
      </c>
      <c r="C29" s="2677"/>
      <c r="D29" s="466">
        <v>100</v>
      </c>
      <c r="E29" s="2677"/>
      <c r="F29" s="460">
        <f>SUMIF(88:88,E29,89:89)-SUMIF(88:88,C29,89:89)+100</f>
        <v>100</v>
      </c>
      <c r="G29" s="2677"/>
      <c r="H29" s="434">
        <f>SUMIF(88:88,G29,89:89)-SUMIF(88:88,C29,89:89)+100</f>
        <v>100</v>
      </c>
      <c r="I29" s="2677"/>
      <c r="J29" s="466">
        <f>SUMIF(88:88,I29,89:89)-SUMIF(88:88,C29,89:89)+100</f>
        <v>100</v>
      </c>
      <c r="K29" s="611"/>
      <c r="L29" s="1142"/>
      <c r="M29" s="1133"/>
      <c r="N29" s="1133"/>
      <c r="O29" s="1141"/>
      <c r="P29" s="3215" t="s">
        <v>2553</v>
      </c>
      <c r="Q29" s="1812" t="str">
        <f t="shared" si="11"/>
        <v>建筑类型</v>
      </c>
      <c r="R29" s="773" t="s">
        <v>17</v>
      </c>
      <c r="S29" s="774">
        <f t="shared" si="12"/>
        <v>100</v>
      </c>
      <c r="T29" s="773" t="s">
        <v>17</v>
      </c>
      <c r="U29" s="774">
        <f t="shared" si="13"/>
        <v>100</v>
      </c>
      <c r="V29" s="773" t="s">
        <v>17</v>
      </c>
      <c r="W29" s="774">
        <f t="shared" si="14"/>
        <v>100</v>
      </c>
      <c r="X29" s="1815"/>
      <c r="Y29" s="3216" t="s">
        <v>2553</v>
      </c>
      <c r="Z29" s="1816" t="str">
        <f t="shared" si="15"/>
        <v>建筑类型</v>
      </c>
      <c r="AA29" s="1813">
        <f t="shared" si="3"/>
        <v>1</v>
      </c>
      <c r="AB29" s="1813">
        <f t="shared" si="4"/>
        <v>1</v>
      </c>
      <c r="AC29" s="1813">
        <f t="shared" si="5"/>
        <v>1</v>
      </c>
    </row>
    <row r="30" spans="1:29" s="470" customFormat="1" ht="15">
      <c r="A30" s="467"/>
      <c r="B30" s="421" t="s">
        <v>2554</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216"/>
      <c r="Q30" s="775" t="str">
        <f t="shared" si="11"/>
        <v>项目建筑规模</v>
      </c>
      <c r="R30" s="776" t="s">
        <v>17</v>
      </c>
      <c r="S30" s="777" t="e">
        <f t="shared" si="12"/>
        <v>#N/A</v>
      </c>
      <c r="T30" s="776" t="s">
        <v>17</v>
      </c>
      <c r="U30" s="777" t="e">
        <f t="shared" si="13"/>
        <v>#N/A</v>
      </c>
      <c r="V30" s="776" t="s">
        <v>17</v>
      </c>
      <c r="W30" s="777" t="e">
        <f t="shared" si="14"/>
        <v>#N/A</v>
      </c>
      <c r="X30" s="778"/>
      <c r="Y30" s="3216"/>
      <c r="Z30" s="779" t="str">
        <f t="shared" si="15"/>
        <v>项目建筑规模</v>
      </c>
      <c r="AA30" s="1813" t="e">
        <f t="shared" si="3"/>
        <v>#N/A</v>
      </c>
      <c r="AB30" s="1813" t="e">
        <f t="shared" si="4"/>
        <v>#N/A</v>
      </c>
      <c r="AC30" s="1813" t="e">
        <f t="shared" si="5"/>
        <v>#N/A</v>
      </c>
    </row>
    <row r="31" spans="1:29" ht="15">
      <c r="A31" s="471"/>
      <c r="B31" s="421" t="s">
        <v>2555</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216"/>
      <c r="Q31" s="1812" t="str">
        <f t="shared" si="11"/>
        <v>建筑结构</v>
      </c>
      <c r="R31" s="773" t="s">
        <v>17</v>
      </c>
      <c r="S31" s="774">
        <f t="shared" si="12"/>
        <v>100</v>
      </c>
      <c r="T31" s="773" t="s">
        <v>17</v>
      </c>
      <c r="U31" s="774">
        <f t="shared" si="13"/>
        <v>100</v>
      </c>
      <c r="V31" s="773" t="s">
        <v>17</v>
      </c>
      <c r="W31" s="774">
        <f t="shared" si="14"/>
        <v>100</v>
      </c>
      <c r="X31" s="1815"/>
      <c r="Y31" s="3216"/>
      <c r="Z31" s="1816" t="str">
        <f t="shared" si="15"/>
        <v>建筑结构</v>
      </c>
      <c r="AA31" s="1813">
        <f t="shared" si="3"/>
        <v>1</v>
      </c>
      <c r="AB31" s="1813">
        <f t="shared" si="4"/>
        <v>1</v>
      </c>
      <c r="AC31" s="1813">
        <f t="shared" si="5"/>
        <v>1</v>
      </c>
    </row>
    <row r="32" spans="1:29" ht="15">
      <c r="A32" s="471"/>
      <c r="B32" s="421" t="s">
        <v>2649</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216"/>
      <c r="Q32" s="1812" t="str">
        <f t="shared" si="11"/>
        <v>公共部分装修</v>
      </c>
      <c r="R32" s="773" t="s">
        <v>17</v>
      </c>
      <c r="S32" s="774">
        <f t="shared" si="12"/>
        <v>100</v>
      </c>
      <c r="T32" s="773" t="s">
        <v>17</v>
      </c>
      <c r="U32" s="774">
        <f t="shared" si="13"/>
        <v>100</v>
      </c>
      <c r="V32" s="773" t="s">
        <v>17</v>
      </c>
      <c r="W32" s="774">
        <f t="shared" si="14"/>
        <v>100</v>
      </c>
      <c r="X32" s="1815"/>
      <c r="Y32" s="3216"/>
      <c r="Z32" s="1816" t="str">
        <f t="shared" si="15"/>
        <v>公共部分装修</v>
      </c>
      <c r="AA32" s="1813">
        <f t="shared" si="3"/>
        <v>1</v>
      </c>
      <c r="AB32" s="1813">
        <f t="shared" si="4"/>
        <v>1</v>
      </c>
      <c r="AC32" s="1813">
        <f t="shared" si="5"/>
        <v>1</v>
      </c>
    </row>
    <row r="33" spans="1:29" ht="15">
      <c r="A33" s="471"/>
      <c r="B33" s="421" t="s">
        <v>2650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216"/>
      <c r="Q33" s="1812" t="str">
        <f t="shared" si="11"/>
        <v>成新度</v>
      </c>
      <c r="R33" s="773" t="s">
        <v>17</v>
      </c>
      <c r="S33" s="774" t="e">
        <f t="shared" si="12"/>
        <v>#N/A</v>
      </c>
      <c r="T33" s="773" t="s">
        <v>17</v>
      </c>
      <c r="U33" s="774" t="e">
        <f t="shared" si="13"/>
        <v>#N/A</v>
      </c>
      <c r="V33" s="773" t="s">
        <v>17</v>
      </c>
      <c r="W33" s="774" t="e">
        <f t="shared" si="14"/>
        <v>#N/A</v>
      </c>
      <c r="X33" s="1815"/>
      <c r="Y33" s="3216"/>
      <c r="Z33" s="1816" t="str">
        <f t="shared" si="15"/>
        <v>成新度</v>
      </c>
      <c r="AA33" s="1813" t="e">
        <f t="shared" si="3"/>
        <v>#N/A</v>
      </c>
      <c r="AB33" s="1813" t="e">
        <f t="shared" si="4"/>
        <v>#N/A</v>
      </c>
      <c r="AC33" s="1813" t="e">
        <f t="shared" si="5"/>
        <v>#N/A</v>
      </c>
    </row>
    <row r="34" spans="1:29" s="117" customFormat="1" ht="15">
      <c r="A34" s="472"/>
      <c r="B34" s="421" t="s">
        <v>2683</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216"/>
      <c r="Q34" s="1797" t="str">
        <f t="shared" si="11"/>
        <v>物业管理</v>
      </c>
      <c r="R34" s="769" t="s">
        <v>17</v>
      </c>
      <c r="S34" s="770">
        <f t="shared" si="12"/>
        <v>100</v>
      </c>
      <c r="T34" s="769" t="s">
        <v>17</v>
      </c>
      <c r="U34" s="770">
        <f t="shared" si="13"/>
        <v>100</v>
      </c>
      <c r="V34" s="769" t="s">
        <v>17</v>
      </c>
      <c r="W34" s="770">
        <f t="shared" si="14"/>
        <v>100</v>
      </c>
      <c r="X34" s="771"/>
      <c r="Y34" s="3216"/>
      <c r="Z34" s="55" t="str">
        <f t="shared" si="15"/>
        <v>物业管理</v>
      </c>
      <c r="AA34" s="772">
        <f t="shared" si="3"/>
        <v>1</v>
      </c>
      <c r="AB34" s="772">
        <f t="shared" si="4"/>
        <v>1</v>
      </c>
      <c r="AC34" s="772">
        <f t="shared" si="5"/>
        <v>1</v>
      </c>
    </row>
    <row r="35" spans="1:29" ht="15">
      <c r="A35" s="471"/>
      <c r="B35" s="421" t="s">
        <v>2651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216" t="s">
        <v>2553</v>
      </c>
      <c r="Q35" s="1812" t="str">
        <f t="shared" si="11"/>
        <v>市政基础设施</v>
      </c>
      <c r="R35" s="773" t="s">
        <v>17</v>
      </c>
      <c r="S35" s="774">
        <f t="shared" si="12"/>
        <v>100</v>
      </c>
      <c r="T35" s="773" t="s">
        <v>17</v>
      </c>
      <c r="U35" s="774">
        <f t="shared" si="13"/>
        <v>100</v>
      </c>
      <c r="V35" s="773" t="s">
        <v>17</v>
      </c>
      <c r="W35" s="774">
        <f t="shared" si="14"/>
        <v>100</v>
      </c>
      <c r="X35" s="1815"/>
      <c r="Y35" s="3216" t="s">
        <v>2553</v>
      </c>
      <c r="Z35" s="1816" t="str">
        <f t="shared" si="15"/>
        <v>市政基础设施</v>
      </c>
      <c r="AA35" s="1813">
        <f t="shared" si="3"/>
        <v>1</v>
      </c>
      <c r="AB35" s="1813">
        <f t="shared" si="4"/>
        <v>1</v>
      </c>
      <c r="AC35" s="1813">
        <f t="shared" si="5"/>
        <v>1</v>
      </c>
    </row>
    <row r="36" spans="1:29" ht="15">
      <c r="A36" s="471"/>
      <c r="B36" s="421" t="s">
        <v>2656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216"/>
      <c r="Q36" s="1812" t="str">
        <f t="shared" si="11"/>
        <v>内部装修</v>
      </c>
      <c r="R36" s="773" t="s">
        <v>17</v>
      </c>
      <c r="S36" s="774">
        <f t="shared" si="12"/>
        <v>100</v>
      </c>
      <c r="T36" s="773" t="s">
        <v>17</v>
      </c>
      <c r="U36" s="774">
        <f t="shared" si="13"/>
        <v>100</v>
      </c>
      <c r="V36" s="773" t="s">
        <v>17</v>
      </c>
      <c r="W36" s="774">
        <f t="shared" si="14"/>
        <v>100</v>
      </c>
      <c r="X36" s="1815"/>
      <c r="Y36" s="3216"/>
      <c r="Z36" s="1816" t="str">
        <f t="shared" si="15"/>
        <v>内部装修</v>
      </c>
      <c r="AA36" s="1813">
        <f t="shared" si="3"/>
        <v>1</v>
      </c>
      <c r="AB36" s="1813">
        <f t="shared" si="4"/>
        <v>1</v>
      </c>
      <c r="AC36" s="1813">
        <f t="shared" si="5"/>
        <v>1</v>
      </c>
    </row>
    <row r="37" spans="1:29" ht="15">
      <c r="A37" s="471"/>
      <c r="B37" s="421" t="s">
        <v>2692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216"/>
      <c r="Q37" s="1812" t="str">
        <f t="shared" si="11"/>
        <v>内部装修状况</v>
      </c>
      <c r="R37" s="773" t="s">
        <v>17</v>
      </c>
      <c r="S37" s="774">
        <f t="shared" si="12"/>
        <v>100</v>
      </c>
      <c r="T37" s="773" t="s">
        <v>17</v>
      </c>
      <c r="U37" s="774">
        <f t="shared" si="13"/>
        <v>100</v>
      </c>
      <c r="V37" s="773" t="s">
        <v>17</v>
      </c>
      <c r="W37" s="774">
        <f t="shared" si="14"/>
        <v>100</v>
      </c>
      <c r="X37" s="1815"/>
      <c r="Y37" s="3216"/>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216"/>
      <c r="Q38" s="775">
        <f t="shared" si="11"/>
        <v>111</v>
      </c>
      <c r="R38" s="776" t="s">
        <v>17</v>
      </c>
      <c r="S38" s="777">
        <f t="shared" si="12"/>
        <v>100</v>
      </c>
      <c r="T38" s="776" t="s">
        <v>17</v>
      </c>
      <c r="U38" s="777">
        <f t="shared" si="13"/>
        <v>100</v>
      </c>
      <c r="V38" s="776" t="s">
        <v>17</v>
      </c>
      <c r="W38" s="777">
        <f t="shared" si="14"/>
        <v>100</v>
      </c>
      <c r="X38" s="778"/>
      <c r="Y38" s="3216"/>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216"/>
      <c r="Q39" s="1812">
        <f t="shared" si="11"/>
        <v>111</v>
      </c>
      <c r="R39" s="773" t="s">
        <v>17</v>
      </c>
      <c r="S39" s="774">
        <f t="shared" si="12"/>
        <v>100</v>
      </c>
      <c r="T39" s="773" t="s">
        <v>17</v>
      </c>
      <c r="U39" s="774">
        <f t="shared" si="13"/>
        <v>100</v>
      </c>
      <c r="V39" s="773" t="s">
        <v>17</v>
      </c>
      <c r="W39" s="774">
        <f t="shared" si="14"/>
        <v>100</v>
      </c>
      <c r="X39" s="1815"/>
      <c r="Y39" s="3216"/>
      <c r="Z39" s="1816">
        <f t="shared" si="15"/>
        <v>111</v>
      </c>
      <c r="AA39" s="1813">
        <f t="shared" si="3"/>
        <v>1</v>
      </c>
      <c r="AB39" s="1813">
        <f t="shared" si="4"/>
        <v>1</v>
      </c>
      <c r="AC39" s="1813">
        <f t="shared" si="5"/>
        <v>1</v>
      </c>
    </row>
    <row r="40" spans="1:29" ht="15.75" thickBot="1">
      <c r="A40" s="477"/>
      <c r="B40" s="2600">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82"/>
      <c r="Q40" s="1812">
        <f t="shared" si="11"/>
        <v>111</v>
      </c>
      <c r="R40" s="773" t="s">
        <v>17</v>
      </c>
      <c r="S40" s="774">
        <f t="shared" si="12"/>
        <v>100</v>
      </c>
      <c r="T40" s="773" t="s">
        <v>17</v>
      </c>
      <c r="U40" s="774">
        <f t="shared" si="13"/>
        <v>100</v>
      </c>
      <c r="V40" s="773" t="s">
        <v>17</v>
      </c>
      <c r="W40" s="774">
        <f t="shared" si="14"/>
        <v>100</v>
      </c>
      <c r="X40" s="1815"/>
      <c r="Y40" s="3282"/>
      <c r="Z40" s="1816">
        <f t="shared" si="15"/>
        <v>111</v>
      </c>
      <c r="AA40" s="1813">
        <f t="shared" si="3"/>
        <v>1</v>
      </c>
      <c r="AB40" s="1813">
        <f t="shared" si="4"/>
        <v>1</v>
      </c>
      <c r="AC40" s="1813">
        <f t="shared" si="5"/>
        <v>1</v>
      </c>
    </row>
    <row r="41" spans="1:29" ht="15">
      <c r="A41" s="478" t="s">
        <v>2565</v>
      </c>
      <c r="B41" s="479"/>
      <c r="C41" s="1409" t="s">
        <v>1</v>
      </c>
      <c r="D41" s="1410"/>
      <c r="E41" s="1411"/>
      <c r="F41" s="1412"/>
      <c r="G41" s="1413"/>
      <c r="H41" s="1414"/>
      <c r="I41" s="1411"/>
      <c r="J41" s="1414"/>
      <c r="K41" s="782"/>
      <c r="L41" s="1145"/>
      <c r="M41" s="1146"/>
      <c r="N41" s="1133"/>
      <c r="O41" s="1146"/>
      <c r="P41" s="3211" t="str">
        <f>A41</f>
        <v>成交单价（元/平方米）</v>
      </c>
      <c r="Q41" s="3211"/>
      <c r="R41" s="3278">
        <f>E41</f>
        <v>0</v>
      </c>
      <c r="S41" s="3278"/>
      <c r="T41" s="3278">
        <f>G41</f>
        <v>0</v>
      </c>
      <c r="U41" s="3278"/>
      <c r="V41" s="3278">
        <f>I41</f>
        <v>0</v>
      </c>
      <c r="W41" s="3278"/>
      <c r="X41" s="758"/>
      <c r="Y41" s="780"/>
      <c r="Z41" s="758"/>
      <c r="AA41" s="758"/>
      <c r="AB41" s="758"/>
      <c r="AC41" s="758"/>
    </row>
    <row r="42" spans="1:29" ht="15.75" thickBot="1">
      <c r="A42" s="485" t="s">
        <v>2657</v>
      </c>
      <c r="B42" s="486"/>
      <c r="C42" s="1415" t="e">
        <f>R43</f>
        <v>#DIV/0!</v>
      </c>
      <c r="D42" s="1416"/>
      <c r="E42" s="1417" t="e">
        <f>R42</f>
        <v>#DIV/0!</v>
      </c>
      <c r="F42" s="1417"/>
      <c r="G42" s="1415" t="e">
        <f>T42</f>
        <v>#DIV/0!</v>
      </c>
      <c r="H42" s="1416"/>
      <c r="I42" s="1417" t="e">
        <f>V42</f>
        <v>#DIV/0!</v>
      </c>
      <c r="J42" s="1416"/>
      <c r="K42" s="783"/>
      <c r="L42" s="1145"/>
      <c r="M42" s="1146"/>
      <c r="N42" s="1133"/>
      <c r="O42" s="1146"/>
      <c r="P42" s="3211" t="str">
        <f>A42</f>
        <v>比较价值（元/平方米）</v>
      </c>
      <c r="Q42" s="3211"/>
      <c r="R42" s="3278" t="e">
        <f>IF(F1="售价",ROUND(PRODUCT(R41,AA7:AA40),0),ROUND(PRODUCT(R41,AA7:AA40),1))</f>
        <v>#DIV/0!</v>
      </c>
      <c r="S42" s="3278"/>
      <c r="T42" s="3278" t="e">
        <f>IF(F1="售价",ROUND(PRODUCT(T41,AB7:AB40),0),ROUND(PRODUCT(T41,AB7:AB40),1))</f>
        <v>#DIV/0!</v>
      </c>
      <c r="U42" s="3278"/>
      <c r="V42" s="3278" t="e">
        <f>IF(F1="售价",ROUND(PRODUCT(V41,AC7:AC40),0),ROUND(PRODUCT(V41,AC7:AC40),1))</f>
        <v>#DIV/0!</v>
      </c>
      <c r="W42" s="3278"/>
      <c r="X42" s="758"/>
      <c r="Y42" s="758"/>
      <c r="Z42" s="758"/>
      <c r="AA42" s="758"/>
      <c r="AB42" s="758"/>
      <c r="AC42" s="758"/>
    </row>
    <row r="43" spans="1:29" ht="15.75" thickBot="1">
      <c r="A43" s="491" t="s">
        <v>2658</v>
      </c>
      <c r="B43" s="492"/>
      <c r="C43" s="1419" t="e">
        <f>R43</f>
        <v>#DIV/0!</v>
      </c>
      <c r="D43" s="1419"/>
      <c r="E43" s="1419"/>
      <c r="F43" s="1419"/>
      <c r="G43" s="1419"/>
      <c r="H43" s="1419"/>
      <c r="I43" s="1419"/>
      <c r="J43" s="1419"/>
      <c r="K43" s="784"/>
      <c r="L43" s="1145"/>
      <c r="M43" s="1146"/>
      <c r="N43" s="1146"/>
      <c r="O43" s="1146"/>
      <c r="P43" s="3205" t="str">
        <f>A43</f>
        <v>估价对象XX用房的比较价值（楼面单价，元/平方米）</v>
      </c>
      <c r="Q43" s="3206"/>
      <c r="R43" s="3277" t="e">
        <f>IF(F1="售价",ROUND(AVERAGE(R42:V42),0),ROUND(AVERAGE(R42:V42),1))</f>
        <v>#DIV/0!</v>
      </c>
      <c r="S43" s="3277"/>
      <c r="T43" s="3277"/>
      <c r="U43" s="3277"/>
      <c r="V43" s="3277"/>
      <c r="W43" s="3277"/>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2662</v>
      </c>
      <c r="B51" s="758"/>
      <c r="C51" s="763"/>
      <c r="D51" s="763"/>
      <c r="E51" s="763"/>
      <c r="F51" s="764"/>
      <c r="G51" s="764"/>
      <c r="H51" s="763"/>
      <c r="I51" s="763"/>
      <c r="J51" s="763"/>
      <c r="K51" s="1162"/>
      <c r="L51" s="1163"/>
      <c r="M51" s="1161"/>
      <c r="N51" s="1161"/>
      <c r="O51" s="1161"/>
      <c r="P51" s="502"/>
      <c r="Q51" s="503"/>
    </row>
    <row r="52" spans="1:17" s="507" customFormat="1" ht="15">
      <c r="A52" s="504" t="s">
        <v>2536</v>
      </c>
      <c r="B52" s="505"/>
      <c r="C52" s="1576" t="str">
        <f>YEAR(C7)&amp;"-"&amp;MONTH(C7)</f>
        <v>2018-5</v>
      </c>
      <c r="D52" s="1577">
        <f>EDATE(C52,-1)</f>
        <v>43191</v>
      </c>
      <c r="E52" s="1577">
        <f t="shared" ref="E52:O52" si="16">EDATE(D52,-1)</f>
        <v>43160</v>
      </c>
      <c r="F52" s="1577">
        <f t="shared" si="16"/>
        <v>43132</v>
      </c>
      <c r="G52" s="1577">
        <f t="shared" si="16"/>
        <v>43101</v>
      </c>
      <c r="H52" s="1577">
        <f t="shared" si="16"/>
        <v>43070</v>
      </c>
      <c r="I52" s="1577">
        <f t="shared" si="16"/>
        <v>43040</v>
      </c>
      <c r="J52" s="1577">
        <f t="shared" si="16"/>
        <v>43009</v>
      </c>
      <c r="K52" s="1577">
        <f t="shared" si="16"/>
        <v>42979</v>
      </c>
      <c r="L52" s="1577">
        <f t="shared" si="16"/>
        <v>42948</v>
      </c>
      <c r="M52" s="1577">
        <f t="shared" si="16"/>
        <v>42917</v>
      </c>
      <c r="N52" s="1577">
        <f t="shared" si="16"/>
        <v>42887</v>
      </c>
      <c r="O52" s="1577">
        <f t="shared" si="16"/>
        <v>42856</v>
      </c>
      <c r="P52" s="506"/>
    </row>
    <row r="53" spans="1:17" s="117" customFormat="1" ht="15">
      <c r="A53" s="508"/>
      <c r="B53" s="509"/>
      <c r="C53" s="1575">
        <v>100</v>
      </c>
      <c r="D53" s="511"/>
      <c r="E53" s="511"/>
      <c r="F53" s="511"/>
      <c r="G53" s="511"/>
      <c r="H53" s="511"/>
      <c r="I53" s="511"/>
      <c r="J53" s="511"/>
      <c r="K53" s="511"/>
      <c r="L53" s="511"/>
      <c r="M53" s="512"/>
      <c r="N53" s="511"/>
      <c r="O53" s="513"/>
      <c r="P53" s="503"/>
    </row>
    <row r="54" spans="1:17" s="117" customFormat="1" ht="15.75" thickBot="1">
      <c r="A54" s="514" t="s">
        <v>2573</v>
      </c>
      <c r="B54" s="515"/>
      <c r="C54" s="516"/>
      <c r="D54" s="517"/>
      <c r="E54" s="517"/>
      <c r="F54" s="517"/>
      <c r="G54" s="517"/>
      <c r="H54" s="517"/>
      <c r="I54" s="517"/>
      <c r="J54" s="517"/>
      <c r="K54" s="517"/>
      <c r="L54" s="517"/>
      <c r="M54" s="518"/>
      <c r="N54" s="517"/>
      <c r="O54" s="519"/>
      <c r="P54" s="503"/>
      <c r="Q54" s="503"/>
    </row>
    <row r="55" spans="1:17" s="117" customFormat="1" ht="15">
      <c r="A55" s="520" t="s">
        <v>2538</v>
      </c>
      <c r="B55" s="509"/>
      <c r="C55" s="521" t="s">
        <v>2640</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2576</v>
      </c>
      <c r="B57" s="527" t="s">
        <v>2542</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2545</v>
      </c>
      <c r="C59" s="538" t="s">
        <v>2577</v>
      </c>
      <c r="D59" s="538" t="s">
        <v>2578</v>
      </c>
      <c r="E59" s="538" t="s">
        <v>2579</v>
      </c>
      <c r="F59" s="538" t="s">
        <v>2580</v>
      </c>
      <c r="G59" s="538" t="s">
        <v>2581</v>
      </c>
      <c r="H59" s="538" t="s">
        <v>2582</v>
      </c>
      <c r="I59" s="538" t="s">
        <v>2583</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2546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2547</v>
      </c>
      <c r="B70" s="527" t="s">
        <v>2693</v>
      </c>
      <c r="C70" s="572" t="s">
        <v>2585</v>
      </c>
      <c r="D70" s="572" t="s">
        <v>2586</v>
      </c>
      <c r="E70" s="572" t="s">
        <v>2587</v>
      </c>
      <c r="F70" s="572" t="s">
        <v>2588</v>
      </c>
      <c r="G70" s="572" t="s">
        <v>2589</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2590</v>
      </c>
      <c r="C72" s="577" t="s">
        <v>2585</v>
      </c>
      <c r="D72" s="577" t="s">
        <v>2586</v>
      </c>
      <c r="E72" s="577" t="s">
        <v>2587</v>
      </c>
      <c r="F72" s="577" t="s">
        <v>2588</v>
      </c>
      <c r="G72" s="577" t="s">
        <v>2589</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2591</v>
      </c>
      <c r="C74" s="577" t="s">
        <v>2585</v>
      </c>
      <c r="D74" s="577" t="s">
        <v>2586</v>
      </c>
      <c r="E74" s="577" t="s">
        <v>2587</v>
      </c>
      <c r="F74" s="577" t="s">
        <v>2588</v>
      </c>
      <c r="G74" s="577" t="s">
        <v>2589</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2677</v>
      </c>
      <c r="C76" s="659" t="s">
        <v>2663</v>
      </c>
      <c r="D76" s="659" t="s">
        <v>2664</v>
      </c>
      <c r="E76" s="659" t="s">
        <v>2665</v>
      </c>
      <c r="F76" s="659" t="s">
        <v>2666</v>
      </c>
      <c r="G76" s="659" t="s">
        <v>2667</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2686</v>
      </c>
      <c r="C78" s="577" t="s">
        <v>2585</v>
      </c>
      <c r="D78" s="577" t="s">
        <v>2586</v>
      </c>
      <c r="E78" s="577" t="s">
        <v>2587</v>
      </c>
      <c r="F78" s="577" t="s">
        <v>2588</v>
      </c>
      <c r="G78" s="577" t="s">
        <v>2589</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4"/>
      <c r="B87" s="568"/>
      <c r="C87" s="569"/>
      <c r="D87" s="569"/>
      <c r="E87" s="569"/>
      <c r="F87" s="569"/>
      <c r="G87" s="590"/>
      <c r="H87" s="590"/>
      <c r="I87" s="590"/>
      <c r="J87" s="590"/>
      <c r="K87" s="590"/>
      <c r="L87" s="590"/>
      <c r="M87" s="591"/>
      <c r="N87" s="1155"/>
      <c r="O87" s="1155"/>
      <c r="P87" s="45"/>
      <c r="Q87" s="503"/>
    </row>
    <row r="88" spans="1:17">
      <c r="A88" s="526" t="s">
        <v>2551</v>
      </c>
      <c r="B88" s="527" t="s">
        <v>2600</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2601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2602</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2604</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1998</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2605</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2606</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2608</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2694</v>
      </c>
      <c r="C106" s="577" t="s">
        <v>2585</v>
      </c>
      <c r="D106" s="577" t="s">
        <v>2586</v>
      </c>
      <c r="E106" s="577" t="s">
        <v>2587</v>
      </c>
      <c r="F106" s="577" t="s">
        <v>2588</v>
      </c>
      <c r="G106" s="577" t="s">
        <v>2589</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4"/>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2695</v>
      </c>
      <c r="B1" s="1621"/>
      <c r="C1" s="1622" t="s">
        <v>2518</v>
      </c>
      <c r="D1" s="1623"/>
      <c r="E1" s="1624"/>
      <c r="F1" s="2582"/>
      <c r="G1" s="1625" t="s">
        <v>2631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2318</v>
      </c>
      <c r="B2" s="1420" t="e">
        <f ca="1">IF(C2="——",IF(B37="元/平方米",ROUND(C39*D3/10000,0),ROUND(F3*C39/10000,0)),IF(B37="元/平方米",ROUND(C39*D3/10000,0),ROUND(F3*C39/10000,0))-D2)</f>
        <v>#DIV/0!</v>
      </c>
      <c r="C2" s="2584"/>
      <c r="D2" s="1126" t="e">
        <f ca="1">SUMIF(INDIRECT("'"&amp;F2&amp;"'"&amp;"!A:A"),"承租人权益价值",INDIRECT("'"&amp;F2&amp;"'"&amp;"!c:c"))</f>
        <v>#REF!</v>
      </c>
      <c r="E2" s="2585" t="s">
        <v>2319</v>
      </c>
      <c r="F2" s="2586"/>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2320</v>
      </c>
      <c r="B3" s="608" t="e">
        <f ca="1">IF(AND(C2="——",B37="元/平方米"),C39,ROUND(B2*10000/D3,0))</f>
        <v>#DIV/0!</v>
      </c>
      <c r="C3" s="399" t="s">
        <v>2632</v>
      </c>
      <c r="D3" s="398">
        <f>SUMIF('数据-汇总表'!$C19:$C33,D1,'数据-汇总表'!$E19:$E33)</f>
        <v>0</v>
      </c>
      <c r="E3" s="399" t="s">
        <v>2696</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2633</v>
      </c>
      <c r="B4" s="401"/>
      <c r="C4" s="3208" t="s">
        <v>2634</v>
      </c>
      <c r="D4" s="3221"/>
      <c r="E4" s="3222" t="s">
        <v>2635</v>
      </c>
      <c r="F4" s="3223"/>
      <c r="G4" s="3208" t="s">
        <v>2636</v>
      </c>
      <c r="H4" s="3221"/>
      <c r="I4" s="3208" t="s">
        <v>2637</v>
      </c>
      <c r="J4" s="3221"/>
      <c r="K4" s="609" t="s">
        <v>2638</v>
      </c>
      <c r="L4" s="1132"/>
      <c r="M4" s="1133"/>
      <c r="N4" s="1133"/>
      <c r="O4" s="1133"/>
      <c r="P4" s="3224" t="s">
        <v>2639</v>
      </c>
      <c r="Q4" s="3225"/>
      <c r="R4" s="3230" t="s">
        <v>2635</v>
      </c>
      <c r="S4" s="3231"/>
      <c r="T4" s="3230" t="s">
        <v>2636</v>
      </c>
      <c r="U4" s="3231"/>
      <c r="V4" s="3217" t="s">
        <v>2637</v>
      </c>
      <c r="W4" s="3217"/>
      <c r="X4" s="1815"/>
      <c r="Y4" s="3230" t="s">
        <v>2639</v>
      </c>
      <c r="Z4" s="3231"/>
      <c r="AA4" s="3218" t="s">
        <v>2635</v>
      </c>
      <c r="AB4" s="3219" t="s">
        <v>2636</v>
      </c>
      <c r="AC4" s="3218" t="s">
        <v>2637</v>
      </c>
    </row>
    <row r="5" spans="1:29" ht="15">
      <c r="A5" s="403"/>
      <c r="B5" s="404"/>
      <c r="C5" s="3243" t="s">
        <v>2530</v>
      </c>
      <c r="D5" s="3239"/>
      <c r="E5" s="3286" t="s">
        <v>2531</v>
      </c>
      <c r="F5" s="3248"/>
      <c r="G5" s="3243" t="s">
        <v>2532</v>
      </c>
      <c r="H5" s="3239"/>
      <c r="I5" s="3243" t="s">
        <v>2533</v>
      </c>
      <c r="J5" s="3239"/>
      <c r="K5" s="609"/>
      <c r="L5" s="1132"/>
      <c r="M5" s="1133"/>
      <c r="N5" s="1133"/>
      <c r="O5" s="1133"/>
      <c r="P5" s="3226"/>
      <c r="Q5" s="3227"/>
      <c r="R5" s="3232"/>
      <c r="S5" s="3233"/>
      <c r="T5" s="3232"/>
      <c r="U5" s="3233"/>
      <c r="V5" s="3217"/>
      <c r="W5" s="3217"/>
      <c r="X5" s="1815"/>
      <c r="Y5" s="3232"/>
      <c r="Z5" s="3233"/>
      <c r="AA5" s="3219"/>
      <c r="AB5" s="3219"/>
      <c r="AC5" s="3219"/>
    </row>
    <row r="6" spans="1:29" ht="15.75" thickBot="1">
      <c r="A6" s="405"/>
      <c r="B6" s="406"/>
      <c r="C6" s="3244" t="s">
        <v>2534</v>
      </c>
      <c r="D6" s="3237"/>
      <c r="E6" s="3285" t="s">
        <v>2534</v>
      </c>
      <c r="F6" s="3246"/>
      <c r="G6" s="3244" t="s">
        <v>2534</v>
      </c>
      <c r="H6" s="3237"/>
      <c r="I6" s="3244" t="s">
        <v>2534</v>
      </c>
      <c r="J6" s="3237"/>
      <c r="K6" s="609" t="s">
        <v>2535</v>
      </c>
      <c r="L6" s="1132"/>
      <c r="M6" s="1133"/>
      <c r="N6" s="1133"/>
      <c r="O6" s="1133"/>
      <c r="P6" s="3228"/>
      <c r="Q6" s="3229"/>
      <c r="R6" s="3232"/>
      <c r="S6" s="3233"/>
      <c r="T6" s="3234"/>
      <c r="U6" s="3235"/>
      <c r="V6" s="3217"/>
      <c r="W6" s="3217"/>
      <c r="X6" s="1815"/>
      <c r="Y6" s="3234"/>
      <c r="Z6" s="3235"/>
      <c r="AA6" s="3220"/>
      <c r="AB6" s="3220"/>
      <c r="AC6" s="3220"/>
    </row>
    <row r="7" spans="1:29" s="117" customFormat="1" ht="15.75" thickBot="1">
      <c r="A7" s="407" t="s">
        <v>2536</v>
      </c>
      <c r="B7" s="408"/>
      <c r="C7" s="409">
        <f>'数据-取费表'!B2</f>
        <v>43248</v>
      </c>
      <c r="D7" s="410">
        <v>100</v>
      </c>
      <c r="E7" s="411"/>
      <c r="F7" s="412">
        <f>SUMIF(48:48,YEAR(E7)&amp;"-"&amp;MONTH(E7),49:49)</f>
        <v>0</v>
      </c>
      <c r="G7" s="411"/>
      <c r="H7" s="410">
        <f>SUMIF(48:48,YEAR(G7)&amp;"-"&amp;MONTH(G7),49:49)</f>
        <v>0</v>
      </c>
      <c r="I7" s="411"/>
      <c r="J7" s="410">
        <f>SUMIF(48:48,YEAR(I7)&amp;"-"&amp;MONTH(I7),49:49)</f>
        <v>0</v>
      </c>
      <c r="K7" s="610"/>
      <c r="L7" s="1134"/>
      <c r="M7" s="1135"/>
      <c r="N7" s="1135"/>
      <c r="O7" s="1135"/>
      <c r="P7" s="3240" t="s">
        <v>2537</v>
      </c>
      <c r="Q7" s="3242"/>
      <c r="R7" s="769" t="s">
        <v>17</v>
      </c>
      <c r="S7" s="770">
        <f t="shared" ref="S7:S14" si="0">F7</f>
        <v>0</v>
      </c>
      <c r="T7" s="769" t="s">
        <v>17</v>
      </c>
      <c r="U7" s="770">
        <f t="shared" ref="U7:U14" si="1">H7</f>
        <v>0</v>
      </c>
      <c r="V7" s="769" t="s">
        <v>17</v>
      </c>
      <c r="W7" s="770">
        <f t="shared" ref="W7:W14" si="2">J7</f>
        <v>0</v>
      </c>
      <c r="X7" s="771"/>
      <c r="Y7" s="3240" t="s">
        <v>2537</v>
      </c>
      <c r="Z7" s="3241"/>
      <c r="AA7" s="772" t="e">
        <f>D7/F7</f>
        <v>#DIV/0!</v>
      </c>
      <c r="AB7" s="772" t="e">
        <f>D7/H7</f>
        <v>#DIV/0!</v>
      </c>
      <c r="AC7" s="772" t="e">
        <f>D7/J7</f>
        <v>#DIV/0!</v>
      </c>
    </row>
    <row r="8" spans="1:29" s="117" customFormat="1" ht="15.75" thickBot="1">
      <c r="A8" s="407" t="s">
        <v>2538</v>
      </c>
      <c r="B8" s="408"/>
      <c r="C8" s="413" t="s">
        <v>2640</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240" t="s">
        <v>2540</v>
      </c>
      <c r="Q8" s="3241"/>
      <c r="R8" s="769" t="s">
        <v>17</v>
      </c>
      <c r="S8" s="770">
        <f t="shared" si="0"/>
        <v>0</v>
      </c>
      <c r="T8" s="769" t="s">
        <v>17</v>
      </c>
      <c r="U8" s="770">
        <f t="shared" si="1"/>
        <v>0</v>
      </c>
      <c r="V8" s="769" t="s">
        <v>17</v>
      </c>
      <c r="W8" s="770">
        <f t="shared" si="2"/>
        <v>0</v>
      </c>
      <c r="X8" s="771"/>
      <c r="Y8" s="3240" t="s">
        <v>2540</v>
      </c>
      <c r="Z8" s="3241"/>
      <c r="AA8" s="772" t="e">
        <f t="shared" ref="AA8:AA36" si="3">D8/F8</f>
        <v>#DIV/0!</v>
      </c>
      <c r="AB8" s="772" t="e">
        <f t="shared" ref="AB8:AB36" si="4">D8/H8</f>
        <v>#DIV/0!</v>
      </c>
      <c r="AC8" s="772" t="e">
        <f t="shared" ref="AC8:AC36" si="5">D8/J8</f>
        <v>#DIV/0!</v>
      </c>
    </row>
    <row r="9" spans="1:29" s="117" customFormat="1">
      <c r="A9" s="68" t="s">
        <v>2541</v>
      </c>
      <c r="B9" s="639" t="s">
        <v>2542</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211" t="s">
        <v>2543</v>
      </c>
      <c r="Q9" s="1797" t="str">
        <f t="shared" ref="Q9:Q14" si="6">B9</f>
        <v>用途</v>
      </c>
      <c r="R9" s="769" t="s">
        <v>17</v>
      </c>
      <c r="S9" s="770">
        <f t="shared" si="0"/>
        <v>100</v>
      </c>
      <c r="T9" s="769" t="s">
        <v>17</v>
      </c>
      <c r="U9" s="770">
        <f t="shared" si="1"/>
        <v>100</v>
      </c>
      <c r="V9" s="769" t="s">
        <v>17</v>
      </c>
      <c r="W9" s="770">
        <f t="shared" si="2"/>
        <v>100</v>
      </c>
      <c r="X9" s="771"/>
      <c r="Y9" s="3059" t="s">
        <v>2544</v>
      </c>
      <c r="Z9" s="55" t="str">
        <f t="shared" ref="Z9:Z14" si="7">Q9</f>
        <v>用途</v>
      </c>
      <c r="AA9" s="772">
        <f t="shared" si="3"/>
        <v>1</v>
      </c>
      <c r="AB9" s="772">
        <f t="shared" si="4"/>
        <v>1</v>
      </c>
      <c r="AC9" s="772">
        <f t="shared" si="5"/>
        <v>1</v>
      </c>
    </row>
    <row r="10" spans="1:29" s="426" customFormat="1" ht="27">
      <c r="A10" s="640"/>
      <c r="B10" s="641" t="s">
        <v>2545</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211"/>
      <c r="Q10" s="1797" t="str">
        <f t="shared" si="6"/>
        <v>土地使用年限（年）</v>
      </c>
      <c r="R10" s="769" t="s">
        <v>17</v>
      </c>
      <c r="S10" s="770">
        <f t="shared" si="0"/>
        <v>100</v>
      </c>
      <c r="T10" s="769" t="s">
        <v>17</v>
      </c>
      <c r="U10" s="770">
        <f t="shared" si="1"/>
        <v>100</v>
      </c>
      <c r="V10" s="769" t="s">
        <v>17</v>
      </c>
      <c r="W10" s="770">
        <f t="shared" si="2"/>
        <v>100</v>
      </c>
      <c r="X10" s="771"/>
      <c r="Y10" s="3059"/>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211"/>
      <c r="Q11" s="1797">
        <f t="shared" si="6"/>
        <v>111</v>
      </c>
      <c r="R11" s="769" t="s">
        <v>17</v>
      </c>
      <c r="S11" s="770">
        <f t="shared" si="0"/>
        <v>100</v>
      </c>
      <c r="T11" s="769" t="s">
        <v>17</v>
      </c>
      <c r="U11" s="770">
        <f t="shared" si="1"/>
        <v>100</v>
      </c>
      <c r="V11" s="769" t="s">
        <v>17</v>
      </c>
      <c r="W11" s="770">
        <f t="shared" si="2"/>
        <v>100</v>
      </c>
      <c r="X11" s="771"/>
      <c r="Y11" s="3059"/>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211"/>
      <c r="Q12" s="1797">
        <f t="shared" si="6"/>
        <v>111</v>
      </c>
      <c r="R12" s="769" t="s">
        <v>17</v>
      </c>
      <c r="S12" s="770">
        <f t="shared" si="0"/>
        <v>100</v>
      </c>
      <c r="T12" s="769" t="s">
        <v>17</v>
      </c>
      <c r="U12" s="770">
        <f t="shared" si="1"/>
        <v>100</v>
      </c>
      <c r="V12" s="769" t="s">
        <v>17</v>
      </c>
      <c r="W12" s="770">
        <f t="shared" si="2"/>
        <v>100</v>
      </c>
      <c r="X12" s="771"/>
      <c r="Y12" s="3059"/>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211"/>
      <c r="Q13" s="1797">
        <f t="shared" si="6"/>
        <v>111</v>
      </c>
      <c r="R13" s="769" t="s">
        <v>17</v>
      </c>
      <c r="S13" s="770">
        <f t="shared" si="0"/>
        <v>100</v>
      </c>
      <c r="T13" s="769" t="s">
        <v>17</v>
      </c>
      <c r="U13" s="770">
        <f t="shared" si="1"/>
        <v>100</v>
      </c>
      <c r="V13" s="769" t="s">
        <v>17</v>
      </c>
      <c r="W13" s="770">
        <f t="shared" si="2"/>
        <v>100</v>
      </c>
      <c r="X13" s="771"/>
      <c r="Y13" s="3059"/>
      <c r="Z13" s="55">
        <f t="shared" si="7"/>
        <v>111</v>
      </c>
      <c r="AA13" s="772">
        <f t="shared" si="3"/>
        <v>1</v>
      </c>
      <c r="AB13" s="772">
        <f t="shared" si="4"/>
        <v>1</v>
      </c>
      <c r="AC13" s="772">
        <f t="shared" si="5"/>
        <v>1</v>
      </c>
    </row>
    <row r="14" spans="1:29" ht="15">
      <c r="A14" s="400" t="s">
        <v>2547</v>
      </c>
      <c r="B14" s="628" t="s">
        <v>2697</v>
      </c>
      <c r="C14" s="2691">
        <f>IF(B1="工业",估价对象房地状况!G4,估价对象房地状况!C6)</f>
        <v>0</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213" t="s">
        <v>2548</v>
      </c>
      <c r="Q14" s="1812" t="str">
        <f t="shared" si="6"/>
        <v>交通便捷度</v>
      </c>
      <c r="R14" s="773" t="s">
        <v>17</v>
      </c>
      <c r="S14" s="774">
        <f t="shared" si="0"/>
        <v>100</v>
      </c>
      <c r="T14" s="773" t="s">
        <v>17</v>
      </c>
      <c r="U14" s="774">
        <f t="shared" si="1"/>
        <v>100</v>
      </c>
      <c r="V14" s="773" t="s">
        <v>17</v>
      </c>
      <c r="W14" s="774">
        <f t="shared" si="2"/>
        <v>100</v>
      </c>
      <c r="X14" s="1815"/>
      <c r="Y14" s="3213" t="s">
        <v>2548</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214"/>
      <c r="Q15" s="1812"/>
      <c r="R15" s="773"/>
      <c r="S15" s="774"/>
      <c r="T15" s="773"/>
      <c r="U15" s="774"/>
      <c r="V15" s="773"/>
      <c r="W15" s="774"/>
      <c r="X15" s="1815"/>
      <c r="Y15" s="3214"/>
      <c r="Z15" s="1816"/>
      <c r="AA15" s="1813">
        <v>1</v>
      </c>
      <c r="AB15" s="1813">
        <v>1</v>
      </c>
      <c r="AC15" s="1813">
        <v>1</v>
      </c>
    </row>
    <row r="16" spans="1:29" ht="15">
      <c r="A16" s="403"/>
      <c r="B16" s="630" t="s">
        <v>2676</v>
      </c>
      <c r="C16" s="2605">
        <f>IF(B1="工业",估价对象房地状况!G5,估价对象房地状况!C7)</f>
        <v>0</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214"/>
      <c r="Q16" s="1812" t="str">
        <f>B16</f>
        <v>公共配套设施</v>
      </c>
      <c r="R16" s="773" t="s">
        <v>17</v>
      </c>
      <c r="S16" s="774">
        <f>F16</f>
        <v>100</v>
      </c>
      <c r="T16" s="773" t="s">
        <v>17</v>
      </c>
      <c r="U16" s="774">
        <f>H16</f>
        <v>100</v>
      </c>
      <c r="V16" s="773" t="s">
        <v>17</v>
      </c>
      <c r="W16" s="774">
        <f>J16</f>
        <v>100</v>
      </c>
      <c r="X16" s="1815"/>
      <c r="Y16" s="3214"/>
      <c r="Z16" s="1816" t="str">
        <f>Q16</f>
        <v>公共配套设施</v>
      </c>
      <c r="AA16" s="1813">
        <f t="shared" si="3"/>
        <v>1</v>
      </c>
      <c r="AB16" s="1813">
        <f t="shared" si="4"/>
        <v>1</v>
      </c>
      <c r="AC16" s="1813">
        <f t="shared" si="5"/>
        <v>1</v>
      </c>
    </row>
    <row r="17" spans="1:29" ht="15">
      <c r="A17" s="403"/>
      <c r="B17" s="631"/>
      <c r="C17" s="2606"/>
      <c r="D17" s="447"/>
      <c r="E17" s="446"/>
      <c r="F17" s="448"/>
      <c r="G17" s="446"/>
      <c r="H17" s="447"/>
      <c r="I17" s="446"/>
      <c r="J17" s="447"/>
      <c r="K17" s="614"/>
      <c r="L17" s="1142"/>
      <c r="M17" s="1133"/>
      <c r="N17" s="1133"/>
      <c r="O17" s="1133"/>
      <c r="P17" s="3214"/>
      <c r="Q17" s="1812"/>
      <c r="R17" s="773"/>
      <c r="S17" s="774"/>
      <c r="T17" s="773"/>
      <c r="U17" s="774"/>
      <c r="V17" s="773"/>
      <c r="W17" s="774"/>
      <c r="X17" s="1815"/>
      <c r="Y17" s="3214"/>
      <c r="Z17" s="1816"/>
      <c r="AA17" s="1813">
        <v>1</v>
      </c>
      <c r="AB17" s="1813">
        <v>1</v>
      </c>
      <c r="AC17" s="1813">
        <v>1</v>
      </c>
    </row>
    <row r="18" spans="1:29" ht="15">
      <c r="A18" s="403"/>
      <c r="B18" s="632" t="s">
        <v>2677</v>
      </c>
      <c r="C18" s="2605">
        <f>IF(B1="工业",估价对象房地状况!G6,估价对象房地状况!C8)</f>
        <v>0</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214"/>
      <c r="Q18" s="1812" t="str">
        <f>B18</f>
        <v>基础设施水平</v>
      </c>
      <c r="R18" s="773" t="s">
        <v>17</v>
      </c>
      <c r="S18" s="774">
        <f>F18</f>
        <v>100</v>
      </c>
      <c r="T18" s="773" t="s">
        <v>17</v>
      </c>
      <c r="U18" s="774">
        <f>H18</f>
        <v>100</v>
      </c>
      <c r="V18" s="773" t="s">
        <v>17</v>
      </c>
      <c r="W18" s="774">
        <f>J18</f>
        <v>100</v>
      </c>
      <c r="X18" s="1815"/>
      <c r="Y18" s="3214"/>
      <c r="Z18" s="1816" t="str">
        <f>Q18</f>
        <v>基础设施水平</v>
      </c>
      <c r="AA18" s="1813">
        <f t="shared" ref="AA18" si="8">D18/F18</f>
        <v>1</v>
      </c>
      <c r="AB18" s="1813">
        <f t="shared" ref="AB18" si="9">D18/H18</f>
        <v>1</v>
      </c>
      <c r="AC18" s="1813">
        <f t="shared" ref="AC18" si="10">D18/J18</f>
        <v>1</v>
      </c>
    </row>
    <row r="19" spans="1:29" ht="15">
      <c r="A19" s="403"/>
      <c r="B19" s="632"/>
      <c r="C19" s="2606"/>
      <c r="D19" s="449"/>
      <c r="E19" s="2606"/>
      <c r="F19" s="452"/>
      <c r="G19" s="2606"/>
      <c r="H19" s="447"/>
      <c r="I19" s="446"/>
      <c r="J19" s="447"/>
      <c r="K19" s="1385"/>
      <c r="L19" s="1142"/>
      <c r="M19" s="1133"/>
      <c r="N19" s="1133"/>
      <c r="O19" s="1133"/>
      <c r="P19" s="3214"/>
      <c r="Q19" s="1812"/>
      <c r="R19" s="773"/>
      <c r="S19" s="774"/>
      <c r="T19" s="773"/>
      <c r="U19" s="774"/>
      <c r="V19" s="773"/>
      <c r="W19" s="774"/>
      <c r="X19" s="1815"/>
      <c r="Y19" s="3214"/>
      <c r="Z19" s="1816"/>
      <c r="AA19" s="1813">
        <v>1</v>
      </c>
      <c r="AB19" s="1813">
        <v>1</v>
      </c>
      <c r="AC19" s="1813">
        <v>1</v>
      </c>
    </row>
    <row r="20" spans="1:29" ht="15">
      <c r="A20" s="403"/>
      <c r="B20" s="630" t="s">
        <v>2698</v>
      </c>
      <c r="C20" s="2605">
        <f>IF(B1="工业",估价对象房地状况!G7,估价对象房地状况!C9)</f>
        <v>0</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214"/>
      <c r="Q20" s="1812" t="str">
        <f>B20</f>
        <v>自然及人文环境</v>
      </c>
      <c r="R20" s="773" t="s">
        <v>17</v>
      </c>
      <c r="S20" s="774">
        <f>F20</f>
        <v>100</v>
      </c>
      <c r="T20" s="773" t="s">
        <v>17</v>
      </c>
      <c r="U20" s="774">
        <f>H20</f>
        <v>100</v>
      </c>
      <c r="V20" s="773" t="s">
        <v>17</v>
      </c>
      <c r="W20" s="774">
        <f>J20</f>
        <v>100</v>
      </c>
      <c r="X20" s="1815"/>
      <c r="Y20" s="3214"/>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214"/>
      <c r="Q21" s="1812"/>
      <c r="R21" s="773"/>
      <c r="S21" s="774"/>
      <c r="T21" s="773"/>
      <c r="U21" s="774"/>
      <c r="V21" s="773"/>
      <c r="W21" s="774"/>
      <c r="X21" s="1815"/>
      <c r="Y21" s="3214"/>
      <c r="Z21" s="1816"/>
      <c r="AA21" s="1813">
        <v>1</v>
      </c>
      <c r="AB21" s="1813">
        <v>1</v>
      </c>
      <c r="AC21" s="1813">
        <v>1</v>
      </c>
    </row>
    <row r="22" spans="1:29" ht="15">
      <c r="A22" s="403"/>
      <c r="B22" s="630" t="s">
        <v>2699</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214"/>
      <c r="Q22" s="1812" t="str">
        <f>B22</f>
        <v>楼层</v>
      </c>
      <c r="R22" s="773" t="s">
        <v>17</v>
      </c>
      <c r="S22" s="774">
        <f>F22</f>
        <v>100</v>
      </c>
      <c r="T22" s="773" t="s">
        <v>17</v>
      </c>
      <c r="U22" s="774">
        <f>H22</f>
        <v>100</v>
      </c>
      <c r="V22" s="773" t="s">
        <v>17</v>
      </c>
      <c r="W22" s="774">
        <f>J22</f>
        <v>100</v>
      </c>
      <c r="X22" s="1815"/>
      <c r="Y22" s="3214"/>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214"/>
      <c r="Q23" s="1812">
        <f>B23</f>
        <v>111</v>
      </c>
      <c r="R23" s="773" t="s">
        <v>17</v>
      </c>
      <c r="S23" s="774">
        <f>F23</f>
        <v>100</v>
      </c>
      <c r="T23" s="773" t="s">
        <v>17</v>
      </c>
      <c r="U23" s="774">
        <f>H23</f>
        <v>100</v>
      </c>
      <c r="V23" s="773" t="s">
        <v>17</v>
      </c>
      <c r="W23" s="774">
        <f>J23</f>
        <v>100</v>
      </c>
      <c r="X23" s="1815"/>
      <c r="Y23" s="3214"/>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214"/>
      <c r="Q24" s="1812">
        <f t="shared" ref="Q24:Q36" si="11">B24</f>
        <v>111</v>
      </c>
      <c r="R24" s="773" t="s">
        <v>17</v>
      </c>
      <c r="S24" s="774">
        <f>F24</f>
        <v>100</v>
      </c>
      <c r="T24" s="773" t="s">
        <v>17</v>
      </c>
      <c r="U24" s="774">
        <f>H24</f>
        <v>100</v>
      </c>
      <c r="V24" s="773" t="s">
        <v>17</v>
      </c>
      <c r="W24" s="774">
        <f>J24</f>
        <v>100</v>
      </c>
      <c r="X24" s="1815"/>
      <c r="Y24" s="3214"/>
      <c r="Z24" s="1816">
        <f>Q24</f>
        <v>111</v>
      </c>
      <c r="AA24" s="1813">
        <f t="shared" si="3"/>
        <v>1</v>
      </c>
      <c r="AB24" s="1813">
        <f t="shared" si="4"/>
        <v>1</v>
      </c>
      <c r="AC24" s="1813">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214"/>
      <c r="Q25" s="1797">
        <f t="shared" si="11"/>
        <v>111</v>
      </c>
      <c r="R25" s="769" t="s">
        <v>17</v>
      </c>
      <c r="S25" s="770">
        <f>F25</f>
        <v>100</v>
      </c>
      <c r="T25" s="769" t="s">
        <v>17</v>
      </c>
      <c r="U25" s="770">
        <f>H25</f>
        <v>100</v>
      </c>
      <c r="V25" s="769" t="s">
        <v>17</v>
      </c>
      <c r="W25" s="770">
        <f>J25</f>
        <v>100</v>
      </c>
      <c r="X25" s="771"/>
      <c r="Y25" s="3214"/>
      <c r="Z25" s="55">
        <f>Q25</f>
        <v>111</v>
      </c>
      <c r="AA25" s="1813">
        <f>D25/F25</f>
        <v>1</v>
      </c>
      <c r="AB25" s="1813">
        <f>D25/H25</f>
        <v>1</v>
      </c>
      <c r="AC25" s="1813">
        <f>D25/J25</f>
        <v>1</v>
      </c>
    </row>
    <row r="26" spans="1:29" ht="15">
      <c r="A26" s="651" t="s">
        <v>2551</v>
      </c>
      <c r="B26" s="70" t="s">
        <v>2700</v>
      </c>
      <c r="C26" s="2692">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15" t="s">
        <v>2553</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16" t="s">
        <v>2553</v>
      </c>
      <c r="Z26" s="1816" t="str">
        <f t="shared" ref="Z26:Z36" si="15">Q26</f>
        <v>配套类型</v>
      </c>
      <c r="AA26" s="1813">
        <f t="shared" si="3"/>
        <v>1</v>
      </c>
      <c r="AB26" s="1813">
        <f t="shared" si="4"/>
        <v>1</v>
      </c>
      <c r="AC26" s="1813">
        <f t="shared" si="5"/>
        <v>1</v>
      </c>
    </row>
    <row r="27" spans="1:29" s="470" customFormat="1" ht="15">
      <c r="A27" s="652"/>
      <c r="B27" s="653" t="s">
        <v>2701</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16"/>
      <c r="Q27" s="775" t="str">
        <f t="shared" si="11"/>
        <v>项目停车位配比</v>
      </c>
      <c r="R27" s="776" t="s">
        <v>17</v>
      </c>
      <c r="S27" s="777">
        <f t="shared" si="12"/>
        <v>100</v>
      </c>
      <c r="T27" s="776" t="s">
        <v>17</v>
      </c>
      <c r="U27" s="777">
        <f t="shared" si="13"/>
        <v>100</v>
      </c>
      <c r="V27" s="776" t="s">
        <v>17</v>
      </c>
      <c r="W27" s="777">
        <f t="shared" si="14"/>
        <v>100</v>
      </c>
      <c r="X27" s="778"/>
      <c r="Y27" s="3216"/>
      <c r="Z27" s="779" t="str">
        <f t="shared" si="15"/>
        <v>项目停车位配比</v>
      </c>
      <c r="AA27" s="1813">
        <f t="shared" si="3"/>
        <v>1</v>
      </c>
      <c r="AB27" s="1813">
        <f t="shared" si="4"/>
        <v>1</v>
      </c>
      <c r="AC27" s="1813">
        <f t="shared" si="5"/>
        <v>1</v>
      </c>
    </row>
    <row r="28" spans="1:29" ht="15">
      <c r="A28" s="655"/>
      <c r="B28" s="653" t="s">
        <v>2702</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216"/>
      <c r="Q28" s="1812" t="str">
        <f t="shared" si="11"/>
        <v>公共部分装修</v>
      </c>
      <c r="R28" s="773" t="s">
        <v>17</v>
      </c>
      <c r="S28" s="774">
        <f t="shared" si="12"/>
        <v>100</v>
      </c>
      <c r="T28" s="773" t="s">
        <v>17</v>
      </c>
      <c r="U28" s="774">
        <f t="shared" si="13"/>
        <v>100</v>
      </c>
      <c r="V28" s="773" t="s">
        <v>17</v>
      </c>
      <c r="W28" s="774">
        <f t="shared" si="14"/>
        <v>100</v>
      </c>
      <c r="X28" s="1815"/>
      <c r="Y28" s="3216"/>
      <c r="Z28" s="1816" t="str">
        <f t="shared" si="15"/>
        <v>公共部分装修</v>
      </c>
      <c r="AA28" s="1813">
        <f t="shared" si="3"/>
        <v>1</v>
      </c>
      <c r="AB28" s="1813">
        <f t="shared" si="4"/>
        <v>1</v>
      </c>
      <c r="AC28" s="1813">
        <f t="shared" si="5"/>
        <v>1</v>
      </c>
    </row>
    <row r="29" spans="1:29" ht="15">
      <c r="A29" s="655"/>
      <c r="B29" s="653" t="s">
        <v>2703</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216"/>
      <c r="Q29" s="1812" t="str">
        <f t="shared" si="11"/>
        <v>成新率</v>
      </c>
      <c r="R29" s="773" t="s">
        <v>17</v>
      </c>
      <c r="S29" s="774" t="e">
        <f t="shared" si="12"/>
        <v>#N/A</v>
      </c>
      <c r="T29" s="773" t="s">
        <v>17</v>
      </c>
      <c r="U29" s="774" t="e">
        <f t="shared" si="13"/>
        <v>#N/A</v>
      </c>
      <c r="V29" s="773" t="s">
        <v>17</v>
      </c>
      <c r="W29" s="774" t="e">
        <f t="shared" si="14"/>
        <v>#N/A</v>
      </c>
      <c r="X29" s="1815"/>
      <c r="Y29" s="3216"/>
      <c r="Z29" s="1816" t="str">
        <f t="shared" si="15"/>
        <v>成新率</v>
      </c>
      <c r="AA29" s="1813" t="e">
        <f t="shared" si="3"/>
        <v>#N/A</v>
      </c>
      <c r="AB29" s="1813" t="e">
        <f t="shared" si="4"/>
        <v>#N/A</v>
      </c>
      <c r="AC29" s="1813" t="e">
        <f t="shared" si="5"/>
        <v>#N/A</v>
      </c>
    </row>
    <row r="30" spans="1:29" ht="15">
      <c r="A30" s="655"/>
      <c r="B30" s="653" t="s">
        <v>2704</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16"/>
      <c r="Q30" s="1812" t="str">
        <f t="shared" si="11"/>
        <v>物业等级</v>
      </c>
      <c r="R30" s="773" t="s">
        <v>17</v>
      </c>
      <c r="S30" s="774">
        <f t="shared" si="12"/>
        <v>100</v>
      </c>
      <c r="T30" s="773" t="s">
        <v>17</v>
      </c>
      <c r="U30" s="774">
        <f t="shared" si="13"/>
        <v>100</v>
      </c>
      <c r="V30" s="773" t="s">
        <v>17</v>
      </c>
      <c r="W30" s="774">
        <f t="shared" si="14"/>
        <v>100</v>
      </c>
      <c r="X30" s="1815"/>
      <c r="Y30" s="3216"/>
      <c r="Z30" s="1816" t="str">
        <f t="shared" si="15"/>
        <v>物业等级</v>
      </c>
      <c r="AA30" s="1813">
        <f t="shared" si="3"/>
        <v>1</v>
      </c>
      <c r="AB30" s="1813">
        <f t="shared" si="4"/>
        <v>1</v>
      </c>
      <c r="AC30" s="1813">
        <f t="shared" si="5"/>
        <v>1</v>
      </c>
    </row>
    <row r="31" spans="1:29" s="117" customFormat="1" ht="15">
      <c r="A31" s="657"/>
      <c r="B31" s="653" t="s">
        <v>2705</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216"/>
      <c r="Q31" s="1797" t="str">
        <f t="shared" si="11"/>
        <v>停车位面积</v>
      </c>
      <c r="R31" s="769" t="s">
        <v>17</v>
      </c>
      <c r="S31" s="770" t="e">
        <f t="shared" si="12"/>
        <v>#N/A</v>
      </c>
      <c r="T31" s="769" t="s">
        <v>17</v>
      </c>
      <c r="U31" s="770" t="e">
        <f t="shared" si="13"/>
        <v>#N/A</v>
      </c>
      <c r="V31" s="769" t="s">
        <v>17</v>
      </c>
      <c r="W31" s="770" t="e">
        <f t="shared" si="14"/>
        <v>#N/A</v>
      </c>
      <c r="X31" s="771"/>
      <c r="Y31" s="3216"/>
      <c r="Z31" s="55" t="str">
        <f t="shared" si="15"/>
        <v>停车位面积</v>
      </c>
      <c r="AA31" s="772" t="e">
        <f t="shared" si="3"/>
        <v>#N/A</v>
      </c>
      <c r="AB31" s="772" t="e">
        <f t="shared" si="4"/>
        <v>#N/A</v>
      </c>
      <c r="AC31" s="772" t="e">
        <f t="shared" si="5"/>
        <v>#N/A</v>
      </c>
    </row>
    <row r="32" spans="1:29" ht="15">
      <c r="A32" s="655"/>
      <c r="B32" s="653" t="s">
        <v>2706</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216" t="s">
        <v>2553</v>
      </c>
      <c r="Q32" s="1812" t="str">
        <f t="shared" si="11"/>
        <v>车位类型</v>
      </c>
      <c r="R32" s="773" t="s">
        <v>17</v>
      </c>
      <c r="S32" s="774">
        <f t="shared" si="12"/>
        <v>100</v>
      </c>
      <c r="T32" s="773" t="s">
        <v>17</v>
      </c>
      <c r="U32" s="774">
        <f t="shared" si="13"/>
        <v>100</v>
      </c>
      <c r="V32" s="773" t="s">
        <v>17</v>
      </c>
      <c r="W32" s="774">
        <f t="shared" si="14"/>
        <v>100</v>
      </c>
      <c r="X32" s="1815"/>
      <c r="Y32" s="3216" t="s">
        <v>2553</v>
      </c>
      <c r="Z32" s="1816" t="str">
        <f t="shared" si="15"/>
        <v>车位类型</v>
      </c>
      <c r="AA32" s="1813">
        <f t="shared" si="3"/>
        <v>1</v>
      </c>
      <c r="AB32" s="1813">
        <f t="shared" si="4"/>
        <v>1</v>
      </c>
      <c r="AC32" s="1813">
        <f t="shared" si="5"/>
        <v>1</v>
      </c>
    </row>
    <row r="33" spans="1:29" ht="15">
      <c r="A33" s="655"/>
      <c r="B33" s="653" t="s">
        <v>2707</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216"/>
      <c r="Q33" s="1812" t="str">
        <f t="shared" si="11"/>
        <v>是否直接入户</v>
      </c>
      <c r="R33" s="773" t="s">
        <v>17</v>
      </c>
      <c r="S33" s="774">
        <f t="shared" si="12"/>
        <v>100</v>
      </c>
      <c r="T33" s="773" t="s">
        <v>17</v>
      </c>
      <c r="U33" s="774">
        <f t="shared" si="13"/>
        <v>100</v>
      </c>
      <c r="V33" s="773" t="s">
        <v>17</v>
      </c>
      <c r="W33" s="774">
        <f t="shared" si="14"/>
        <v>100</v>
      </c>
      <c r="X33" s="1815"/>
      <c r="Y33" s="3216"/>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16"/>
      <c r="Q34" s="1812">
        <f t="shared" si="11"/>
        <v>111</v>
      </c>
      <c r="R34" s="773" t="s">
        <v>17</v>
      </c>
      <c r="S34" s="774">
        <f t="shared" si="12"/>
        <v>100</v>
      </c>
      <c r="T34" s="773" t="s">
        <v>17</v>
      </c>
      <c r="U34" s="774">
        <f t="shared" si="13"/>
        <v>100</v>
      </c>
      <c r="V34" s="773" t="s">
        <v>17</v>
      </c>
      <c r="W34" s="774">
        <f t="shared" si="14"/>
        <v>100</v>
      </c>
      <c r="X34" s="1815"/>
      <c r="Y34" s="3216"/>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16"/>
      <c r="Q35" s="775">
        <f t="shared" si="11"/>
        <v>111</v>
      </c>
      <c r="R35" s="776" t="s">
        <v>17</v>
      </c>
      <c r="S35" s="777">
        <f t="shared" si="12"/>
        <v>100</v>
      </c>
      <c r="T35" s="776" t="s">
        <v>17</v>
      </c>
      <c r="U35" s="777">
        <f t="shared" si="13"/>
        <v>100</v>
      </c>
      <c r="V35" s="776" t="s">
        <v>17</v>
      </c>
      <c r="W35" s="777">
        <f t="shared" si="14"/>
        <v>100</v>
      </c>
      <c r="X35" s="778"/>
      <c r="Y35" s="3216"/>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16"/>
      <c r="Q36" s="1812">
        <f t="shared" si="11"/>
        <v>111</v>
      </c>
      <c r="R36" s="773" t="s">
        <v>17</v>
      </c>
      <c r="S36" s="774">
        <f t="shared" si="12"/>
        <v>100</v>
      </c>
      <c r="T36" s="773" t="s">
        <v>17</v>
      </c>
      <c r="U36" s="774">
        <f t="shared" si="13"/>
        <v>100</v>
      </c>
      <c r="V36" s="773" t="s">
        <v>17</v>
      </c>
      <c r="W36" s="774">
        <f t="shared" si="14"/>
        <v>100</v>
      </c>
      <c r="X36" s="1815"/>
      <c r="Y36" s="3216"/>
      <c r="Z36" s="1816">
        <f t="shared" si="15"/>
        <v>111</v>
      </c>
      <c r="AA36" s="1813">
        <f t="shared" si="3"/>
        <v>1</v>
      </c>
      <c r="AB36" s="1813">
        <f t="shared" si="4"/>
        <v>1</v>
      </c>
      <c r="AC36" s="1813">
        <f t="shared" si="5"/>
        <v>1</v>
      </c>
    </row>
    <row r="37" spans="1:29" ht="15">
      <c r="A37" s="478" t="s">
        <v>2708</v>
      </c>
      <c r="B37" s="2693" t="s">
        <v>2709</v>
      </c>
      <c r="C37" s="1409" t="s">
        <v>1</v>
      </c>
      <c r="D37" s="1410"/>
      <c r="E37" s="1411"/>
      <c r="F37" s="1412"/>
      <c r="G37" s="1413"/>
      <c r="H37" s="1414"/>
      <c r="I37" s="1411"/>
      <c r="J37" s="1414"/>
      <c r="K37" s="618"/>
      <c r="L37" s="1145"/>
      <c r="M37" s="1146"/>
      <c r="N37" s="1133"/>
      <c r="O37" s="1146"/>
      <c r="P37" s="3211" t="str">
        <f>A37</f>
        <v>成交单价</v>
      </c>
      <c r="Q37" s="3211"/>
      <c r="R37" s="3278">
        <f>E37</f>
        <v>0</v>
      </c>
      <c r="S37" s="3278"/>
      <c r="T37" s="3278">
        <f>G37</f>
        <v>0</v>
      </c>
      <c r="U37" s="3278"/>
      <c r="V37" s="3278">
        <f>I37</f>
        <v>0</v>
      </c>
      <c r="W37" s="3278"/>
      <c r="X37" s="758"/>
      <c r="Y37" s="780"/>
      <c r="Z37" s="758"/>
      <c r="AA37" s="758"/>
      <c r="AB37" s="758"/>
      <c r="AC37" s="758"/>
    </row>
    <row r="38" spans="1:29" ht="15.75" thickBot="1">
      <c r="A38" s="485" t="s">
        <v>2710</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211" t="str">
        <f>A38</f>
        <v>比较价值（元/平方米）</v>
      </c>
      <c r="Q38" s="3211"/>
      <c r="R38" s="3278" t="e">
        <f>IF(F1="售价",ROUND(PRODUCT(R37,AA7:AA36),0),ROUND(PRODUCT(R37,AA7:AA36),1))</f>
        <v>#DIV/0!</v>
      </c>
      <c r="S38" s="3278"/>
      <c r="T38" s="3278" t="e">
        <f>IF(F1="售价",ROUND(PRODUCT(T37,AB7:AB36),0),ROUND(PRODUCT(T37,AB7:AB36),1))</f>
        <v>#DIV/0!</v>
      </c>
      <c r="U38" s="3278"/>
      <c r="V38" s="3278" t="e">
        <f>IF(F1="售价",ROUND(PRODUCT(V37,AC7:AC36),0),ROUND(PRODUCT(V37,AC7:AC36),1))</f>
        <v>#DIV/0!</v>
      </c>
      <c r="W38" s="3278"/>
      <c r="X38" s="758"/>
      <c r="Y38" s="758"/>
      <c r="Z38" s="758"/>
      <c r="AA38" s="758"/>
      <c r="AB38" s="758"/>
      <c r="AC38" s="758"/>
    </row>
    <row r="39" spans="1:29" ht="15.75" thickBot="1">
      <c r="A39" s="491" t="s">
        <v>2711</v>
      </c>
      <c r="B39" s="492"/>
      <c r="C39" s="1419" t="e">
        <f>R39</f>
        <v>#DIV/0!</v>
      </c>
      <c r="D39" s="1419"/>
      <c r="E39" s="1419"/>
      <c r="F39" s="1419"/>
      <c r="G39" s="1419"/>
      <c r="H39" s="1419"/>
      <c r="I39" s="1419"/>
      <c r="J39" s="1419"/>
      <c r="K39" s="620"/>
      <c r="L39" s="1145"/>
      <c r="M39" s="1146"/>
      <c r="N39" s="1146"/>
      <c r="O39" s="1146"/>
      <c r="P39" s="3205" t="str">
        <f>A39</f>
        <v>估价对象XX用房的比较价值（楼面单价，元/平方米）</v>
      </c>
      <c r="Q39" s="3206"/>
      <c r="R39" s="3277" t="e">
        <f>IF(F1="售价",ROUND(AVERAGE(R38:V38),0),ROUND(AVERAGE(R38:V38),1))</f>
        <v>#DIV/0!</v>
      </c>
      <c r="S39" s="3277"/>
      <c r="T39" s="3277"/>
      <c r="U39" s="3277"/>
      <c r="V39" s="3277"/>
      <c r="W39" s="3277"/>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2712</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2713</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2714</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2715</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2716</v>
      </c>
      <c r="B48" s="505"/>
      <c r="C48" s="1576" t="str">
        <f>YEAR(C7)&amp;"-"&amp;MONTH(C7)</f>
        <v>2018-5</v>
      </c>
      <c r="D48" s="1577">
        <f>EDATE(C48,-1)</f>
        <v>43191</v>
      </c>
      <c r="E48" s="1577">
        <f t="shared" ref="E48:O48" si="16">EDATE(D48,-1)</f>
        <v>43160</v>
      </c>
      <c r="F48" s="1577">
        <f t="shared" si="16"/>
        <v>43132</v>
      </c>
      <c r="G48" s="1577">
        <f t="shared" si="16"/>
        <v>43101</v>
      </c>
      <c r="H48" s="1577">
        <f t="shared" si="16"/>
        <v>43070</v>
      </c>
      <c r="I48" s="1577">
        <f t="shared" si="16"/>
        <v>43040</v>
      </c>
      <c r="J48" s="1577">
        <f t="shared" si="16"/>
        <v>43009</v>
      </c>
      <c r="K48" s="1577">
        <f t="shared" si="16"/>
        <v>42979</v>
      </c>
      <c r="L48" s="1577">
        <f t="shared" si="16"/>
        <v>42948</v>
      </c>
      <c r="M48" s="1577">
        <f t="shared" si="16"/>
        <v>42917</v>
      </c>
      <c r="N48" s="1577">
        <f t="shared" si="16"/>
        <v>42887</v>
      </c>
      <c r="O48" s="1577">
        <f t="shared" si="16"/>
        <v>42856</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2573</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2538</v>
      </c>
      <c r="B51" s="509"/>
      <c r="C51" s="521" t="s">
        <v>2640</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2576</v>
      </c>
      <c r="B53" s="527" t="s">
        <v>2542</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2545</v>
      </c>
      <c r="C55" s="538" t="s">
        <v>2577</v>
      </c>
      <c r="D55" s="538" t="s">
        <v>2578</v>
      </c>
      <c r="E55" s="538" t="s">
        <v>2579</v>
      </c>
      <c r="F55" s="538" t="s">
        <v>2580</v>
      </c>
      <c r="G55" s="538" t="s">
        <v>2581</v>
      </c>
      <c r="H55" s="538" t="s">
        <v>2582</v>
      </c>
      <c r="I55" s="538" t="s">
        <v>2583</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2547</v>
      </c>
      <c r="B63" s="527" t="s">
        <v>2590</v>
      </c>
      <c r="C63" s="572" t="s">
        <v>2585</v>
      </c>
      <c r="D63" s="572" t="s">
        <v>2586</v>
      </c>
      <c r="E63" s="572" t="s">
        <v>2587</v>
      </c>
      <c r="F63" s="572" t="s">
        <v>2588</v>
      </c>
      <c r="G63" s="572" t="s">
        <v>2589</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2591</v>
      </c>
      <c r="C65" s="577" t="s">
        <v>2585</v>
      </c>
      <c r="D65" s="577" t="s">
        <v>2586</v>
      </c>
      <c r="E65" s="577" t="s">
        <v>2587</v>
      </c>
      <c r="F65" s="577" t="s">
        <v>2588</v>
      </c>
      <c r="G65" s="577" t="s">
        <v>2589</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2677</v>
      </c>
      <c r="C67" s="659" t="s">
        <v>2663</v>
      </c>
      <c r="D67" s="659" t="s">
        <v>2664</v>
      </c>
      <c r="E67" s="659" t="s">
        <v>2665</v>
      </c>
      <c r="F67" s="659" t="s">
        <v>2666</v>
      </c>
      <c r="G67" s="659" t="s">
        <v>2667</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2597</v>
      </c>
      <c r="C69" s="577" t="s">
        <v>2585</v>
      </c>
      <c r="D69" s="577" t="s">
        <v>2586</v>
      </c>
      <c r="E69" s="577" t="s">
        <v>2587</v>
      </c>
      <c r="F69" s="577" t="s">
        <v>2588</v>
      </c>
      <c r="G69" s="577" t="s">
        <v>2589</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2717</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2551</v>
      </c>
      <c r="B79" s="527" t="s">
        <v>2718</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2719</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2604</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2720</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2721</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2722</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2723</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2724</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2695</v>
      </c>
      <c r="B1" s="1621"/>
      <c r="C1" s="1622" t="s">
        <v>2518</v>
      </c>
      <c r="D1" s="1623"/>
      <c r="E1" s="1632"/>
      <c r="F1" s="2582"/>
      <c r="G1" s="1633" t="s">
        <v>2631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2318</v>
      </c>
      <c r="B2" s="1420" t="e">
        <f ca="1">IF(C2="——",ROUND(C37*D3/10000,0),ROUND(C37*D3/10000,0)-D2)</f>
        <v>#DIV/0!</v>
      </c>
      <c r="C2" s="2584"/>
      <c r="D2" s="1126" t="e">
        <f ca="1">SUMIF(INDIRECT("'"&amp;F2&amp;"'"&amp;"!A:A"),"承租人权益价值",INDIRECT("'"&amp;F2&amp;"'"&amp;"!c:c"))</f>
        <v>#REF!</v>
      </c>
      <c r="E2" s="2585" t="s">
        <v>2319</v>
      </c>
      <c r="F2" s="2586"/>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2320</v>
      </c>
      <c r="B3" s="608" t="e">
        <f ca="1">IF(C2="——",C37,ROUND(B2*10000/D3,0))</f>
        <v>#DIV/0!</v>
      </c>
      <c r="C3" s="399" t="s">
        <v>2632</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2633</v>
      </c>
      <c r="B4" s="401"/>
      <c r="C4" s="3208" t="s">
        <v>2634</v>
      </c>
      <c r="D4" s="3221"/>
      <c r="E4" s="3222" t="s">
        <v>2635</v>
      </c>
      <c r="F4" s="3223"/>
      <c r="G4" s="3208" t="s">
        <v>2636</v>
      </c>
      <c r="H4" s="3221"/>
      <c r="I4" s="3208" t="s">
        <v>2637</v>
      </c>
      <c r="J4" s="3221"/>
      <c r="K4" s="609" t="s">
        <v>2638</v>
      </c>
      <c r="L4" s="1132"/>
      <c r="M4" s="1133"/>
      <c r="N4" s="1133"/>
      <c r="O4" s="1133"/>
      <c r="P4" s="3224" t="s">
        <v>2639</v>
      </c>
      <c r="Q4" s="3225"/>
      <c r="R4" s="3230" t="s">
        <v>2635</v>
      </c>
      <c r="S4" s="3231"/>
      <c r="T4" s="3230" t="s">
        <v>2636</v>
      </c>
      <c r="U4" s="3231"/>
      <c r="V4" s="3217" t="s">
        <v>2637</v>
      </c>
      <c r="W4" s="3217"/>
      <c r="X4" s="1815"/>
      <c r="Y4" s="3230" t="s">
        <v>2639</v>
      </c>
      <c r="Z4" s="3231"/>
      <c r="AA4" s="3218" t="s">
        <v>2635</v>
      </c>
      <c r="AB4" s="3219" t="s">
        <v>2636</v>
      </c>
      <c r="AC4" s="3218" t="s">
        <v>2637</v>
      </c>
    </row>
    <row r="5" spans="1:29" ht="15">
      <c r="A5" s="403"/>
      <c r="B5" s="404"/>
      <c r="C5" s="3243" t="s">
        <v>2530</v>
      </c>
      <c r="D5" s="3239"/>
      <c r="E5" s="3286" t="s">
        <v>2531</v>
      </c>
      <c r="F5" s="3248"/>
      <c r="G5" s="3243" t="s">
        <v>2532</v>
      </c>
      <c r="H5" s="3239"/>
      <c r="I5" s="3243" t="s">
        <v>2533</v>
      </c>
      <c r="J5" s="3239"/>
      <c r="K5" s="609"/>
      <c r="L5" s="1132"/>
      <c r="M5" s="1133"/>
      <c r="N5" s="1133"/>
      <c r="O5" s="1133"/>
      <c r="P5" s="3226"/>
      <c r="Q5" s="3227"/>
      <c r="R5" s="3232"/>
      <c r="S5" s="3233"/>
      <c r="T5" s="3232"/>
      <c r="U5" s="3233"/>
      <c r="V5" s="3217"/>
      <c r="W5" s="3217"/>
      <c r="X5" s="1815"/>
      <c r="Y5" s="3232"/>
      <c r="Z5" s="3233"/>
      <c r="AA5" s="3219"/>
      <c r="AB5" s="3219"/>
      <c r="AC5" s="3219"/>
    </row>
    <row r="6" spans="1:29" ht="15.75" thickBot="1">
      <c r="A6" s="405"/>
      <c r="B6" s="406"/>
      <c r="C6" s="3244" t="s">
        <v>2534</v>
      </c>
      <c r="D6" s="3237"/>
      <c r="E6" s="3285" t="s">
        <v>2534</v>
      </c>
      <c r="F6" s="3246"/>
      <c r="G6" s="3244" t="s">
        <v>2534</v>
      </c>
      <c r="H6" s="3237"/>
      <c r="I6" s="3244" t="s">
        <v>2534</v>
      </c>
      <c r="J6" s="3237"/>
      <c r="K6" s="609" t="s">
        <v>2535</v>
      </c>
      <c r="L6" s="1132"/>
      <c r="M6" s="1133"/>
      <c r="N6" s="1133"/>
      <c r="O6" s="1133"/>
      <c r="P6" s="3228"/>
      <c r="Q6" s="3229"/>
      <c r="R6" s="3232"/>
      <c r="S6" s="3233"/>
      <c r="T6" s="3234"/>
      <c r="U6" s="3235"/>
      <c r="V6" s="3217"/>
      <c r="W6" s="3217"/>
      <c r="X6" s="1815"/>
      <c r="Y6" s="3234"/>
      <c r="Z6" s="3235"/>
      <c r="AA6" s="3220"/>
      <c r="AB6" s="3220"/>
      <c r="AC6" s="3220"/>
    </row>
    <row r="7" spans="1:29" s="117" customFormat="1" ht="15.75" thickBot="1">
      <c r="A7" s="407" t="s">
        <v>2536</v>
      </c>
      <c r="B7" s="408"/>
      <c r="C7" s="409">
        <f>'数据-取费表'!B2</f>
        <v>43248</v>
      </c>
      <c r="D7" s="410">
        <v>100</v>
      </c>
      <c r="E7" s="411"/>
      <c r="F7" s="412">
        <f>SUMIF(46:46,YEAR(E7)&amp;"-"&amp;MONTH(E7),47:47)</f>
        <v>0</v>
      </c>
      <c r="G7" s="2694"/>
      <c r="H7" s="410">
        <f>SUMIF(46:46,YEAR(G7)&amp;"-"&amp;MONTH(G7),47:47)</f>
        <v>0</v>
      </c>
      <c r="I7" s="411"/>
      <c r="J7" s="410">
        <f>SUMIF(46:46,YEAR(I7)&amp;"-"&amp;MONTH(I7),47:47)</f>
        <v>0</v>
      </c>
      <c r="K7" s="610"/>
      <c r="L7" s="1134"/>
      <c r="M7" s="1135"/>
      <c r="N7" s="1135"/>
      <c r="O7" s="1135"/>
      <c r="P7" s="3240" t="s">
        <v>2537</v>
      </c>
      <c r="Q7" s="3242"/>
      <c r="R7" s="769" t="s">
        <v>17</v>
      </c>
      <c r="S7" s="770">
        <f t="shared" ref="S7:S14" si="0">F7</f>
        <v>0</v>
      </c>
      <c r="T7" s="769" t="s">
        <v>17</v>
      </c>
      <c r="U7" s="770">
        <f t="shared" ref="U7:U14" si="1">H7</f>
        <v>0</v>
      </c>
      <c r="V7" s="769" t="s">
        <v>17</v>
      </c>
      <c r="W7" s="770">
        <f t="shared" ref="W7:W14" si="2">J7</f>
        <v>0</v>
      </c>
      <c r="X7" s="771"/>
      <c r="Y7" s="3240" t="s">
        <v>2537</v>
      </c>
      <c r="Z7" s="3241"/>
      <c r="AA7" s="772" t="e">
        <f>D7/F7</f>
        <v>#DIV/0!</v>
      </c>
      <c r="AB7" s="772" t="e">
        <f>D7/H7</f>
        <v>#DIV/0!</v>
      </c>
      <c r="AC7" s="772" t="e">
        <f>D7/J7</f>
        <v>#DIV/0!</v>
      </c>
    </row>
    <row r="8" spans="1:29" s="117" customFormat="1" ht="15.75" thickBot="1">
      <c r="A8" s="407" t="s">
        <v>2538</v>
      </c>
      <c r="B8" s="408"/>
      <c r="C8" s="413" t="s">
        <v>2640</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240" t="s">
        <v>2540</v>
      </c>
      <c r="Q8" s="3241"/>
      <c r="R8" s="769" t="s">
        <v>17</v>
      </c>
      <c r="S8" s="770">
        <f t="shared" si="0"/>
        <v>0</v>
      </c>
      <c r="T8" s="769" t="s">
        <v>17</v>
      </c>
      <c r="U8" s="770">
        <f t="shared" si="1"/>
        <v>0</v>
      </c>
      <c r="V8" s="769" t="s">
        <v>17</v>
      </c>
      <c r="W8" s="770">
        <f t="shared" si="2"/>
        <v>0</v>
      </c>
      <c r="X8" s="771"/>
      <c r="Y8" s="3240" t="s">
        <v>2540</v>
      </c>
      <c r="Z8" s="3241"/>
      <c r="AA8" s="772" t="e">
        <f t="shared" ref="AA8:AA34" si="3">D8/F8</f>
        <v>#DIV/0!</v>
      </c>
      <c r="AB8" s="772" t="e">
        <f t="shared" ref="AB8:AB34" si="4">D8/H8</f>
        <v>#DIV/0!</v>
      </c>
      <c r="AC8" s="772" t="e">
        <f t="shared" ref="AC8:AC34" si="5">D8/J8</f>
        <v>#DIV/0!</v>
      </c>
    </row>
    <row r="9" spans="1:29" s="117" customFormat="1">
      <c r="A9" s="414" t="s">
        <v>2541</v>
      </c>
      <c r="B9" s="71" t="s">
        <v>2542</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211" t="s">
        <v>2543</v>
      </c>
      <c r="Q9" s="1797" t="str">
        <f t="shared" ref="Q9:Q14" si="6">B9</f>
        <v>用途</v>
      </c>
      <c r="R9" s="769" t="s">
        <v>17</v>
      </c>
      <c r="S9" s="770">
        <f t="shared" si="0"/>
        <v>100</v>
      </c>
      <c r="T9" s="769" t="s">
        <v>17</v>
      </c>
      <c r="U9" s="770">
        <f t="shared" si="1"/>
        <v>100</v>
      </c>
      <c r="V9" s="769" t="s">
        <v>17</v>
      </c>
      <c r="W9" s="770">
        <f t="shared" si="2"/>
        <v>100</v>
      </c>
      <c r="X9" s="771"/>
      <c r="Y9" s="3059" t="s">
        <v>2544</v>
      </c>
      <c r="Z9" s="55" t="str">
        <f t="shared" ref="Z9:Z14" si="7">Q9</f>
        <v>用途</v>
      </c>
      <c r="AA9" s="772">
        <f t="shared" si="3"/>
        <v>1</v>
      </c>
      <c r="AB9" s="772">
        <f t="shared" si="4"/>
        <v>1</v>
      </c>
      <c r="AC9" s="772">
        <f t="shared" si="5"/>
        <v>1</v>
      </c>
    </row>
    <row r="10" spans="1:29" s="426" customFormat="1" ht="27">
      <c r="A10" s="420"/>
      <c r="B10" s="421" t="s">
        <v>2545</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211"/>
      <c r="Q10" s="1797" t="str">
        <f t="shared" si="6"/>
        <v>土地使用年限（年）</v>
      </c>
      <c r="R10" s="769" t="s">
        <v>17</v>
      </c>
      <c r="S10" s="770">
        <f t="shared" si="0"/>
        <v>100</v>
      </c>
      <c r="T10" s="769" t="s">
        <v>17</v>
      </c>
      <c r="U10" s="770">
        <f t="shared" si="1"/>
        <v>100</v>
      </c>
      <c r="V10" s="769" t="s">
        <v>17</v>
      </c>
      <c r="W10" s="770">
        <f t="shared" si="2"/>
        <v>100</v>
      </c>
      <c r="X10" s="771"/>
      <c r="Y10" s="3059"/>
      <c r="Z10" s="55" t="str">
        <f t="shared" si="7"/>
        <v>土地使用年限（年）</v>
      </c>
      <c r="AA10" s="772">
        <f t="shared" si="3"/>
        <v>1</v>
      </c>
      <c r="AB10" s="772">
        <f t="shared" si="4"/>
        <v>1</v>
      </c>
      <c r="AC10" s="772">
        <f t="shared" si="5"/>
        <v>1</v>
      </c>
    </row>
    <row r="11" spans="1:29" ht="15">
      <c r="A11" s="427"/>
      <c r="B11" s="2598">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211"/>
      <c r="Q11" s="1797">
        <f t="shared" si="6"/>
        <v>111</v>
      </c>
      <c r="R11" s="769" t="s">
        <v>17</v>
      </c>
      <c r="S11" s="770">
        <f t="shared" si="0"/>
        <v>100</v>
      </c>
      <c r="T11" s="769" t="s">
        <v>17</v>
      </c>
      <c r="U11" s="770">
        <f t="shared" si="1"/>
        <v>100</v>
      </c>
      <c r="V11" s="769" t="s">
        <v>17</v>
      </c>
      <c r="W11" s="770">
        <f t="shared" si="2"/>
        <v>100</v>
      </c>
      <c r="X11" s="771"/>
      <c r="Y11" s="3059"/>
      <c r="Z11" s="55">
        <f t="shared" si="7"/>
        <v>111</v>
      </c>
      <c r="AA11" s="772">
        <f t="shared" si="3"/>
        <v>1</v>
      </c>
      <c r="AB11" s="772">
        <f t="shared" si="4"/>
        <v>1</v>
      </c>
      <c r="AC11" s="772">
        <f t="shared" si="5"/>
        <v>1</v>
      </c>
    </row>
    <row r="12" spans="1:29" s="117" customFormat="1" ht="15">
      <c r="A12" s="430"/>
      <c r="B12" s="2598">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211"/>
      <c r="Q12" s="1797">
        <f t="shared" si="6"/>
        <v>111</v>
      </c>
      <c r="R12" s="769" t="s">
        <v>17</v>
      </c>
      <c r="S12" s="770">
        <f t="shared" si="0"/>
        <v>100</v>
      </c>
      <c r="T12" s="769" t="s">
        <v>17</v>
      </c>
      <c r="U12" s="770">
        <f t="shared" si="1"/>
        <v>100</v>
      </c>
      <c r="V12" s="769" t="s">
        <v>17</v>
      </c>
      <c r="W12" s="770">
        <f t="shared" si="2"/>
        <v>100</v>
      </c>
      <c r="X12" s="771"/>
      <c r="Y12" s="3059"/>
      <c r="Z12" s="55">
        <f t="shared" si="7"/>
        <v>111</v>
      </c>
      <c r="AA12" s="772">
        <f>D12/F12</f>
        <v>1</v>
      </c>
      <c r="AB12" s="772">
        <f>D12/H12</f>
        <v>1</v>
      </c>
      <c r="AC12" s="772">
        <f>D12/J12</f>
        <v>1</v>
      </c>
    </row>
    <row r="13" spans="1:29" ht="15.75" thickBot="1">
      <c r="A13" s="427"/>
      <c r="B13" s="2598">
        <v>111</v>
      </c>
      <c r="C13" s="433"/>
      <c r="D13" s="434">
        <v>100</v>
      </c>
      <c r="E13" s="468"/>
      <c r="F13" s="424">
        <f>SUMIF(59:59,E13,60:60)-SUMIF(59:59,C13,60:60)+100</f>
        <v>100</v>
      </c>
      <c r="G13" s="2695"/>
      <c r="H13" s="437">
        <f>SUMIF(59:59,G13,60:60)-SUMIF(59:59,C13,60:60)+100</f>
        <v>100</v>
      </c>
      <c r="I13" s="468"/>
      <c r="J13" s="434">
        <f>SUMIF(59:59,I13,60:60)-SUMIF(59:59,C13,60:60)+100</f>
        <v>100</v>
      </c>
      <c r="K13" s="612"/>
      <c r="L13" s="1142"/>
      <c r="M13" s="1133"/>
      <c r="N13" s="1133"/>
      <c r="O13" s="1141"/>
      <c r="P13" s="3211"/>
      <c r="Q13" s="1797">
        <f t="shared" si="6"/>
        <v>111</v>
      </c>
      <c r="R13" s="769" t="s">
        <v>17</v>
      </c>
      <c r="S13" s="770">
        <f t="shared" si="0"/>
        <v>100</v>
      </c>
      <c r="T13" s="769" t="s">
        <v>17</v>
      </c>
      <c r="U13" s="770">
        <f t="shared" si="1"/>
        <v>100</v>
      </c>
      <c r="V13" s="769" t="s">
        <v>17</v>
      </c>
      <c r="W13" s="770">
        <f t="shared" si="2"/>
        <v>100</v>
      </c>
      <c r="X13" s="771"/>
      <c r="Y13" s="3059"/>
      <c r="Z13" s="55">
        <f t="shared" si="7"/>
        <v>111</v>
      </c>
      <c r="AA13" s="772">
        <f t="shared" si="3"/>
        <v>1</v>
      </c>
      <c r="AB13" s="772">
        <f t="shared" si="4"/>
        <v>1</v>
      </c>
      <c r="AC13" s="772">
        <f t="shared" si="5"/>
        <v>1</v>
      </c>
    </row>
    <row r="14" spans="1:29" ht="15">
      <c r="A14" s="439" t="s">
        <v>2547</v>
      </c>
      <c r="B14" s="69" t="s">
        <v>2697</v>
      </c>
      <c r="C14" s="2691">
        <f>IF(B1="工业",估价对象房地状况!G4,估价对象房地状况!C6)</f>
        <v>0</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213" t="s">
        <v>2548</v>
      </c>
      <c r="Q14" s="1812" t="str">
        <f t="shared" si="6"/>
        <v>交通便捷度</v>
      </c>
      <c r="R14" s="773" t="s">
        <v>17</v>
      </c>
      <c r="S14" s="774">
        <f t="shared" si="0"/>
        <v>100</v>
      </c>
      <c r="T14" s="773" t="s">
        <v>17</v>
      </c>
      <c r="U14" s="774">
        <f t="shared" si="1"/>
        <v>100</v>
      </c>
      <c r="V14" s="773" t="s">
        <v>17</v>
      </c>
      <c r="W14" s="774">
        <f t="shared" si="2"/>
        <v>100</v>
      </c>
      <c r="X14" s="1815"/>
      <c r="Y14" s="3213" t="s">
        <v>2548</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214"/>
      <c r="Q15" s="1812"/>
      <c r="R15" s="773"/>
      <c r="S15" s="774"/>
      <c r="T15" s="773"/>
      <c r="U15" s="774"/>
      <c r="V15" s="773"/>
      <c r="W15" s="774"/>
      <c r="X15" s="1815"/>
      <c r="Y15" s="3214"/>
      <c r="Z15" s="1816"/>
      <c r="AA15" s="1813">
        <v>1</v>
      </c>
      <c r="AB15" s="1813">
        <v>1</v>
      </c>
      <c r="AC15" s="1813">
        <v>1</v>
      </c>
    </row>
    <row r="16" spans="1:29" ht="15">
      <c r="A16" s="427"/>
      <c r="B16" s="450" t="s">
        <v>2676</v>
      </c>
      <c r="C16" s="2605">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214"/>
      <c r="Q16" s="1812" t="str">
        <f>B16</f>
        <v>公共配套设施</v>
      </c>
      <c r="R16" s="773" t="s">
        <v>17</v>
      </c>
      <c r="S16" s="774">
        <f>F16</f>
        <v>100</v>
      </c>
      <c r="T16" s="773" t="s">
        <v>17</v>
      </c>
      <c r="U16" s="774">
        <f>H16</f>
        <v>100</v>
      </c>
      <c r="V16" s="773" t="s">
        <v>17</v>
      </c>
      <c r="W16" s="774">
        <f>J16</f>
        <v>100</v>
      </c>
      <c r="X16" s="1815"/>
      <c r="Y16" s="3214"/>
      <c r="Z16" s="1816" t="str">
        <f>Q16</f>
        <v>公共配套设施</v>
      </c>
      <c r="AA16" s="1813">
        <f t="shared" si="3"/>
        <v>1</v>
      </c>
      <c r="AB16" s="1813">
        <f t="shared" si="4"/>
        <v>1</v>
      </c>
      <c r="AC16" s="1813">
        <f t="shared" si="5"/>
        <v>1</v>
      </c>
    </row>
    <row r="17" spans="1:29" ht="15">
      <c r="A17" s="427"/>
      <c r="B17" s="455"/>
      <c r="C17" s="2606"/>
      <c r="D17" s="447"/>
      <c r="E17" s="446"/>
      <c r="F17" s="448"/>
      <c r="G17" s="446"/>
      <c r="H17" s="447"/>
      <c r="I17" s="446"/>
      <c r="J17" s="447"/>
      <c r="K17" s="614"/>
      <c r="L17" s="1142"/>
      <c r="M17" s="1133"/>
      <c r="N17" s="1133"/>
      <c r="O17" s="1141"/>
      <c r="P17" s="3214"/>
      <c r="Q17" s="1812"/>
      <c r="R17" s="773"/>
      <c r="S17" s="774"/>
      <c r="T17" s="773"/>
      <c r="U17" s="774"/>
      <c r="V17" s="773"/>
      <c r="W17" s="774"/>
      <c r="X17" s="1815"/>
      <c r="Y17" s="3214"/>
      <c r="Z17" s="1816"/>
      <c r="AA17" s="1813">
        <v>1</v>
      </c>
      <c r="AB17" s="1813">
        <v>1</v>
      </c>
      <c r="AC17" s="1813">
        <v>1</v>
      </c>
    </row>
    <row r="18" spans="1:29" ht="15">
      <c r="A18" s="427"/>
      <c r="B18" s="1386" t="s">
        <v>2677</v>
      </c>
      <c r="C18" s="2605">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214"/>
      <c r="Q18" s="1812" t="str">
        <f>B18</f>
        <v>基础设施水平</v>
      </c>
      <c r="R18" s="773" t="s">
        <v>17</v>
      </c>
      <c r="S18" s="774">
        <f>F18</f>
        <v>100</v>
      </c>
      <c r="T18" s="773" t="s">
        <v>17</v>
      </c>
      <c r="U18" s="774">
        <f>H18</f>
        <v>100</v>
      </c>
      <c r="V18" s="773" t="s">
        <v>17</v>
      </c>
      <c r="W18" s="774">
        <f>J18</f>
        <v>100</v>
      </c>
      <c r="X18" s="1815"/>
      <c r="Y18" s="3214"/>
      <c r="Z18" s="1816" t="str">
        <f>Q18</f>
        <v>基础设施水平</v>
      </c>
      <c r="AA18" s="1813">
        <f t="shared" ref="AA18" si="8">D18/F18</f>
        <v>1</v>
      </c>
      <c r="AB18" s="1813">
        <f t="shared" ref="AB18" si="9">D18/H18</f>
        <v>1</v>
      </c>
      <c r="AC18" s="1813">
        <f t="shared" ref="AC18" si="10">D18/J18</f>
        <v>1</v>
      </c>
    </row>
    <row r="19" spans="1:29" ht="15">
      <c r="A19" s="427"/>
      <c r="B19" s="1386"/>
      <c r="C19" s="2606"/>
      <c r="D19" s="449"/>
      <c r="E19" s="2606"/>
      <c r="F19" s="452"/>
      <c r="G19" s="2606"/>
      <c r="H19" s="447"/>
      <c r="I19" s="446"/>
      <c r="J19" s="447"/>
      <c r="K19" s="1385"/>
      <c r="L19" s="1142"/>
      <c r="M19" s="1133"/>
      <c r="N19" s="1133"/>
      <c r="O19" s="1141"/>
      <c r="P19" s="3214"/>
      <c r="Q19" s="1812"/>
      <c r="R19" s="773"/>
      <c r="S19" s="774"/>
      <c r="T19" s="773"/>
      <c r="U19" s="774"/>
      <c r="V19" s="773"/>
      <c r="W19" s="774"/>
      <c r="X19" s="1815"/>
      <c r="Y19" s="3214"/>
      <c r="Z19" s="1816"/>
      <c r="AA19" s="1813">
        <v>1</v>
      </c>
      <c r="AB19" s="1813">
        <v>1</v>
      </c>
      <c r="AC19" s="1813">
        <v>1</v>
      </c>
    </row>
    <row r="20" spans="1:29" ht="15">
      <c r="A20" s="427"/>
      <c r="B20" s="450" t="s">
        <v>2698</v>
      </c>
      <c r="C20" s="2605">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214"/>
      <c r="Q20" s="1812" t="str">
        <f>B20</f>
        <v>自然及人文环境</v>
      </c>
      <c r="R20" s="773" t="s">
        <v>17</v>
      </c>
      <c r="S20" s="774">
        <f>F20</f>
        <v>100</v>
      </c>
      <c r="T20" s="773" t="s">
        <v>17</v>
      </c>
      <c r="U20" s="774">
        <f>H20</f>
        <v>100</v>
      </c>
      <c r="V20" s="773" t="s">
        <v>17</v>
      </c>
      <c r="W20" s="774">
        <f>J20</f>
        <v>100</v>
      </c>
      <c r="X20" s="1815"/>
      <c r="Y20" s="3214"/>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214"/>
      <c r="Q21" s="1812"/>
      <c r="R21" s="773"/>
      <c r="S21" s="774"/>
      <c r="T21" s="773"/>
      <c r="U21" s="774"/>
      <c r="V21" s="773"/>
      <c r="W21" s="774"/>
      <c r="X21" s="1815"/>
      <c r="Y21" s="3214"/>
      <c r="Z21" s="1816"/>
      <c r="AA21" s="1813">
        <v>1</v>
      </c>
      <c r="AB21" s="1813">
        <v>1</v>
      </c>
      <c r="AC21" s="1813">
        <v>1</v>
      </c>
    </row>
    <row r="22" spans="1:29" ht="15">
      <c r="A22" s="427"/>
      <c r="B22" s="450" t="s">
        <v>2699</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214"/>
      <c r="Q22" s="1812" t="str">
        <f>B22</f>
        <v>楼层</v>
      </c>
      <c r="R22" s="773" t="s">
        <v>17</v>
      </c>
      <c r="S22" s="774">
        <f>F22</f>
        <v>100</v>
      </c>
      <c r="T22" s="773" t="s">
        <v>17</v>
      </c>
      <c r="U22" s="774">
        <f>H22</f>
        <v>100</v>
      </c>
      <c r="V22" s="773" t="s">
        <v>17</v>
      </c>
      <c r="W22" s="774">
        <f>J22</f>
        <v>100</v>
      </c>
      <c r="X22" s="1815"/>
      <c r="Y22" s="3214"/>
      <c r="Z22" s="1816" t="str">
        <f>Q22</f>
        <v>楼层</v>
      </c>
      <c r="AA22" s="1813">
        <f t="shared" si="3"/>
        <v>1</v>
      </c>
      <c r="AB22" s="1813">
        <f t="shared" si="4"/>
        <v>1</v>
      </c>
      <c r="AC22" s="1813">
        <f t="shared" si="5"/>
        <v>1</v>
      </c>
    </row>
    <row r="23" spans="1:29" ht="15">
      <c r="A23" s="403"/>
      <c r="B23" s="2598">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214"/>
      <c r="Q23" s="1812">
        <f>B23</f>
        <v>111</v>
      </c>
      <c r="R23" s="773" t="s">
        <v>17</v>
      </c>
      <c r="S23" s="774">
        <f>F23</f>
        <v>100</v>
      </c>
      <c r="T23" s="773" t="s">
        <v>17</v>
      </c>
      <c r="U23" s="774">
        <f>H23</f>
        <v>100</v>
      </c>
      <c r="V23" s="773" t="s">
        <v>17</v>
      </c>
      <c r="W23" s="774">
        <f>J23</f>
        <v>100</v>
      </c>
      <c r="X23" s="1815"/>
      <c r="Y23" s="3214"/>
      <c r="Z23" s="1816">
        <f>Q23</f>
        <v>111</v>
      </c>
      <c r="AA23" s="1813">
        <f t="shared" si="3"/>
        <v>1</v>
      </c>
      <c r="AB23" s="1813">
        <f t="shared" si="4"/>
        <v>1</v>
      </c>
      <c r="AC23" s="1813">
        <f t="shared" si="5"/>
        <v>1</v>
      </c>
    </row>
    <row r="24" spans="1:29" ht="15">
      <c r="A24" s="427"/>
      <c r="B24" s="2598">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214"/>
      <c r="Q24" s="1812">
        <f t="shared" ref="Q24:Q34" si="11">B24</f>
        <v>111</v>
      </c>
      <c r="R24" s="773" t="s">
        <v>17</v>
      </c>
      <c r="S24" s="774">
        <f>F24</f>
        <v>100</v>
      </c>
      <c r="T24" s="773" t="s">
        <v>17</v>
      </c>
      <c r="U24" s="774">
        <f>H24</f>
        <v>100</v>
      </c>
      <c r="V24" s="773" t="s">
        <v>17</v>
      </c>
      <c r="W24" s="774">
        <f>J24</f>
        <v>100</v>
      </c>
      <c r="X24" s="1815"/>
      <c r="Y24" s="3214"/>
      <c r="Z24" s="1816">
        <f>Q24</f>
        <v>111</v>
      </c>
      <c r="AA24" s="1813">
        <f t="shared" si="3"/>
        <v>1</v>
      </c>
      <c r="AB24" s="1813">
        <f t="shared" si="4"/>
        <v>1</v>
      </c>
      <c r="AC24" s="1813">
        <f t="shared" si="5"/>
        <v>1</v>
      </c>
    </row>
    <row r="25" spans="1:29" s="117" customFormat="1" ht="15.75" thickBot="1">
      <c r="A25" s="430"/>
      <c r="B25" s="2598">
        <v>111</v>
      </c>
      <c r="C25" s="2696"/>
      <c r="D25" s="664">
        <v>100</v>
      </c>
      <c r="E25" s="2696"/>
      <c r="F25" s="665">
        <f>SUMIF(75:75,E25,76:76)-SUMIF(75:75,C25,76:76)+100</f>
        <v>100</v>
      </c>
      <c r="G25" s="2696"/>
      <c r="H25" s="664">
        <f>SUMIF(75:75,G25,76:76)-SUMIF(75:75,C25,76:76)+100</f>
        <v>100</v>
      </c>
      <c r="I25" s="2696"/>
      <c r="J25" s="664">
        <f>SUMIF(75:75,I25,76:76)-SUMIF(75:75,C25,76:76)+100</f>
        <v>100</v>
      </c>
      <c r="K25" s="612"/>
      <c r="L25" s="1134"/>
      <c r="M25" s="1135"/>
      <c r="N25" s="1135"/>
      <c r="O25" s="1136"/>
      <c r="P25" s="3214"/>
      <c r="Q25" s="1797">
        <f t="shared" si="11"/>
        <v>111</v>
      </c>
      <c r="R25" s="769" t="s">
        <v>17</v>
      </c>
      <c r="S25" s="770">
        <f>F25</f>
        <v>100</v>
      </c>
      <c r="T25" s="769" t="s">
        <v>17</v>
      </c>
      <c r="U25" s="770">
        <f>H25</f>
        <v>100</v>
      </c>
      <c r="V25" s="769" t="s">
        <v>17</v>
      </c>
      <c r="W25" s="770">
        <f>J25</f>
        <v>100</v>
      </c>
      <c r="X25" s="771"/>
      <c r="Y25" s="3214"/>
      <c r="Z25" s="55">
        <f>Q25</f>
        <v>111</v>
      </c>
      <c r="AA25" s="1813">
        <f>D25/F25</f>
        <v>1</v>
      </c>
      <c r="AB25" s="1813">
        <f>D25/H25</f>
        <v>1</v>
      </c>
      <c r="AC25" s="1813">
        <f>D25/J25</f>
        <v>1</v>
      </c>
    </row>
    <row r="26" spans="1:29" ht="15">
      <c r="A26" s="465" t="s">
        <v>2551</v>
      </c>
      <c r="B26" s="71" t="s">
        <v>2702</v>
      </c>
      <c r="C26" s="2677"/>
      <c r="D26" s="466">
        <v>100</v>
      </c>
      <c r="E26" s="2677"/>
      <c r="F26" s="666">
        <f>SUMIF(77:77,E26,78:78)-SUMIF(77:77,C26,78:78)+100</f>
        <v>100</v>
      </c>
      <c r="G26" s="2677"/>
      <c r="H26" s="466">
        <f>SUMIF(77:77,G26,78:78)-SUMIF(77:77,C26,78:78)+100</f>
        <v>100</v>
      </c>
      <c r="I26" s="2677"/>
      <c r="J26" s="466">
        <f>SUMIF(77:77,I26,78:78)-SUMIF(77:77,C26,78:78)+100</f>
        <v>100</v>
      </c>
      <c r="K26" s="611"/>
      <c r="L26" s="1142"/>
      <c r="M26" s="1133"/>
      <c r="N26" s="1133"/>
      <c r="O26" s="1141"/>
      <c r="P26" s="3215" t="s">
        <v>2553</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16" t="s">
        <v>2553</v>
      </c>
      <c r="Z26" s="1816" t="str">
        <f t="shared" ref="Z26:Z34" si="15">Q26</f>
        <v>公共部分装修</v>
      </c>
      <c r="AA26" s="1813">
        <f t="shared" si="3"/>
        <v>1</v>
      </c>
      <c r="AB26" s="1813">
        <f t="shared" si="4"/>
        <v>1</v>
      </c>
      <c r="AC26" s="1813">
        <f t="shared" si="5"/>
        <v>1</v>
      </c>
    </row>
    <row r="27" spans="1:29" s="470" customFormat="1" ht="15">
      <c r="A27" s="467"/>
      <c r="B27" s="421" t="s">
        <v>2703</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216"/>
      <c r="Q27" s="775" t="str">
        <f t="shared" si="11"/>
        <v>成新率</v>
      </c>
      <c r="R27" s="776" t="s">
        <v>17</v>
      </c>
      <c r="S27" s="777" t="e">
        <f t="shared" si="12"/>
        <v>#N/A</v>
      </c>
      <c r="T27" s="776" t="s">
        <v>17</v>
      </c>
      <c r="U27" s="777" t="e">
        <f t="shared" si="13"/>
        <v>#N/A</v>
      </c>
      <c r="V27" s="776" t="s">
        <v>17</v>
      </c>
      <c r="W27" s="777" t="e">
        <f t="shared" si="14"/>
        <v>#N/A</v>
      </c>
      <c r="X27" s="778"/>
      <c r="Y27" s="3216"/>
      <c r="Z27" s="779" t="str">
        <f t="shared" si="15"/>
        <v>成新率</v>
      </c>
      <c r="AA27" s="1813" t="e">
        <f t="shared" si="3"/>
        <v>#N/A</v>
      </c>
      <c r="AB27" s="1813" t="e">
        <f t="shared" si="4"/>
        <v>#N/A</v>
      </c>
      <c r="AC27" s="1813" t="e">
        <f t="shared" si="5"/>
        <v>#N/A</v>
      </c>
    </row>
    <row r="28" spans="1:29" ht="15">
      <c r="A28" s="471"/>
      <c r="B28" s="421" t="s">
        <v>2704</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216"/>
      <c r="Q28" s="1812" t="str">
        <f t="shared" si="11"/>
        <v>物业等级</v>
      </c>
      <c r="R28" s="773" t="s">
        <v>17</v>
      </c>
      <c r="S28" s="774">
        <f t="shared" si="12"/>
        <v>100</v>
      </c>
      <c r="T28" s="773" t="s">
        <v>17</v>
      </c>
      <c r="U28" s="774">
        <f t="shared" si="13"/>
        <v>100</v>
      </c>
      <c r="V28" s="773" t="s">
        <v>17</v>
      </c>
      <c r="W28" s="774">
        <f t="shared" si="14"/>
        <v>100</v>
      </c>
      <c r="X28" s="1815"/>
      <c r="Y28" s="3216"/>
      <c r="Z28" s="1816" t="str">
        <f t="shared" si="15"/>
        <v>物业等级</v>
      </c>
      <c r="AA28" s="1813">
        <f t="shared" si="3"/>
        <v>1</v>
      </c>
      <c r="AB28" s="1813">
        <f t="shared" si="4"/>
        <v>1</v>
      </c>
      <c r="AC28" s="1813">
        <f t="shared" si="5"/>
        <v>1</v>
      </c>
    </row>
    <row r="29" spans="1:29" ht="15">
      <c r="A29" s="471"/>
      <c r="B29" s="421" t="s">
        <v>2725</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216"/>
      <c r="Q29" s="1812" t="str">
        <f t="shared" si="11"/>
        <v>有无电梯</v>
      </c>
      <c r="R29" s="773" t="s">
        <v>17</v>
      </c>
      <c r="S29" s="774">
        <f t="shared" si="12"/>
        <v>100</v>
      </c>
      <c r="T29" s="773" t="s">
        <v>17</v>
      </c>
      <c r="U29" s="774">
        <f t="shared" si="13"/>
        <v>100</v>
      </c>
      <c r="V29" s="773" t="s">
        <v>17</v>
      </c>
      <c r="W29" s="774">
        <f t="shared" si="14"/>
        <v>100</v>
      </c>
      <c r="X29" s="1815"/>
      <c r="Y29" s="3216"/>
      <c r="Z29" s="1816" t="str">
        <f t="shared" si="15"/>
        <v>有无电梯</v>
      </c>
      <c r="AA29" s="1813">
        <f t="shared" si="3"/>
        <v>1</v>
      </c>
      <c r="AB29" s="1813">
        <f t="shared" si="4"/>
        <v>1</v>
      </c>
      <c r="AC29" s="1813">
        <f t="shared" si="5"/>
        <v>1</v>
      </c>
    </row>
    <row r="30" spans="1:29" ht="15">
      <c r="A30" s="471"/>
      <c r="B30" s="421" t="s">
        <v>2726</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216"/>
      <c r="Q30" s="1812" t="str">
        <f t="shared" si="11"/>
        <v>建筑面积</v>
      </c>
      <c r="R30" s="773" t="s">
        <v>17</v>
      </c>
      <c r="S30" s="774" t="e">
        <f t="shared" si="12"/>
        <v>#N/A</v>
      </c>
      <c r="T30" s="773" t="s">
        <v>17</v>
      </c>
      <c r="U30" s="774" t="e">
        <f t="shared" si="13"/>
        <v>#N/A</v>
      </c>
      <c r="V30" s="773" t="s">
        <v>17</v>
      </c>
      <c r="W30" s="774" t="e">
        <f t="shared" si="14"/>
        <v>#N/A</v>
      </c>
      <c r="X30" s="1815"/>
      <c r="Y30" s="3216"/>
      <c r="Z30" s="1816" t="str">
        <f t="shared" si="15"/>
        <v>建筑面积</v>
      </c>
      <c r="AA30" s="1813" t="e">
        <f t="shared" si="3"/>
        <v>#N/A</v>
      </c>
      <c r="AB30" s="1813" t="e">
        <f t="shared" si="4"/>
        <v>#N/A</v>
      </c>
      <c r="AC30" s="1813" t="e">
        <f t="shared" si="5"/>
        <v>#N/A</v>
      </c>
    </row>
    <row r="31" spans="1:29" s="117" customFormat="1" ht="15">
      <c r="A31" s="472"/>
      <c r="B31" s="421" t="s">
        <v>2727</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216"/>
      <c r="Q31" s="1797" t="str">
        <f t="shared" si="11"/>
        <v>是否封闭</v>
      </c>
      <c r="R31" s="769" t="s">
        <v>17</v>
      </c>
      <c r="S31" s="770">
        <f t="shared" si="12"/>
        <v>100</v>
      </c>
      <c r="T31" s="769" t="s">
        <v>17</v>
      </c>
      <c r="U31" s="770">
        <f t="shared" si="13"/>
        <v>100</v>
      </c>
      <c r="V31" s="769" t="s">
        <v>17</v>
      </c>
      <c r="W31" s="770">
        <f t="shared" si="14"/>
        <v>100</v>
      </c>
      <c r="X31" s="771"/>
      <c r="Y31" s="3216"/>
      <c r="Z31" s="55" t="str">
        <f t="shared" si="15"/>
        <v>是否封闭</v>
      </c>
      <c r="AA31" s="772">
        <f t="shared" si="3"/>
        <v>1</v>
      </c>
      <c r="AB31" s="772">
        <f t="shared" si="4"/>
        <v>1</v>
      </c>
      <c r="AC31" s="772">
        <f t="shared" si="5"/>
        <v>1</v>
      </c>
    </row>
    <row r="32" spans="1:29" ht="15">
      <c r="A32" s="471"/>
      <c r="B32" s="2598">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216" t="s">
        <v>2553</v>
      </c>
      <c r="Q32" s="1812">
        <f t="shared" si="11"/>
        <v>111</v>
      </c>
      <c r="R32" s="773" t="s">
        <v>17</v>
      </c>
      <c r="S32" s="774">
        <f t="shared" si="12"/>
        <v>100</v>
      </c>
      <c r="T32" s="773" t="s">
        <v>17</v>
      </c>
      <c r="U32" s="774">
        <f t="shared" si="13"/>
        <v>100</v>
      </c>
      <c r="V32" s="773" t="s">
        <v>17</v>
      </c>
      <c r="W32" s="774">
        <f t="shared" si="14"/>
        <v>100</v>
      </c>
      <c r="X32" s="1815"/>
      <c r="Y32" s="3216" t="s">
        <v>2553</v>
      </c>
      <c r="Z32" s="1816">
        <f t="shared" si="15"/>
        <v>111</v>
      </c>
      <c r="AA32" s="1813">
        <f t="shared" si="3"/>
        <v>1</v>
      </c>
      <c r="AB32" s="1813">
        <f t="shared" si="4"/>
        <v>1</v>
      </c>
      <c r="AC32" s="1813">
        <f t="shared" si="5"/>
        <v>1</v>
      </c>
    </row>
    <row r="33" spans="1:29" ht="15">
      <c r="A33" s="471"/>
      <c r="B33" s="2598">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216"/>
      <c r="Q33" s="1812">
        <f t="shared" si="11"/>
        <v>111</v>
      </c>
      <c r="R33" s="773" t="s">
        <v>17</v>
      </c>
      <c r="S33" s="774">
        <f t="shared" si="12"/>
        <v>100</v>
      </c>
      <c r="T33" s="773" t="s">
        <v>17</v>
      </c>
      <c r="U33" s="774">
        <f t="shared" si="13"/>
        <v>100</v>
      </c>
      <c r="V33" s="773" t="s">
        <v>17</v>
      </c>
      <c r="W33" s="774">
        <f t="shared" si="14"/>
        <v>100</v>
      </c>
      <c r="X33" s="1815"/>
      <c r="Y33" s="3216"/>
      <c r="Z33" s="1816">
        <f t="shared" si="15"/>
        <v>111</v>
      </c>
      <c r="AA33" s="1813">
        <f t="shared" si="3"/>
        <v>1</v>
      </c>
      <c r="AB33" s="1813">
        <f t="shared" si="4"/>
        <v>1</v>
      </c>
      <c r="AC33" s="1813">
        <f t="shared" si="5"/>
        <v>1</v>
      </c>
    </row>
    <row r="34" spans="1:29" ht="15.75" thickBot="1">
      <c r="A34" s="477"/>
      <c r="B34" s="2600">
        <v>111</v>
      </c>
      <c r="C34" s="436"/>
      <c r="D34" s="437">
        <v>100</v>
      </c>
      <c r="E34" s="2695"/>
      <c r="F34" s="438">
        <f>SUMIF(95:95,E34,96:96)-SUMIF(95:95,C34,96:96)+100</f>
        <v>100</v>
      </c>
      <c r="G34" s="2695"/>
      <c r="H34" s="437">
        <f>SUMIF(95:95,G34,96:96)-SUMIF(95:95,C34,96:96)+100</f>
        <v>100</v>
      </c>
      <c r="I34" s="2695"/>
      <c r="J34" s="437">
        <f>SUMIF(95:95,I34,96:96)-SUMIF(95:95,C34,96:96)+100</f>
        <v>100</v>
      </c>
      <c r="K34" s="612"/>
      <c r="L34" s="1142"/>
      <c r="M34" s="1133"/>
      <c r="N34" s="1133"/>
      <c r="O34" s="1141"/>
      <c r="P34" s="3216"/>
      <c r="Q34" s="1812">
        <f t="shared" si="11"/>
        <v>111</v>
      </c>
      <c r="R34" s="773" t="s">
        <v>17</v>
      </c>
      <c r="S34" s="774">
        <f t="shared" si="12"/>
        <v>100</v>
      </c>
      <c r="T34" s="773" t="s">
        <v>17</v>
      </c>
      <c r="U34" s="774">
        <f t="shared" si="13"/>
        <v>100</v>
      </c>
      <c r="V34" s="773" t="s">
        <v>17</v>
      </c>
      <c r="W34" s="774">
        <f t="shared" si="14"/>
        <v>100</v>
      </c>
      <c r="X34" s="1815"/>
      <c r="Y34" s="3216"/>
      <c r="Z34" s="1816">
        <f t="shared" si="15"/>
        <v>111</v>
      </c>
      <c r="AA34" s="1813">
        <f t="shared" si="3"/>
        <v>1</v>
      </c>
      <c r="AB34" s="1813">
        <f t="shared" si="4"/>
        <v>1</v>
      </c>
      <c r="AC34" s="1813">
        <f t="shared" si="5"/>
        <v>1</v>
      </c>
    </row>
    <row r="35" spans="1:29" ht="15">
      <c r="A35" s="478" t="s">
        <v>2565</v>
      </c>
      <c r="B35" s="479"/>
      <c r="C35" s="1409" t="s">
        <v>1</v>
      </c>
      <c r="D35" s="1410"/>
      <c r="E35" s="1411"/>
      <c r="F35" s="1412"/>
      <c r="G35" s="1413"/>
      <c r="H35" s="1414"/>
      <c r="I35" s="1411"/>
      <c r="J35" s="1414"/>
      <c r="K35" s="782"/>
      <c r="L35" s="1145"/>
      <c r="M35" s="1146"/>
      <c r="N35" s="1133"/>
      <c r="O35" s="1146"/>
      <c r="P35" s="3211" t="str">
        <f>A35</f>
        <v>成交单价（元/平方米）</v>
      </c>
      <c r="Q35" s="3211"/>
      <c r="R35" s="3278">
        <f>E35</f>
        <v>0</v>
      </c>
      <c r="S35" s="3278"/>
      <c r="T35" s="3278">
        <f>G35</f>
        <v>0</v>
      </c>
      <c r="U35" s="3278"/>
      <c r="V35" s="3278">
        <f>I35</f>
        <v>0</v>
      </c>
      <c r="W35" s="3278"/>
      <c r="X35" s="758"/>
      <c r="Y35" s="780"/>
      <c r="Z35" s="758"/>
      <c r="AA35" s="758"/>
      <c r="AB35" s="758"/>
      <c r="AC35" s="758"/>
    </row>
    <row r="36" spans="1:29" ht="15.75" thickBot="1">
      <c r="A36" s="485" t="s">
        <v>2657</v>
      </c>
      <c r="B36" s="486"/>
      <c r="C36" s="1415" t="e">
        <f>R37</f>
        <v>#DIV/0!</v>
      </c>
      <c r="D36" s="1416"/>
      <c r="E36" s="1417" t="e">
        <f>R36</f>
        <v>#DIV/0!</v>
      </c>
      <c r="F36" s="1417"/>
      <c r="G36" s="1415" t="e">
        <f>T36</f>
        <v>#DIV/0!</v>
      </c>
      <c r="H36" s="1416"/>
      <c r="I36" s="1417" t="e">
        <f>V36</f>
        <v>#DIV/0!</v>
      </c>
      <c r="J36" s="1416"/>
      <c r="K36" s="783"/>
      <c r="L36" s="1145"/>
      <c r="M36" s="1146"/>
      <c r="N36" s="1133"/>
      <c r="O36" s="1146"/>
      <c r="P36" s="3211" t="str">
        <f>A36</f>
        <v>比较价值（元/平方米）</v>
      </c>
      <c r="Q36" s="3211"/>
      <c r="R36" s="3278" t="e">
        <f>IF(F1="售价",ROUND(PRODUCT(R35,AA7:AA34),0),ROUND(PRODUCT(R35,AA7:AA34),1))</f>
        <v>#DIV/0!</v>
      </c>
      <c r="S36" s="3278"/>
      <c r="T36" s="3278" t="e">
        <f>IF(F1="售价",ROUND(PRODUCT(T35,AB7:AB34),0),ROUND(PRODUCT(T35,AB7:AB34),1))</f>
        <v>#DIV/0!</v>
      </c>
      <c r="U36" s="3278"/>
      <c r="V36" s="3278" t="e">
        <f>IF(F1="售价",ROUND(PRODUCT(V35,AC7:AC34),0),ROUND(PRODUCT(V35,AC7:AC34),1))</f>
        <v>#DIV/0!</v>
      </c>
      <c r="W36" s="3278"/>
      <c r="X36" s="758"/>
      <c r="Y36" s="758"/>
      <c r="Z36" s="758"/>
      <c r="AA36" s="758"/>
      <c r="AB36" s="758"/>
      <c r="AC36" s="758"/>
    </row>
    <row r="37" spans="1:29" ht="15.75" thickBot="1">
      <c r="A37" s="491" t="s">
        <v>2658</v>
      </c>
      <c r="B37" s="492"/>
      <c r="C37" s="1419" t="e">
        <f>R37</f>
        <v>#DIV/0!</v>
      </c>
      <c r="D37" s="1419"/>
      <c r="E37" s="1419"/>
      <c r="F37" s="1419"/>
      <c r="G37" s="1419"/>
      <c r="H37" s="1419"/>
      <c r="I37" s="1419"/>
      <c r="J37" s="1419"/>
      <c r="K37" s="784"/>
      <c r="L37" s="1145"/>
      <c r="M37" s="1146"/>
      <c r="N37" s="1146"/>
      <c r="O37" s="1146"/>
      <c r="P37" s="3205" t="str">
        <f>A37</f>
        <v>估价对象XX用房的比较价值（楼面单价，元/平方米）</v>
      </c>
      <c r="Q37" s="3206"/>
      <c r="R37" s="3277" t="e">
        <f>IF(F1="售价",ROUND(AVERAGE(R36:V36),0),ROUND(AVERAGE(R36:V36),1))</f>
        <v>#DIV/0!</v>
      </c>
      <c r="S37" s="3277"/>
      <c r="T37" s="3277"/>
      <c r="U37" s="3277"/>
      <c r="V37" s="3277"/>
      <c r="W37" s="3277"/>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2659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2660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2661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2662</v>
      </c>
      <c r="B45" s="758"/>
      <c r="C45" s="763"/>
      <c r="D45" s="763"/>
      <c r="E45" s="763"/>
      <c r="F45" s="764"/>
      <c r="G45" s="764"/>
      <c r="H45" s="763"/>
      <c r="I45" s="763"/>
      <c r="J45" s="763"/>
      <c r="K45" s="765"/>
      <c r="L45" s="766"/>
      <c r="M45" s="763"/>
      <c r="N45" s="763"/>
      <c r="O45" s="763"/>
      <c r="P45" s="502"/>
      <c r="Q45" s="503"/>
    </row>
    <row r="46" spans="1:29" s="507" customFormat="1" ht="15">
      <c r="A46" s="504" t="s">
        <v>2536</v>
      </c>
      <c r="B46" s="505"/>
      <c r="C46" s="1576" t="str">
        <f>YEAR(C7)&amp;"-"&amp;MONTH(C7)</f>
        <v>2018-5</v>
      </c>
      <c r="D46" s="1577">
        <f>EDATE(C46,-1)</f>
        <v>43191</v>
      </c>
      <c r="E46" s="1577">
        <f t="shared" ref="E46:O46" si="16">EDATE(D46,-1)</f>
        <v>43160</v>
      </c>
      <c r="F46" s="1577">
        <f t="shared" si="16"/>
        <v>43132</v>
      </c>
      <c r="G46" s="1577">
        <f t="shared" si="16"/>
        <v>43101</v>
      </c>
      <c r="H46" s="1577">
        <f t="shared" si="16"/>
        <v>43070</v>
      </c>
      <c r="I46" s="1577">
        <f t="shared" si="16"/>
        <v>43040</v>
      </c>
      <c r="J46" s="1577">
        <f t="shared" si="16"/>
        <v>43009</v>
      </c>
      <c r="K46" s="1577">
        <f t="shared" si="16"/>
        <v>42979</v>
      </c>
      <c r="L46" s="1577">
        <f t="shared" si="16"/>
        <v>42948</v>
      </c>
      <c r="M46" s="1577">
        <f t="shared" si="16"/>
        <v>42917</v>
      </c>
      <c r="N46" s="1577">
        <f t="shared" si="16"/>
        <v>42887</v>
      </c>
      <c r="O46" s="1577">
        <f t="shared" si="16"/>
        <v>42856</v>
      </c>
      <c r="P46" s="506"/>
    </row>
    <row r="47" spans="1:29" s="117" customFormat="1" ht="15">
      <c r="A47" s="508"/>
      <c r="B47" s="509"/>
      <c r="C47" s="1575">
        <v>100</v>
      </c>
      <c r="D47" s="511"/>
      <c r="E47" s="511"/>
      <c r="F47" s="511"/>
      <c r="G47" s="511"/>
      <c r="H47" s="511"/>
      <c r="I47" s="511"/>
      <c r="J47" s="511"/>
      <c r="K47" s="511"/>
      <c r="L47" s="511"/>
      <c r="M47" s="512"/>
      <c r="N47" s="511"/>
      <c r="O47" s="513"/>
      <c r="P47" s="503"/>
    </row>
    <row r="48" spans="1:29" s="117" customFormat="1" ht="15.75" thickBot="1">
      <c r="A48" s="514" t="s">
        <v>2573</v>
      </c>
      <c r="B48" s="515"/>
      <c r="C48" s="516"/>
      <c r="D48" s="517"/>
      <c r="E48" s="517"/>
      <c r="F48" s="517"/>
      <c r="G48" s="517"/>
      <c r="H48" s="517"/>
      <c r="I48" s="517"/>
      <c r="J48" s="517"/>
      <c r="K48" s="517"/>
      <c r="L48" s="517"/>
      <c r="M48" s="518"/>
      <c r="N48" s="517"/>
      <c r="O48" s="519"/>
      <c r="P48" s="503"/>
      <c r="Q48" s="503"/>
    </row>
    <row r="49" spans="1:17" s="117" customFormat="1" ht="15">
      <c r="A49" s="520" t="s">
        <v>2538</v>
      </c>
      <c r="B49" s="509"/>
      <c r="C49" s="521" t="s">
        <v>2640</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2576</v>
      </c>
      <c r="B51" s="527" t="s">
        <v>2542</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2545</v>
      </c>
      <c r="C53" s="538" t="s">
        <v>2577</v>
      </c>
      <c r="D53" s="538" t="s">
        <v>2578</v>
      </c>
      <c r="E53" s="538" t="s">
        <v>2579</v>
      </c>
      <c r="F53" s="538" t="s">
        <v>2580</v>
      </c>
      <c r="G53" s="538" t="s">
        <v>2581</v>
      </c>
      <c r="H53" s="538" t="s">
        <v>2582</v>
      </c>
      <c r="I53" s="538" t="s">
        <v>2583</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2547</v>
      </c>
      <c r="B61" s="527" t="s">
        <v>2590</v>
      </c>
      <c r="C61" s="572" t="s">
        <v>2585</v>
      </c>
      <c r="D61" s="572" t="s">
        <v>2586</v>
      </c>
      <c r="E61" s="572" t="s">
        <v>2587</v>
      </c>
      <c r="F61" s="572" t="s">
        <v>2588</v>
      </c>
      <c r="G61" s="572" t="s">
        <v>2589</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2728</v>
      </c>
      <c r="C63" s="577" t="s">
        <v>2585</v>
      </c>
      <c r="D63" s="577" t="s">
        <v>2586</v>
      </c>
      <c r="E63" s="577" t="s">
        <v>2587</v>
      </c>
      <c r="F63" s="577" t="s">
        <v>2588</v>
      </c>
      <c r="G63" s="577" t="s">
        <v>2589</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2677</v>
      </c>
      <c r="C65" s="659" t="s">
        <v>2663</v>
      </c>
      <c r="D65" s="659" t="s">
        <v>2664</v>
      </c>
      <c r="E65" s="659" t="s">
        <v>2665</v>
      </c>
      <c r="F65" s="659" t="s">
        <v>2666</v>
      </c>
      <c r="G65" s="659" t="s">
        <v>2667</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2597</v>
      </c>
      <c r="C67" s="577" t="s">
        <v>2585</v>
      </c>
      <c r="D67" s="577" t="s">
        <v>2586</v>
      </c>
      <c r="E67" s="577" t="s">
        <v>2587</v>
      </c>
      <c r="F67" s="577" t="s">
        <v>2588</v>
      </c>
      <c r="G67" s="577" t="s">
        <v>2589</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2717</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2551</v>
      </c>
      <c r="B77" s="527" t="s">
        <v>2604</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2720</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2721</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2729</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2730</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2731</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2732</v>
      </c>
      <c r="B1" s="394"/>
      <c r="C1" s="395" t="s">
        <v>2783</v>
      </c>
      <c r="D1" s="754"/>
      <c r="E1" s="754"/>
      <c r="F1" s="753" t="s">
        <v>2631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2318</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2320</v>
      </c>
      <c r="B3" s="608" t="e">
        <f>ROUND(IF(D3="",B2*10000/'数据-汇总表'!E3,B2*10000/D3),0)</f>
        <v>#DIV/0!</v>
      </c>
      <c r="C3" s="246" t="s">
        <v>2734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2633</v>
      </c>
      <c r="B4" s="401"/>
      <c r="C4" s="3208" t="s">
        <v>2634</v>
      </c>
      <c r="D4" s="3221"/>
      <c r="E4" s="3222" t="s">
        <v>2635</v>
      </c>
      <c r="F4" s="3223"/>
      <c r="G4" s="3208" t="s">
        <v>2636</v>
      </c>
      <c r="H4" s="3221"/>
      <c r="I4" s="3208" t="s">
        <v>2637</v>
      </c>
      <c r="J4" s="3221"/>
      <c r="K4" s="609" t="s">
        <v>2638</v>
      </c>
      <c r="L4" s="1132"/>
      <c r="M4" s="1133"/>
      <c r="N4" s="1133"/>
      <c r="O4" s="1133"/>
      <c r="P4" s="3224" t="s">
        <v>2639</v>
      </c>
      <c r="Q4" s="3225"/>
      <c r="R4" s="3230" t="s">
        <v>2635</v>
      </c>
      <c r="S4" s="3231"/>
      <c r="T4" s="3230" t="s">
        <v>2636</v>
      </c>
      <c r="U4" s="3231"/>
      <c r="V4" s="3217" t="s">
        <v>2637</v>
      </c>
      <c r="W4" s="3217"/>
      <c r="X4" s="1815"/>
      <c r="Y4" s="3230" t="s">
        <v>2639</v>
      </c>
      <c r="Z4" s="3231"/>
      <c r="AA4" s="3218" t="s">
        <v>2635</v>
      </c>
      <c r="AB4" s="3219" t="s">
        <v>2636</v>
      </c>
      <c r="AC4" s="3218" t="s">
        <v>2637</v>
      </c>
    </row>
    <row r="5" spans="1:29" ht="15">
      <c r="A5" s="403"/>
      <c r="B5" s="404"/>
      <c r="C5" s="3243" t="s">
        <v>2530</v>
      </c>
      <c r="D5" s="3239"/>
      <c r="E5" s="3286" t="s">
        <v>2531</v>
      </c>
      <c r="F5" s="3248"/>
      <c r="G5" s="3243" t="s">
        <v>2532</v>
      </c>
      <c r="H5" s="3239"/>
      <c r="I5" s="3243" t="s">
        <v>2533</v>
      </c>
      <c r="J5" s="3239"/>
      <c r="K5" s="609"/>
      <c r="L5" s="1132"/>
      <c r="M5" s="1133"/>
      <c r="N5" s="1133"/>
      <c r="O5" s="1133"/>
      <c r="P5" s="3226"/>
      <c r="Q5" s="3227"/>
      <c r="R5" s="3232"/>
      <c r="S5" s="3233"/>
      <c r="T5" s="3232"/>
      <c r="U5" s="3233"/>
      <c r="V5" s="3217"/>
      <c r="W5" s="3217"/>
      <c r="X5" s="1815"/>
      <c r="Y5" s="3232"/>
      <c r="Z5" s="3233"/>
      <c r="AA5" s="3219"/>
      <c r="AB5" s="3219"/>
      <c r="AC5" s="3219"/>
    </row>
    <row r="6" spans="1:29" ht="15.75" thickBot="1">
      <c r="A6" s="405"/>
      <c r="B6" s="406"/>
      <c r="C6" s="3302" t="s">
        <v>2784</v>
      </c>
      <c r="D6" s="3303"/>
      <c r="E6" s="3304" t="s">
        <v>2784</v>
      </c>
      <c r="F6" s="3305"/>
      <c r="G6" s="3302" t="s">
        <v>2784</v>
      </c>
      <c r="H6" s="3303"/>
      <c r="I6" s="3302" t="s">
        <v>2784</v>
      </c>
      <c r="J6" s="3303"/>
      <c r="K6" s="609" t="s">
        <v>2535</v>
      </c>
      <c r="L6" s="1132"/>
      <c r="M6" s="1133"/>
      <c r="N6" s="1133"/>
      <c r="O6" s="1133"/>
      <c r="P6" s="3228"/>
      <c r="Q6" s="3229"/>
      <c r="R6" s="3232"/>
      <c r="S6" s="3233"/>
      <c r="T6" s="3234"/>
      <c r="U6" s="3235"/>
      <c r="V6" s="3217"/>
      <c r="W6" s="3217"/>
      <c r="X6" s="1815"/>
      <c r="Y6" s="3234"/>
      <c r="Z6" s="3235"/>
      <c r="AA6" s="3220"/>
      <c r="AB6" s="3220"/>
      <c r="AC6" s="3220"/>
    </row>
    <row r="7" spans="1:29" s="117" customFormat="1" ht="15.75" thickBot="1">
      <c r="A7" s="407" t="s">
        <v>2536</v>
      </c>
      <c r="B7" s="408"/>
      <c r="C7" s="409">
        <f>'数据-取费表'!B2</f>
        <v>43248</v>
      </c>
      <c r="D7" s="410">
        <v>100</v>
      </c>
      <c r="E7" s="411"/>
      <c r="F7" s="412">
        <f>SUMIF(65:65,YEAR(E7)&amp;"-"&amp;INT((MONTH(E7)+2)/3),66:66)</f>
        <v>0</v>
      </c>
      <c r="G7" s="2694"/>
      <c r="H7" s="410">
        <f>SUMIF(65:65,YEAR(G7)&amp;"-"&amp;INT((MONTH(G7)+2)/3),66:66)</f>
        <v>0</v>
      </c>
      <c r="I7" s="2694"/>
      <c r="J7" s="410">
        <f>SUMIF(65:65,YEAR(I7)&amp;"-"&amp;INT((MONTH(I7)+2)/3),66:66)</f>
        <v>0</v>
      </c>
      <c r="K7" s="610"/>
      <c r="L7" s="1134"/>
      <c r="M7" s="1135"/>
      <c r="N7" s="1135"/>
      <c r="O7" s="1135"/>
      <c r="P7" s="3240" t="s">
        <v>2537</v>
      </c>
      <c r="Q7" s="3242"/>
      <c r="R7" s="769" t="s">
        <v>17</v>
      </c>
      <c r="S7" s="770">
        <f t="shared" ref="S7:S15" si="0">F7</f>
        <v>0</v>
      </c>
      <c r="T7" s="769" t="s">
        <v>17</v>
      </c>
      <c r="U7" s="770">
        <f t="shared" ref="U7:U15" si="1">H7</f>
        <v>0</v>
      </c>
      <c r="V7" s="769" t="s">
        <v>17</v>
      </c>
      <c r="W7" s="770">
        <f t="shared" ref="W7:W15" si="2">J7</f>
        <v>0</v>
      </c>
      <c r="X7" s="771"/>
      <c r="Y7" s="3240" t="s">
        <v>2537</v>
      </c>
      <c r="Z7" s="3241"/>
      <c r="AA7" s="772" t="e">
        <f>D7/F7</f>
        <v>#DIV/0!</v>
      </c>
      <c r="AB7" s="772" t="e">
        <f>D7/H7</f>
        <v>#DIV/0!</v>
      </c>
      <c r="AC7" s="772" t="e">
        <f>D7/J7</f>
        <v>#DIV/0!</v>
      </c>
    </row>
    <row r="8" spans="1:29" s="117" customFormat="1" ht="15.75" thickBot="1">
      <c r="A8" s="407" t="s">
        <v>2538</v>
      </c>
      <c r="B8" s="408"/>
      <c r="C8" s="413" t="s">
        <v>2539</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240" t="s">
        <v>2540</v>
      </c>
      <c r="Q8" s="3241"/>
      <c r="R8" s="769" t="s">
        <v>17</v>
      </c>
      <c r="S8" s="770">
        <f t="shared" si="0"/>
        <v>0</v>
      </c>
      <c r="T8" s="769" t="s">
        <v>17</v>
      </c>
      <c r="U8" s="770">
        <f t="shared" si="1"/>
        <v>0</v>
      </c>
      <c r="V8" s="769" t="s">
        <v>17</v>
      </c>
      <c r="W8" s="770">
        <f t="shared" si="2"/>
        <v>0</v>
      </c>
      <c r="X8" s="771"/>
      <c r="Y8" s="3240" t="s">
        <v>2540</v>
      </c>
      <c r="Z8" s="3241"/>
      <c r="AA8" s="772" t="e">
        <f t="shared" ref="AA8:AA40" si="3">D8/F8</f>
        <v>#DIV/0!</v>
      </c>
      <c r="AB8" s="772" t="e">
        <f t="shared" ref="AB8:AB40" si="4">D8/H8</f>
        <v>#DIV/0!</v>
      </c>
      <c r="AC8" s="772" t="e">
        <f t="shared" ref="AC8:AC40" si="5">D8/J8</f>
        <v>#DIV/0!</v>
      </c>
    </row>
    <row r="9" spans="1:29" s="117" customFormat="1">
      <c r="A9" s="414" t="s">
        <v>2541</v>
      </c>
      <c r="B9" s="71" t="s">
        <v>2542</v>
      </c>
      <c r="C9" s="2697"/>
      <c r="D9" s="134">
        <v>100</v>
      </c>
      <c r="E9" s="2697"/>
      <c r="F9" s="134">
        <f>SUMIF(70:70,E9,71:71)-SUMIF(70:70,C9,71:71)+100</f>
        <v>100</v>
      </c>
      <c r="G9" s="2697"/>
      <c r="H9" s="134">
        <f>SUMIF(70:70,G9,71:71)-SUMIF(70:70,C9,71:71)+100</f>
        <v>100</v>
      </c>
      <c r="I9" s="2697"/>
      <c r="J9" s="134">
        <f>SUMIF(70:70,I9,71:71)-SUMIF(70:70,C9,71:71)+100</f>
        <v>100</v>
      </c>
      <c r="K9" s="610"/>
      <c r="L9" s="1134"/>
      <c r="M9" s="1135"/>
      <c r="N9" s="1135"/>
      <c r="O9" s="1136"/>
      <c r="P9" s="3211" t="s">
        <v>2543</v>
      </c>
      <c r="Q9" s="1797" t="str">
        <f t="shared" ref="Q9:Q15" si="6">B9</f>
        <v>用途</v>
      </c>
      <c r="R9" s="769" t="s">
        <v>17</v>
      </c>
      <c r="S9" s="770">
        <f t="shared" si="0"/>
        <v>100</v>
      </c>
      <c r="T9" s="769" t="s">
        <v>17</v>
      </c>
      <c r="U9" s="770">
        <f t="shared" si="1"/>
        <v>100</v>
      </c>
      <c r="V9" s="769" t="s">
        <v>17</v>
      </c>
      <c r="W9" s="770">
        <f t="shared" si="2"/>
        <v>100</v>
      </c>
      <c r="X9" s="771"/>
      <c r="Y9" s="3059" t="s">
        <v>2544</v>
      </c>
      <c r="Z9" s="55" t="str">
        <f t="shared" ref="Z9:Z15" si="7">Q9</f>
        <v>用途</v>
      </c>
      <c r="AA9" s="772">
        <f t="shared" si="3"/>
        <v>1</v>
      </c>
      <c r="AB9" s="772">
        <f t="shared" si="4"/>
        <v>1</v>
      </c>
      <c r="AC9" s="772">
        <f t="shared" si="5"/>
        <v>1</v>
      </c>
    </row>
    <row r="10" spans="1:29" s="426" customFormat="1" ht="27">
      <c r="A10" s="420"/>
      <c r="B10" s="421" t="s">
        <v>2545</v>
      </c>
      <c r="C10" s="431"/>
      <c r="D10" s="135">
        <v>100</v>
      </c>
      <c r="E10" s="431"/>
      <c r="F10" s="135">
        <f>ROUND(100/'数据-取费表'!G16,0)</f>
        <v>101</v>
      </c>
      <c r="G10" s="431"/>
      <c r="H10" s="135">
        <f>ROUND(100/'数据-取费表'!G16,0)</f>
        <v>101</v>
      </c>
      <c r="I10" s="431"/>
      <c r="J10" s="135">
        <f>ROUND(100/'数据-取费表'!G16,0)</f>
        <v>101</v>
      </c>
      <c r="K10" s="671"/>
      <c r="L10" s="1137"/>
      <c r="M10" s="1138"/>
      <c r="N10" s="1138"/>
      <c r="O10" s="1139"/>
      <c r="P10" s="3211"/>
      <c r="Q10" s="1797" t="str">
        <f t="shared" si="6"/>
        <v>土地使用年限（年）</v>
      </c>
      <c r="R10" s="769" t="s">
        <v>17</v>
      </c>
      <c r="S10" s="770">
        <f t="shared" si="0"/>
        <v>101</v>
      </c>
      <c r="T10" s="769" t="s">
        <v>17</v>
      </c>
      <c r="U10" s="770">
        <f t="shared" si="1"/>
        <v>101</v>
      </c>
      <c r="V10" s="769" t="s">
        <v>17</v>
      </c>
      <c r="W10" s="770">
        <f t="shared" si="2"/>
        <v>101</v>
      </c>
      <c r="X10" s="771"/>
      <c r="Y10" s="3059"/>
      <c r="Z10" s="55" t="str">
        <f t="shared" si="7"/>
        <v>土地使用年限（年）</v>
      </c>
      <c r="AA10" s="772">
        <f t="shared" si="3"/>
        <v>0.99009900990099009</v>
      </c>
      <c r="AB10" s="772">
        <f t="shared" si="4"/>
        <v>0.99009900990099009</v>
      </c>
      <c r="AC10" s="772">
        <f t="shared" si="5"/>
        <v>0.99009900990099009</v>
      </c>
    </row>
    <row r="11" spans="1:29" ht="15">
      <c r="A11" s="427"/>
      <c r="B11" s="421" t="s">
        <v>2546</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211"/>
      <c r="Q11" s="1797" t="str">
        <f t="shared" si="6"/>
        <v>容积率</v>
      </c>
      <c r="R11" s="769" t="s">
        <v>17</v>
      </c>
      <c r="S11" s="770" t="e">
        <f t="shared" si="0"/>
        <v>#N/A</v>
      </c>
      <c r="T11" s="769" t="s">
        <v>17</v>
      </c>
      <c r="U11" s="770" t="e">
        <f t="shared" si="1"/>
        <v>#N/A</v>
      </c>
      <c r="V11" s="769" t="s">
        <v>17</v>
      </c>
      <c r="W11" s="770" t="e">
        <f t="shared" si="2"/>
        <v>#N/A</v>
      </c>
      <c r="X11" s="771"/>
      <c r="Y11" s="3059"/>
      <c r="Z11" s="55" t="str">
        <f t="shared" si="7"/>
        <v>容积率</v>
      </c>
      <c r="AA11" s="772" t="e">
        <f t="shared" si="3"/>
        <v>#N/A</v>
      </c>
      <c r="AB11" s="772" t="e">
        <f t="shared" si="4"/>
        <v>#N/A</v>
      </c>
      <c r="AC11" s="772" t="e">
        <f t="shared" si="5"/>
        <v>#N/A</v>
      </c>
    </row>
    <row r="12" spans="1:29" s="117" customFormat="1" ht="15">
      <c r="A12" s="430"/>
      <c r="B12" s="2598">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211"/>
      <c r="Q12" s="1797">
        <f t="shared" si="6"/>
        <v>111</v>
      </c>
      <c r="R12" s="769" t="s">
        <v>17</v>
      </c>
      <c r="S12" s="770">
        <f t="shared" si="0"/>
        <v>100</v>
      </c>
      <c r="T12" s="769" t="s">
        <v>17</v>
      </c>
      <c r="U12" s="770">
        <f t="shared" si="1"/>
        <v>100</v>
      </c>
      <c r="V12" s="769" t="s">
        <v>17</v>
      </c>
      <c r="W12" s="770">
        <f t="shared" si="2"/>
        <v>100</v>
      </c>
      <c r="X12" s="771"/>
      <c r="Y12" s="3059"/>
      <c r="Z12" s="55">
        <f t="shared" si="7"/>
        <v>111</v>
      </c>
      <c r="AA12" s="772">
        <f>D12/F12</f>
        <v>1</v>
      </c>
      <c r="AB12" s="772">
        <f>D12/H12</f>
        <v>1</v>
      </c>
      <c r="AC12" s="772">
        <f>D12/J12</f>
        <v>1</v>
      </c>
    </row>
    <row r="13" spans="1:29" ht="15">
      <c r="A13" s="427"/>
      <c r="B13" s="2598">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211"/>
      <c r="Q13" s="1797">
        <f t="shared" si="6"/>
        <v>111</v>
      </c>
      <c r="R13" s="769" t="s">
        <v>17</v>
      </c>
      <c r="S13" s="770">
        <f t="shared" si="0"/>
        <v>100</v>
      </c>
      <c r="T13" s="769" t="s">
        <v>17</v>
      </c>
      <c r="U13" s="770">
        <f t="shared" si="1"/>
        <v>100</v>
      </c>
      <c r="V13" s="769" t="s">
        <v>17</v>
      </c>
      <c r="W13" s="770">
        <f t="shared" si="2"/>
        <v>100</v>
      </c>
      <c r="X13" s="771"/>
      <c r="Y13" s="3059"/>
      <c r="Z13" s="55">
        <f t="shared" si="7"/>
        <v>111</v>
      </c>
      <c r="AA13" s="772">
        <f t="shared" si="3"/>
        <v>1</v>
      </c>
      <c r="AB13" s="772">
        <f t="shared" si="4"/>
        <v>1</v>
      </c>
      <c r="AC13" s="772">
        <f t="shared" si="5"/>
        <v>1</v>
      </c>
    </row>
    <row r="14" spans="1:29" ht="15.75" thickBot="1">
      <c r="A14" s="435"/>
      <c r="B14" s="2600">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211"/>
      <c r="Q14" s="1797">
        <f t="shared" si="6"/>
        <v>111</v>
      </c>
      <c r="R14" s="769" t="s">
        <v>17</v>
      </c>
      <c r="S14" s="770">
        <f t="shared" si="0"/>
        <v>100</v>
      </c>
      <c r="T14" s="769" t="s">
        <v>17</v>
      </c>
      <c r="U14" s="770">
        <f t="shared" si="1"/>
        <v>100</v>
      </c>
      <c r="V14" s="769" t="s">
        <v>17</v>
      </c>
      <c r="W14" s="770">
        <f t="shared" si="2"/>
        <v>100</v>
      </c>
      <c r="X14" s="771"/>
      <c r="Y14" s="3059"/>
      <c r="Z14" s="55">
        <f t="shared" si="7"/>
        <v>111</v>
      </c>
      <c r="AA14" s="772">
        <f t="shared" si="3"/>
        <v>1</v>
      </c>
      <c r="AB14" s="772">
        <f t="shared" si="4"/>
        <v>1</v>
      </c>
      <c r="AC14" s="772">
        <f t="shared" si="5"/>
        <v>1</v>
      </c>
    </row>
    <row r="15" spans="1:29" ht="15">
      <c r="A15" s="439" t="s">
        <v>2547</v>
      </c>
      <c r="B15" s="628" t="s">
        <v>2785</v>
      </c>
      <c r="C15" s="2691">
        <f>估价对象房地状况!G15</f>
        <v>0</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213" t="s">
        <v>2548</v>
      </c>
      <c r="Q15" s="1812" t="str">
        <f t="shared" si="6"/>
        <v>产业集聚程度</v>
      </c>
      <c r="R15" s="773" t="s">
        <v>17</v>
      </c>
      <c r="S15" s="774">
        <f t="shared" si="0"/>
        <v>100</v>
      </c>
      <c r="T15" s="773" t="s">
        <v>17</v>
      </c>
      <c r="U15" s="774">
        <f t="shared" si="1"/>
        <v>100</v>
      </c>
      <c r="V15" s="773" t="s">
        <v>17</v>
      </c>
      <c r="W15" s="774">
        <f t="shared" si="2"/>
        <v>100</v>
      </c>
      <c r="X15" s="1815"/>
      <c r="Y15" s="3213" t="s">
        <v>2548</v>
      </c>
      <c r="Z15" s="1816" t="str">
        <f t="shared" si="7"/>
        <v>产业集聚程度</v>
      </c>
      <c r="AA15" s="1813">
        <f t="shared" si="3"/>
        <v>1</v>
      </c>
      <c r="AB15" s="1813">
        <f t="shared" si="4"/>
        <v>1</v>
      </c>
      <c r="AC15" s="1813">
        <f t="shared" si="5"/>
        <v>1</v>
      </c>
    </row>
    <row r="16" spans="1:29" ht="15">
      <c r="A16" s="427"/>
      <c r="B16" s="629"/>
      <c r="C16" s="446"/>
      <c r="D16" s="447"/>
      <c r="E16" s="2609"/>
      <c r="F16" s="447"/>
      <c r="G16" s="2609"/>
      <c r="H16" s="449"/>
      <c r="I16" s="2609"/>
      <c r="J16" s="447"/>
      <c r="K16" s="671"/>
      <c r="L16" s="1142"/>
      <c r="M16" s="1133"/>
      <c r="N16" s="1133"/>
      <c r="O16" s="1141"/>
      <c r="P16" s="3214"/>
      <c r="Q16" s="1812"/>
      <c r="R16" s="773"/>
      <c r="S16" s="774"/>
      <c r="T16" s="773"/>
      <c r="U16" s="774"/>
      <c r="V16" s="773"/>
      <c r="W16" s="774"/>
      <c r="X16" s="1815"/>
      <c r="Y16" s="3214"/>
      <c r="Z16" s="1816"/>
      <c r="AA16" s="1813">
        <v>1</v>
      </c>
      <c r="AB16" s="1813">
        <v>1</v>
      </c>
      <c r="AC16" s="1813">
        <v>1</v>
      </c>
    </row>
    <row r="17" spans="1:29" ht="15">
      <c r="A17" s="427"/>
      <c r="B17" s="630" t="s">
        <v>2697</v>
      </c>
      <c r="C17" s="2605">
        <f>估价对象房地状况!G16</f>
        <v>0</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214"/>
      <c r="Q17" s="1812" t="str">
        <f>B17</f>
        <v>交通便捷度</v>
      </c>
      <c r="R17" s="773" t="s">
        <v>17</v>
      </c>
      <c r="S17" s="774">
        <f>F17</f>
        <v>100</v>
      </c>
      <c r="T17" s="773" t="s">
        <v>17</v>
      </c>
      <c r="U17" s="774">
        <f>H17</f>
        <v>100</v>
      </c>
      <c r="V17" s="773" t="s">
        <v>17</v>
      </c>
      <c r="W17" s="774">
        <f>J17</f>
        <v>100</v>
      </c>
      <c r="X17" s="1815"/>
      <c r="Y17" s="3214"/>
      <c r="Z17" s="1816" t="str">
        <f>Q17</f>
        <v>交通便捷度</v>
      </c>
      <c r="AA17" s="1813">
        <f t="shared" si="3"/>
        <v>1</v>
      </c>
      <c r="AB17" s="1813">
        <f t="shared" si="4"/>
        <v>1</v>
      </c>
      <c r="AC17" s="1813">
        <f t="shared" si="5"/>
        <v>1</v>
      </c>
    </row>
    <row r="18" spans="1:29" ht="15">
      <c r="A18" s="427"/>
      <c r="B18" s="631"/>
      <c r="C18" s="446"/>
      <c r="D18" s="447"/>
      <c r="E18" s="2603"/>
      <c r="F18" s="447"/>
      <c r="G18" s="2603"/>
      <c r="H18" s="447"/>
      <c r="I18" s="2602"/>
      <c r="J18" s="447"/>
      <c r="K18" s="671"/>
      <c r="L18" s="1142"/>
      <c r="M18" s="1133"/>
      <c r="N18" s="1133"/>
      <c r="O18" s="1141"/>
      <c r="P18" s="3214"/>
      <c r="Q18" s="1812"/>
      <c r="R18" s="773"/>
      <c r="S18" s="774"/>
      <c r="T18" s="773"/>
      <c r="U18" s="774"/>
      <c r="V18" s="773"/>
      <c r="W18" s="774"/>
      <c r="X18" s="1815"/>
      <c r="Y18" s="3214"/>
      <c r="Z18" s="1816"/>
      <c r="AA18" s="1813">
        <v>1</v>
      </c>
      <c r="AB18" s="1813">
        <v>1</v>
      </c>
      <c r="AC18" s="1813">
        <v>1</v>
      </c>
    </row>
    <row r="19" spans="1:29" ht="15">
      <c r="A19" s="427"/>
      <c r="B19" s="630" t="s">
        <v>2735</v>
      </c>
      <c r="C19" s="2605">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214"/>
      <c r="Q19" s="1812" t="str">
        <f t="shared" ref="Q19:Q33" si="8">B19</f>
        <v>区域土地利用方向</v>
      </c>
      <c r="R19" s="773" t="s">
        <v>17</v>
      </c>
      <c r="S19" s="774">
        <f>F19</f>
        <v>100</v>
      </c>
      <c r="T19" s="773" t="s">
        <v>17</v>
      </c>
      <c r="U19" s="774">
        <f>H19</f>
        <v>100</v>
      </c>
      <c r="V19" s="773" t="s">
        <v>17</v>
      </c>
      <c r="W19" s="774">
        <f>J19</f>
        <v>100</v>
      </c>
      <c r="X19" s="1815"/>
      <c r="Y19" s="3214"/>
      <c r="Z19" s="1816" t="str">
        <f>Q19</f>
        <v>区域土地利用方向</v>
      </c>
      <c r="AA19" s="1813">
        <f t="shared" si="3"/>
        <v>1</v>
      </c>
      <c r="AB19" s="1813">
        <f t="shared" si="4"/>
        <v>1</v>
      </c>
      <c r="AC19" s="1813">
        <f t="shared" si="5"/>
        <v>1</v>
      </c>
    </row>
    <row r="20" spans="1:29" ht="15">
      <c r="A20" s="403"/>
      <c r="B20" s="631"/>
      <c r="C20" s="446"/>
      <c r="D20" s="447"/>
      <c r="E20" s="2603"/>
      <c r="F20" s="447"/>
      <c r="G20" s="2603"/>
      <c r="H20" s="447"/>
      <c r="I20" s="2603"/>
      <c r="J20" s="447"/>
      <c r="K20" s="811"/>
      <c r="L20" s="1142"/>
      <c r="M20" s="1133"/>
      <c r="N20" s="1133"/>
      <c r="O20" s="1141"/>
      <c r="P20" s="3214"/>
      <c r="Q20" s="1812"/>
      <c r="R20" s="773"/>
      <c r="S20" s="774"/>
      <c r="T20" s="773"/>
      <c r="U20" s="774"/>
      <c r="V20" s="773"/>
      <c r="W20" s="774"/>
      <c r="X20" s="1815"/>
      <c r="Y20" s="3214"/>
      <c r="Z20" s="1816"/>
      <c r="AA20" s="1813"/>
      <c r="AB20" s="1813"/>
      <c r="AC20" s="1813"/>
    </row>
    <row r="21" spans="1:29" ht="15">
      <c r="A21" s="403"/>
      <c r="B21" s="630" t="s">
        <v>2786</v>
      </c>
      <c r="C21" s="2605">
        <f>估价对象房地状况!G18</f>
        <v>0</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214"/>
      <c r="Q21" s="1812" t="str">
        <f t="shared" si="8"/>
        <v>环境状况</v>
      </c>
      <c r="R21" s="773" t="s">
        <v>17</v>
      </c>
      <c r="S21" s="774">
        <f>F21</f>
        <v>100</v>
      </c>
      <c r="T21" s="773" t="s">
        <v>17</v>
      </c>
      <c r="U21" s="774">
        <f>H21</f>
        <v>100</v>
      </c>
      <c r="V21" s="773" t="s">
        <v>17</v>
      </c>
      <c r="W21" s="774">
        <f>J21</f>
        <v>100</v>
      </c>
      <c r="X21" s="1815"/>
      <c r="Y21" s="3214"/>
      <c r="Z21" s="1816" t="str">
        <f>Q21</f>
        <v>环境状况</v>
      </c>
      <c r="AA21" s="1813">
        <f t="shared" si="3"/>
        <v>1</v>
      </c>
      <c r="AB21" s="1813">
        <f t="shared" si="4"/>
        <v>1</v>
      </c>
      <c r="AC21" s="1813">
        <f t="shared" si="5"/>
        <v>1</v>
      </c>
    </row>
    <row r="22" spans="1:29" ht="15">
      <c r="A22" s="403"/>
      <c r="B22" s="631"/>
      <c r="C22" s="446"/>
      <c r="D22" s="447"/>
      <c r="E22" s="2609"/>
      <c r="F22" s="447"/>
      <c r="G22" s="2609"/>
      <c r="H22" s="447"/>
      <c r="I22" s="446"/>
      <c r="J22" s="447"/>
      <c r="K22" s="671"/>
      <c r="L22" s="1142"/>
      <c r="M22" s="1133"/>
      <c r="N22" s="1133"/>
      <c r="O22" s="1141"/>
      <c r="P22" s="3214"/>
      <c r="Q22" s="1812"/>
      <c r="R22" s="773"/>
      <c r="S22" s="774"/>
      <c r="T22" s="773"/>
      <c r="U22" s="774"/>
      <c r="V22" s="773"/>
      <c r="W22" s="774"/>
      <c r="X22" s="1815"/>
      <c r="Y22" s="3214"/>
      <c r="Z22" s="1816"/>
      <c r="AA22" s="1813">
        <v>1</v>
      </c>
      <c r="AB22" s="1813">
        <v>1</v>
      </c>
      <c r="AC22" s="1813">
        <v>1</v>
      </c>
    </row>
    <row r="23" spans="1:29" s="117" customFormat="1" ht="15">
      <c r="A23" s="648"/>
      <c r="B23" s="632" t="s">
        <v>2642</v>
      </c>
      <c r="C23" s="2605">
        <f>估价对象房地状况!G19</f>
        <v>0</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214"/>
      <c r="Q23" s="1797" t="str">
        <f t="shared" si="8"/>
        <v>公共配套设施</v>
      </c>
      <c r="R23" s="769" t="s">
        <v>17</v>
      </c>
      <c r="S23" s="770">
        <f>F23</f>
        <v>100</v>
      </c>
      <c r="T23" s="769" t="s">
        <v>17</v>
      </c>
      <c r="U23" s="770">
        <f>H23</f>
        <v>100</v>
      </c>
      <c r="V23" s="769" t="s">
        <v>17</v>
      </c>
      <c r="W23" s="770">
        <f>J23</f>
        <v>100</v>
      </c>
      <c r="X23" s="771"/>
      <c r="Y23" s="3214"/>
      <c r="Z23" s="55" t="str">
        <f>Q23</f>
        <v>公共配套设施</v>
      </c>
      <c r="AA23" s="1813">
        <f>D23/F23</f>
        <v>1</v>
      </c>
      <c r="AB23" s="1813">
        <f>D23/H23</f>
        <v>1</v>
      </c>
      <c r="AC23" s="1813">
        <f>D23/J23</f>
        <v>1</v>
      </c>
    </row>
    <row r="24" spans="1:29" s="117" customFormat="1" ht="15">
      <c r="A24" s="648"/>
      <c r="B24" s="631"/>
      <c r="C24" s="2698"/>
      <c r="D24" s="447"/>
      <c r="E24" s="2609"/>
      <c r="F24" s="447"/>
      <c r="G24" s="2609"/>
      <c r="H24" s="447"/>
      <c r="I24" s="446"/>
      <c r="J24" s="447"/>
      <c r="K24" s="671"/>
      <c r="L24" s="1134"/>
      <c r="M24" s="1135"/>
      <c r="N24" s="1135"/>
      <c r="O24" s="1136"/>
      <c r="P24" s="3214"/>
      <c r="Q24" s="1797"/>
      <c r="R24" s="769"/>
      <c r="S24" s="770"/>
      <c r="T24" s="769"/>
      <c r="U24" s="770"/>
      <c r="V24" s="769"/>
      <c r="W24" s="770"/>
      <c r="X24" s="771"/>
      <c r="Y24" s="3214"/>
      <c r="Z24" s="55"/>
      <c r="AA24" s="772">
        <v>1</v>
      </c>
      <c r="AB24" s="772">
        <v>1</v>
      </c>
      <c r="AC24" s="772">
        <v>1</v>
      </c>
    </row>
    <row r="25" spans="1:29" s="117" customFormat="1" ht="15">
      <c r="A25" s="648"/>
      <c r="B25" s="632" t="s">
        <v>2643</v>
      </c>
      <c r="C25" s="2605">
        <f>估价对象房地状况!G20</f>
        <v>0</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214"/>
      <c r="Q25" s="1797" t="str">
        <f t="shared" ref="Q25" si="9">B25</f>
        <v>基础设施水平</v>
      </c>
      <c r="R25" s="769" t="s">
        <v>17</v>
      </c>
      <c r="S25" s="770">
        <f>F25</f>
        <v>100</v>
      </c>
      <c r="T25" s="769" t="s">
        <v>17</v>
      </c>
      <c r="U25" s="770">
        <f>H25</f>
        <v>100</v>
      </c>
      <c r="V25" s="769" t="s">
        <v>17</v>
      </c>
      <c r="W25" s="770">
        <f>J25</f>
        <v>100</v>
      </c>
      <c r="X25" s="771"/>
      <c r="Y25" s="3214"/>
      <c r="Z25" s="55" t="str">
        <f>Q25</f>
        <v>基础设施水平</v>
      </c>
      <c r="AA25" s="1813">
        <f>D25/F25</f>
        <v>1</v>
      </c>
      <c r="AB25" s="1813">
        <f>D25/H25</f>
        <v>1</v>
      </c>
      <c r="AC25" s="1813">
        <f>D25/J25</f>
        <v>1</v>
      </c>
    </row>
    <row r="26" spans="1:29" s="117" customFormat="1" ht="15">
      <c r="A26" s="648"/>
      <c r="B26" s="631"/>
      <c r="C26" s="2698"/>
      <c r="D26" s="447"/>
      <c r="E26" s="2699"/>
      <c r="F26" s="447"/>
      <c r="G26" s="2699"/>
      <c r="H26" s="447"/>
      <c r="I26" s="2699"/>
      <c r="J26" s="447"/>
      <c r="K26" s="671"/>
      <c r="L26" s="1134"/>
      <c r="M26" s="1135"/>
      <c r="N26" s="1135"/>
      <c r="O26" s="1136"/>
      <c r="P26" s="3214"/>
      <c r="Q26" s="1797"/>
      <c r="R26" s="769"/>
      <c r="S26" s="770"/>
      <c r="T26" s="769"/>
      <c r="U26" s="770"/>
      <c r="V26" s="769"/>
      <c r="W26" s="770"/>
      <c r="X26" s="771"/>
      <c r="Y26" s="3214"/>
      <c r="Z26" s="55"/>
      <c r="AA26" s="772">
        <v>1</v>
      </c>
      <c r="AB26" s="772">
        <v>1</v>
      </c>
      <c r="AC26" s="772">
        <v>1</v>
      </c>
    </row>
    <row r="27" spans="1:29" ht="15">
      <c r="A27" s="427"/>
      <c r="B27" s="631" t="s">
        <v>2644</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214"/>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14"/>
      <c r="Z27" s="1816" t="str">
        <f t="shared" ref="Z27:Z40" si="13">Q27</f>
        <v>临街状况</v>
      </c>
      <c r="AA27" s="1813">
        <f t="shared" si="3"/>
        <v>1</v>
      </c>
      <c r="AB27" s="1813">
        <f t="shared" si="4"/>
        <v>1</v>
      </c>
      <c r="AC27" s="1813">
        <f t="shared" si="5"/>
        <v>1</v>
      </c>
    </row>
    <row r="28" spans="1:29" ht="27">
      <c r="A28" s="427"/>
      <c r="B28" s="632" t="s">
        <v>2679</v>
      </c>
      <c r="C28" s="2711">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214"/>
      <c r="Q28" s="1812" t="str">
        <f t="shared" si="8"/>
        <v>毗邻道路的类型与等级</v>
      </c>
      <c r="R28" s="773" t="s">
        <v>17</v>
      </c>
      <c r="S28" s="774">
        <f t="shared" si="10"/>
        <v>100</v>
      </c>
      <c r="T28" s="773" t="s">
        <v>17</v>
      </c>
      <c r="U28" s="774">
        <f t="shared" si="11"/>
        <v>100</v>
      </c>
      <c r="V28" s="773" t="s">
        <v>17</v>
      </c>
      <c r="W28" s="774">
        <f t="shared" si="12"/>
        <v>100</v>
      </c>
      <c r="X28" s="1815"/>
      <c r="Y28" s="3214"/>
      <c r="Z28" s="1816" t="str">
        <f t="shared" si="13"/>
        <v>毗邻道路的类型与等级</v>
      </c>
      <c r="AA28" s="1813">
        <f t="shared" si="3"/>
        <v>1</v>
      </c>
      <c r="AB28" s="1813">
        <f t="shared" si="4"/>
        <v>1</v>
      </c>
      <c r="AC28" s="1813">
        <f t="shared" si="5"/>
        <v>1</v>
      </c>
    </row>
    <row r="29" spans="1:29" ht="15">
      <c r="A29" s="427"/>
      <c r="B29" s="631"/>
      <c r="C29" s="446"/>
      <c r="D29" s="447"/>
      <c r="E29" s="2609"/>
      <c r="F29" s="447"/>
      <c r="G29" s="2609"/>
      <c r="H29" s="447"/>
      <c r="I29" s="2609"/>
      <c r="J29" s="447"/>
      <c r="K29" s="612"/>
      <c r="L29" s="1142"/>
      <c r="M29" s="1133"/>
      <c r="N29" s="1133"/>
      <c r="O29" s="1141"/>
      <c r="P29" s="3214"/>
      <c r="Q29" s="1812"/>
      <c r="R29" s="773"/>
      <c r="S29" s="774"/>
      <c r="T29" s="773"/>
      <c r="U29" s="774"/>
      <c r="V29" s="773"/>
      <c r="W29" s="774"/>
      <c r="X29" s="1815"/>
      <c r="Y29" s="3214"/>
      <c r="Z29" s="1816"/>
      <c r="AA29" s="1813">
        <v>1</v>
      </c>
      <c r="AB29" s="1813">
        <v>1</v>
      </c>
      <c r="AC29" s="1813">
        <v>1</v>
      </c>
    </row>
    <row r="30" spans="1:29" ht="15">
      <c r="A30" s="427"/>
      <c r="B30" s="653" t="s">
        <v>2737</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214"/>
      <c r="Q30" s="1812" t="str">
        <f t="shared" si="8"/>
        <v>土地级别</v>
      </c>
      <c r="R30" s="773" t="s">
        <v>17</v>
      </c>
      <c r="S30" s="774">
        <f t="shared" si="10"/>
        <v>100</v>
      </c>
      <c r="T30" s="773" t="s">
        <v>17</v>
      </c>
      <c r="U30" s="774">
        <f t="shared" si="11"/>
        <v>100</v>
      </c>
      <c r="V30" s="773" t="s">
        <v>17</v>
      </c>
      <c r="W30" s="774">
        <f t="shared" si="12"/>
        <v>100</v>
      </c>
      <c r="X30" s="1815"/>
      <c r="Y30" s="3214"/>
      <c r="Z30" s="1816" t="str">
        <f t="shared" si="13"/>
        <v>土地级别</v>
      </c>
      <c r="AA30" s="1813">
        <f t="shared" si="3"/>
        <v>1</v>
      </c>
      <c r="AB30" s="1813">
        <f t="shared" si="4"/>
        <v>1</v>
      </c>
      <c r="AC30" s="1813">
        <f t="shared" si="5"/>
        <v>1</v>
      </c>
    </row>
    <row r="31" spans="1:29" ht="15">
      <c r="A31" s="403"/>
      <c r="B31" s="2676">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214"/>
      <c r="Q31" s="1812">
        <f t="shared" si="8"/>
        <v>111</v>
      </c>
      <c r="R31" s="773" t="s">
        <v>17</v>
      </c>
      <c r="S31" s="774">
        <f t="shared" si="10"/>
        <v>100</v>
      </c>
      <c r="T31" s="773" t="s">
        <v>17</v>
      </c>
      <c r="U31" s="774">
        <f t="shared" si="11"/>
        <v>100</v>
      </c>
      <c r="V31" s="773" t="s">
        <v>17</v>
      </c>
      <c r="W31" s="774">
        <f t="shared" si="12"/>
        <v>100</v>
      </c>
      <c r="X31" s="1815"/>
      <c r="Y31" s="3214"/>
      <c r="Z31" s="1816">
        <f t="shared" si="13"/>
        <v>111</v>
      </c>
      <c r="AA31" s="1813">
        <f t="shared" si="3"/>
        <v>1</v>
      </c>
      <c r="AB31" s="1813">
        <f t="shared" si="4"/>
        <v>1</v>
      </c>
      <c r="AC31" s="1813">
        <f t="shared" si="5"/>
        <v>1</v>
      </c>
    </row>
    <row r="32" spans="1:29" ht="15">
      <c r="A32" s="674"/>
      <c r="B32" s="2712">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15" t="s">
        <v>2553</v>
      </c>
      <c r="Q32" s="1812">
        <f t="shared" si="8"/>
        <v>111</v>
      </c>
      <c r="R32" s="773" t="s">
        <v>17</v>
      </c>
      <c r="S32" s="774">
        <f t="shared" si="10"/>
        <v>100</v>
      </c>
      <c r="T32" s="773" t="s">
        <v>17</v>
      </c>
      <c r="U32" s="774">
        <f t="shared" si="11"/>
        <v>100</v>
      </c>
      <c r="V32" s="773" t="s">
        <v>17</v>
      </c>
      <c r="W32" s="774">
        <f t="shared" si="12"/>
        <v>100</v>
      </c>
      <c r="X32" s="1815"/>
      <c r="Y32" s="3216" t="s">
        <v>2553</v>
      </c>
      <c r="Z32" s="1816">
        <f t="shared" si="13"/>
        <v>111</v>
      </c>
      <c r="AA32" s="1813">
        <f t="shared" si="3"/>
        <v>1</v>
      </c>
      <c r="AB32" s="1813">
        <f t="shared" si="4"/>
        <v>1</v>
      </c>
      <c r="AC32" s="1813">
        <f t="shared" si="5"/>
        <v>1</v>
      </c>
    </row>
    <row r="33" spans="1:29" s="470" customFormat="1" ht="15.75" thickBot="1">
      <c r="A33" s="675"/>
      <c r="B33" s="2713">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216"/>
      <c r="Q33" s="1812">
        <f t="shared" si="8"/>
        <v>111</v>
      </c>
      <c r="R33" s="776" t="s">
        <v>17</v>
      </c>
      <c r="S33" s="777">
        <f t="shared" si="10"/>
        <v>100</v>
      </c>
      <c r="T33" s="776" t="s">
        <v>17</v>
      </c>
      <c r="U33" s="777">
        <f t="shared" si="11"/>
        <v>100</v>
      </c>
      <c r="V33" s="776" t="s">
        <v>17</v>
      </c>
      <c r="W33" s="777">
        <f t="shared" si="12"/>
        <v>100</v>
      </c>
      <c r="X33" s="778"/>
      <c r="Y33" s="3216"/>
      <c r="Z33" s="779">
        <f t="shared" si="13"/>
        <v>111</v>
      </c>
      <c r="AA33" s="1813">
        <f t="shared" si="3"/>
        <v>1</v>
      </c>
      <c r="AB33" s="1813">
        <f t="shared" si="4"/>
        <v>1</v>
      </c>
      <c r="AC33" s="1813">
        <f t="shared" si="5"/>
        <v>1</v>
      </c>
    </row>
    <row r="34" spans="1:29" ht="15">
      <c r="A34" s="439" t="s">
        <v>2551</v>
      </c>
      <c r="B34" s="455" t="s">
        <v>2738</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216"/>
      <c r="Q34" s="1812" t="str">
        <f>B34</f>
        <v>宗地面积</v>
      </c>
      <c r="R34" s="773" t="s">
        <v>17</v>
      </c>
      <c r="S34" s="774" t="e">
        <f t="shared" si="10"/>
        <v>#N/A</v>
      </c>
      <c r="T34" s="773" t="s">
        <v>17</v>
      </c>
      <c r="U34" s="774" t="e">
        <f t="shared" si="11"/>
        <v>#N/A</v>
      </c>
      <c r="V34" s="773" t="s">
        <v>17</v>
      </c>
      <c r="W34" s="774" t="e">
        <f t="shared" si="12"/>
        <v>#N/A</v>
      </c>
      <c r="X34" s="1815"/>
      <c r="Y34" s="3216"/>
      <c r="Z34" s="1816" t="str">
        <f t="shared" si="13"/>
        <v>宗地面积</v>
      </c>
      <c r="AA34" s="1813" t="e">
        <f t="shared" si="3"/>
        <v>#N/A</v>
      </c>
      <c r="AB34" s="1813" t="e">
        <f t="shared" si="4"/>
        <v>#N/A</v>
      </c>
      <c r="AC34" s="1813" t="e">
        <f t="shared" si="5"/>
        <v>#N/A</v>
      </c>
    </row>
    <row r="35" spans="1:29" ht="15">
      <c r="A35" s="471"/>
      <c r="B35" s="421" t="s">
        <v>2739</v>
      </c>
      <c r="C35" s="2611"/>
      <c r="D35" s="434">
        <v>100</v>
      </c>
      <c r="E35" s="2611"/>
      <c r="F35" s="434">
        <f>SUMIF(110:110,E35,111:111)-SUMIF(110:110,C35,111:111)+100</f>
        <v>100</v>
      </c>
      <c r="G35" s="2611"/>
      <c r="H35" s="434">
        <f>SUMIF(110:110,G35,111:111)-SUMIF(110:110,C35,111:111)+100</f>
        <v>100</v>
      </c>
      <c r="I35" s="2611"/>
      <c r="J35" s="434">
        <f>SUMIF(110:110,I35,111:111)-SUMIF(110:110,C35,111:111)+100</f>
        <v>100</v>
      </c>
      <c r="K35" s="611"/>
      <c r="L35" s="1142"/>
      <c r="M35" s="1133"/>
      <c r="N35" s="1133"/>
      <c r="O35" s="1141"/>
      <c r="P35" s="3216"/>
      <c r="Q35" s="1812" t="str">
        <f t="shared" ref="Q35:Q40" si="14">B35</f>
        <v>宗地形状</v>
      </c>
      <c r="R35" s="773" t="s">
        <v>17</v>
      </c>
      <c r="S35" s="774">
        <f t="shared" si="10"/>
        <v>100</v>
      </c>
      <c r="T35" s="773" t="s">
        <v>17</v>
      </c>
      <c r="U35" s="774">
        <f t="shared" si="11"/>
        <v>100</v>
      </c>
      <c r="V35" s="773" t="s">
        <v>17</v>
      </c>
      <c r="W35" s="774">
        <f t="shared" si="12"/>
        <v>100</v>
      </c>
      <c r="X35" s="1815"/>
      <c r="Y35" s="3216"/>
      <c r="Z35" s="1816" t="str">
        <f t="shared" si="13"/>
        <v>宗地形状</v>
      </c>
      <c r="AA35" s="1813">
        <f t="shared" si="3"/>
        <v>1</v>
      </c>
      <c r="AB35" s="1813">
        <f t="shared" si="4"/>
        <v>1</v>
      </c>
      <c r="AC35" s="1813">
        <f t="shared" si="5"/>
        <v>1</v>
      </c>
    </row>
    <row r="36" spans="1:29" s="117" customFormat="1" ht="15">
      <c r="A36" s="472"/>
      <c r="B36" s="421" t="s">
        <v>2741</v>
      </c>
      <c r="C36" s="2700"/>
      <c r="D36" s="135">
        <v>100</v>
      </c>
      <c r="E36" s="2700"/>
      <c r="F36" s="434">
        <f>SUMIF(112:112,E36,113:113)-SUMIF(112:112,C36,113:113)+100</f>
        <v>100</v>
      </c>
      <c r="G36" s="2700"/>
      <c r="H36" s="434">
        <f>SUMIF(112:112,G36,113:113)-SUMIF(112:112,C36,113:113)+100</f>
        <v>100</v>
      </c>
      <c r="I36" s="2700"/>
      <c r="J36" s="434">
        <f>SUMIF(112:112,I36,113:113)-SUMIF(112:112,C36,113:113)+100</f>
        <v>100</v>
      </c>
      <c r="K36" s="611"/>
      <c r="L36" s="1134"/>
      <c r="M36" s="1135"/>
      <c r="N36" s="1135"/>
      <c r="O36" s="1136"/>
      <c r="P36" s="3216"/>
      <c r="Q36" s="1812" t="str">
        <f t="shared" si="14"/>
        <v>宗地开发程度</v>
      </c>
      <c r="R36" s="769" t="s">
        <v>17</v>
      </c>
      <c r="S36" s="770">
        <f t="shared" si="10"/>
        <v>100</v>
      </c>
      <c r="T36" s="769" t="s">
        <v>17</v>
      </c>
      <c r="U36" s="770">
        <f t="shared" si="11"/>
        <v>100</v>
      </c>
      <c r="V36" s="769" t="s">
        <v>17</v>
      </c>
      <c r="W36" s="770">
        <f t="shared" si="12"/>
        <v>100</v>
      </c>
      <c r="X36" s="771"/>
      <c r="Y36" s="3216"/>
      <c r="Z36" s="55" t="str">
        <f t="shared" si="13"/>
        <v>宗地开发程度</v>
      </c>
      <c r="AA36" s="772">
        <f t="shared" si="3"/>
        <v>1</v>
      </c>
      <c r="AB36" s="772">
        <f t="shared" si="4"/>
        <v>1</v>
      </c>
      <c r="AC36" s="772">
        <f t="shared" si="5"/>
        <v>1</v>
      </c>
    </row>
    <row r="37" spans="1:29" ht="15">
      <c r="A37" s="471"/>
      <c r="B37" s="421" t="s">
        <v>2742</v>
      </c>
      <c r="C37" s="2611"/>
      <c r="D37" s="434">
        <v>100</v>
      </c>
      <c r="E37" s="2611"/>
      <c r="F37" s="434">
        <f>SUMIF(114:114,E37,115:115)-SUMIF(114:114,C37,115:115)+100</f>
        <v>100</v>
      </c>
      <c r="G37" s="2611"/>
      <c r="H37" s="434">
        <f>SUMIF(114:114,G37,115:115)-SUMIF(114:114,C37,115:115)+100</f>
        <v>100</v>
      </c>
      <c r="I37" s="2611"/>
      <c r="J37" s="434">
        <f>SUMIF(114:114,I37,115:115)-SUMIF(114:114,C37,115:115)+100</f>
        <v>100</v>
      </c>
      <c r="K37" s="611"/>
      <c r="L37" s="1142"/>
      <c r="M37" s="1133"/>
      <c r="N37" s="1133"/>
      <c r="O37" s="1141"/>
      <c r="P37" s="3216" t="s">
        <v>2553</v>
      </c>
      <c r="Q37" s="1812" t="str">
        <f t="shared" si="14"/>
        <v>工程地质条件</v>
      </c>
      <c r="R37" s="773" t="s">
        <v>17</v>
      </c>
      <c r="S37" s="774">
        <f t="shared" si="10"/>
        <v>100</v>
      </c>
      <c r="T37" s="773" t="s">
        <v>17</v>
      </c>
      <c r="U37" s="774">
        <f t="shared" si="11"/>
        <v>100</v>
      </c>
      <c r="V37" s="773" t="s">
        <v>17</v>
      </c>
      <c r="W37" s="774">
        <f t="shared" si="12"/>
        <v>100</v>
      </c>
      <c r="X37" s="1815"/>
      <c r="Y37" s="3216" t="s">
        <v>2553</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216"/>
      <c r="Q38" s="1812">
        <f t="shared" si="14"/>
        <v>111</v>
      </c>
      <c r="R38" s="773" t="s">
        <v>17</v>
      </c>
      <c r="S38" s="774">
        <f t="shared" si="10"/>
        <v>100</v>
      </c>
      <c r="T38" s="773" t="s">
        <v>17</v>
      </c>
      <c r="U38" s="774">
        <f t="shared" si="11"/>
        <v>100</v>
      </c>
      <c r="V38" s="773" t="s">
        <v>17</v>
      </c>
      <c r="W38" s="774">
        <f t="shared" si="12"/>
        <v>100</v>
      </c>
      <c r="X38" s="1815"/>
      <c r="Y38" s="3216"/>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216"/>
      <c r="Q39" s="1812">
        <f t="shared" si="14"/>
        <v>111</v>
      </c>
      <c r="R39" s="773" t="s">
        <v>17</v>
      </c>
      <c r="S39" s="774">
        <f t="shared" si="10"/>
        <v>100</v>
      </c>
      <c r="T39" s="773" t="s">
        <v>17</v>
      </c>
      <c r="U39" s="774">
        <f t="shared" si="11"/>
        <v>100</v>
      </c>
      <c r="V39" s="773" t="s">
        <v>17</v>
      </c>
      <c r="W39" s="774">
        <f t="shared" si="12"/>
        <v>100</v>
      </c>
      <c r="X39" s="1815"/>
      <c r="Y39" s="3216"/>
      <c r="Z39" s="1816">
        <f t="shared" si="13"/>
        <v>111</v>
      </c>
      <c r="AA39" s="1813">
        <f t="shared" si="3"/>
        <v>1</v>
      </c>
      <c r="AB39" s="1813">
        <f t="shared" si="4"/>
        <v>1</v>
      </c>
      <c r="AC39" s="1813">
        <f t="shared" si="5"/>
        <v>1</v>
      </c>
    </row>
    <row r="40" spans="1:29" s="470" customFormat="1" ht="15.75" thickBot="1">
      <c r="A40" s="467"/>
      <c r="B40" s="1389">
        <v>111</v>
      </c>
      <c r="C40" s="2701"/>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216"/>
      <c r="Q40" s="1812">
        <f t="shared" si="14"/>
        <v>111</v>
      </c>
      <c r="R40" s="776" t="s">
        <v>17</v>
      </c>
      <c r="S40" s="777">
        <f t="shared" si="10"/>
        <v>100</v>
      </c>
      <c r="T40" s="776" t="s">
        <v>17</v>
      </c>
      <c r="U40" s="777">
        <f t="shared" si="11"/>
        <v>100</v>
      </c>
      <c r="V40" s="776" t="s">
        <v>17</v>
      </c>
      <c r="W40" s="777">
        <f t="shared" si="12"/>
        <v>100</v>
      </c>
      <c r="X40" s="778"/>
      <c r="Y40" s="3216"/>
      <c r="Z40" s="779">
        <f t="shared" si="13"/>
        <v>111</v>
      </c>
      <c r="AA40" s="1813">
        <f t="shared" si="3"/>
        <v>1</v>
      </c>
      <c r="AB40" s="1813">
        <f t="shared" si="4"/>
        <v>1</v>
      </c>
      <c r="AC40" s="1813">
        <f t="shared" si="5"/>
        <v>1</v>
      </c>
    </row>
    <row r="41" spans="1:29" ht="15">
      <c r="A41" s="478" t="s">
        <v>2708</v>
      </c>
      <c r="B41" s="2702" t="s">
        <v>2787</v>
      </c>
      <c r="C41" s="681" t="s">
        <v>1</v>
      </c>
      <c r="D41" s="480"/>
      <c r="E41" s="481"/>
      <c r="F41" s="482"/>
      <c r="G41" s="483"/>
      <c r="H41" s="484"/>
      <c r="I41" s="481"/>
      <c r="J41" s="484"/>
      <c r="K41" s="782"/>
      <c r="L41" s="1145"/>
      <c r="M41" s="1133"/>
      <c r="N41" s="1133"/>
      <c r="O41" s="1146"/>
      <c r="P41" s="3211" t="str">
        <f>A41</f>
        <v>成交单价</v>
      </c>
      <c r="Q41" s="3211"/>
      <c r="R41" s="3217">
        <f>E41</f>
        <v>0</v>
      </c>
      <c r="S41" s="3217"/>
      <c r="T41" s="3217">
        <f>G41</f>
        <v>0</v>
      </c>
      <c r="U41" s="3217"/>
      <c r="V41" s="3217">
        <f>I41</f>
        <v>0</v>
      </c>
      <c r="W41" s="3217"/>
      <c r="X41" s="758"/>
      <c r="Y41" s="780"/>
      <c r="Z41" s="758"/>
      <c r="AA41" s="758"/>
      <c r="AB41" s="758"/>
      <c r="AC41" s="758"/>
    </row>
    <row r="42" spans="1:29" ht="15.75" thickBot="1">
      <c r="A42" s="485" t="s">
        <v>2657</v>
      </c>
      <c r="B42" s="682"/>
      <c r="C42" s="489" t="e">
        <f>R43</f>
        <v>#DIV/0!</v>
      </c>
      <c r="D42" s="488"/>
      <c r="E42" s="489" t="e">
        <f>R42</f>
        <v>#DIV/0!</v>
      </c>
      <c r="F42" s="490"/>
      <c r="G42" s="487" t="e">
        <f>T42</f>
        <v>#DIV/0!</v>
      </c>
      <c r="H42" s="488"/>
      <c r="I42" s="489" t="e">
        <f>V42</f>
        <v>#DIV/0!</v>
      </c>
      <c r="J42" s="488"/>
      <c r="K42" s="783"/>
      <c r="L42" s="1145"/>
      <c r="M42" s="1133"/>
      <c r="N42" s="1133"/>
      <c r="O42" s="1146"/>
      <c r="P42" s="3211" t="str">
        <f>A42</f>
        <v>比较价值（元/平方米）</v>
      </c>
      <c r="Q42" s="3211"/>
      <c r="R42" s="3204" t="e">
        <f>ROUND(PRODUCT(R41,AA7:AA40),0)</f>
        <v>#DIV/0!</v>
      </c>
      <c r="S42" s="3204"/>
      <c r="T42" s="3204" t="e">
        <f>ROUND(PRODUCT(T41,AB7:AB40),0)</f>
        <v>#DIV/0!</v>
      </c>
      <c r="U42" s="3204"/>
      <c r="V42" s="3204" t="e">
        <f>ROUND(PRODUCT(V41,AC7:AC40),0)</f>
        <v>#DIV/0!</v>
      </c>
      <c r="W42" s="3204"/>
      <c r="X42" s="758"/>
      <c r="Y42" s="758"/>
      <c r="Z42" s="758"/>
      <c r="AA42" s="758"/>
      <c r="AB42" s="758"/>
      <c r="AC42" s="758"/>
    </row>
    <row r="43" spans="1:29" ht="15.75" thickBot="1">
      <c r="A43" s="491" t="s">
        <v>2658</v>
      </c>
      <c r="B43" s="492"/>
      <c r="C43" s="493" t="e">
        <f>R43</f>
        <v>#DIV/0!</v>
      </c>
      <c r="D43" s="493"/>
      <c r="E43" s="493"/>
      <c r="F43" s="493"/>
      <c r="G43" s="493"/>
      <c r="H43" s="493"/>
      <c r="I43" s="493"/>
      <c r="J43" s="493"/>
      <c r="K43" s="784"/>
      <c r="L43" s="1145"/>
      <c r="M43" s="1133"/>
      <c r="N43" s="1133"/>
      <c r="O43" s="1146"/>
      <c r="P43" s="3205" t="str">
        <f>A43</f>
        <v>估价对象XX用房的比较价值（楼面单价，元/平方米）</v>
      </c>
      <c r="Q43" s="3206"/>
      <c r="R43" s="3207" t="e">
        <f>ROUND(AVERAGE(R42:V42),0)</f>
        <v>#DIV/0!</v>
      </c>
      <c r="S43" s="3207"/>
      <c r="T43" s="3207"/>
      <c r="U43" s="3207"/>
      <c r="V43" s="3207"/>
      <c r="W43" s="3207"/>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2745</v>
      </c>
      <c r="B50" s="684" t="s">
        <v>2746</v>
      </c>
      <c r="C50" s="2703" t="s">
        <v>2747</v>
      </c>
      <c r="D50" s="2704" t="s">
        <v>2748</v>
      </c>
      <c r="E50" s="685" t="s">
        <v>2749</v>
      </c>
      <c r="F50" s="686" t="s">
        <v>2750</v>
      </c>
      <c r="G50" s="3208" t="s">
        <v>2751</v>
      </c>
      <c r="H50" s="3209"/>
      <c r="I50" s="1816" t="s">
        <v>2788</v>
      </c>
      <c r="J50" s="1816" t="str">
        <f>项目基本情况!F35</f>
        <v>贵州省</v>
      </c>
      <c r="K50" s="2706" t="s">
        <v>2753</v>
      </c>
      <c r="L50" s="1108"/>
      <c r="M50" s="1146"/>
      <c r="N50" s="1146"/>
      <c r="O50" s="1146"/>
    </row>
    <row r="51" spans="1:17" s="691" customFormat="1">
      <c r="A51" s="687" t="s">
        <v>2754</v>
      </c>
      <c r="B51" s="688" t="e">
        <f>C43</f>
        <v>#DIV/0!</v>
      </c>
      <c r="C51" s="689">
        <v>1</v>
      </c>
      <c r="D51" s="1165">
        <v>1</v>
      </c>
      <c r="E51" s="689">
        <f>'数据-汇总表'!E8+'数据-汇总表'!E9</f>
        <v>123402</v>
      </c>
      <c r="F51" s="690" t="e">
        <f t="shared" ref="F51:F60" si="15">ROUND(B51*E51/10000,0)</f>
        <v>#DIV/0!</v>
      </c>
      <c r="G51" s="3210"/>
      <c r="H51" s="3211"/>
      <c r="I51" s="944">
        <v>1</v>
      </c>
      <c r="J51" s="944">
        <v>1</v>
      </c>
      <c r="K51" s="1147"/>
      <c r="L51" s="943"/>
      <c r="M51" s="943"/>
      <c r="N51" s="943"/>
      <c r="O51" s="943"/>
    </row>
    <row r="52" spans="1:17" s="691" customFormat="1">
      <c r="A52" s="692" t="s">
        <v>2755</v>
      </c>
      <c r="B52" s="261" t="e">
        <f>ROUND($C$43*C52*D52,0)</f>
        <v>#DIV/0!</v>
      </c>
      <c r="C52" s="199">
        <f t="shared" ref="C52:C60" si="16">IF($C$50="北京市系数",I52,J52)</f>
        <v>0</v>
      </c>
      <c r="D52" s="1166">
        <v>0.25</v>
      </c>
      <c r="E52" s="693"/>
      <c r="F52" s="690" t="e">
        <f t="shared" si="15"/>
        <v>#DIV/0!</v>
      </c>
      <c r="G52" s="3212" t="s">
        <v>2756</v>
      </c>
      <c r="H52" s="1106">
        <f>项目基本情况!B37</f>
        <v>0</v>
      </c>
      <c r="I52" s="944">
        <f>SUMIF(修正!A45:A56,H52,修正!B45:B56)</f>
        <v>0</v>
      </c>
      <c r="J52" s="945"/>
      <c r="K52" s="1146"/>
      <c r="L52" s="943"/>
      <c r="M52" s="943"/>
      <c r="N52" s="943"/>
      <c r="O52" s="943"/>
    </row>
    <row r="53" spans="1:17" s="691" customFormat="1">
      <c r="A53" s="692" t="s">
        <v>2757</v>
      </c>
      <c r="B53" s="261" t="e">
        <f t="shared" ref="B53:B60" si="17">ROUND($C$43*C53*D53,0)</f>
        <v>#DIV/0!</v>
      </c>
      <c r="C53" s="199">
        <f t="shared" si="16"/>
        <v>0</v>
      </c>
      <c r="D53" s="1166">
        <v>0.25</v>
      </c>
      <c r="E53" s="693"/>
      <c r="F53" s="690" t="e">
        <f t="shared" si="15"/>
        <v>#DIV/0!</v>
      </c>
      <c r="G53" s="3212"/>
      <c r="H53" s="1106">
        <f>项目基本情况!B37</f>
        <v>0</v>
      </c>
      <c r="I53" s="944">
        <f>SUMIF(修正!A45:A56,H53,修正!C45:C56)</f>
        <v>0</v>
      </c>
      <c r="J53" s="945"/>
      <c r="K53" s="1147"/>
      <c r="L53" s="943"/>
      <c r="M53" s="943"/>
      <c r="N53" s="943"/>
      <c r="O53" s="943"/>
    </row>
    <row r="54" spans="1:17" s="691" customFormat="1">
      <c r="A54" s="692" t="s">
        <v>2758</v>
      </c>
      <c r="B54" s="261" t="e">
        <f t="shared" si="17"/>
        <v>#DIV/0!</v>
      </c>
      <c r="C54" s="199">
        <f t="shared" si="16"/>
        <v>0</v>
      </c>
      <c r="D54" s="1166">
        <v>0.25</v>
      </c>
      <c r="E54" s="693"/>
      <c r="F54" s="690" t="e">
        <f t="shared" si="15"/>
        <v>#DIV/0!</v>
      </c>
      <c r="G54" s="3212"/>
      <c r="H54" s="1106">
        <f>项目基本情况!B37</f>
        <v>0</v>
      </c>
      <c r="I54" s="944">
        <f>SUMIF(修正!A45:A56,H54,修正!D45:D56)</f>
        <v>0</v>
      </c>
      <c r="J54" s="945"/>
      <c r="K54" s="1146"/>
      <c r="L54" s="943"/>
      <c r="M54" s="943"/>
      <c r="N54" s="943"/>
      <c r="O54" s="943"/>
    </row>
    <row r="55" spans="1:17" s="691" customFormat="1">
      <c r="A55" s="692" t="s">
        <v>2759</v>
      </c>
      <c r="B55" s="261" t="e">
        <f t="shared" si="17"/>
        <v>#DIV/0!</v>
      </c>
      <c r="C55" s="199">
        <f t="shared" si="16"/>
        <v>0</v>
      </c>
      <c r="D55" s="1166">
        <v>0.25</v>
      </c>
      <c r="E55" s="693"/>
      <c r="F55" s="690" t="e">
        <f t="shared" si="15"/>
        <v>#DIV/0!</v>
      </c>
      <c r="G55" s="3212"/>
      <c r="H55" s="1106">
        <f>项目基本情况!B37</f>
        <v>0</v>
      </c>
      <c r="I55" s="944">
        <f>SUMIF(修正!A45:A56,H55,修正!E45:E56)</f>
        <v>0</v>
      </c>
      <c r="J55" s="945"/>
      <c r="K55" s="1147"/>
      <c r="L55" s="943"/>
      <c r="M55" s="943"/>
      <c r="N55" s="943"/>
      <c r="O55" s="943"/>
    </row>
    <row r="56" spans="1:17" s="691" customFormat="1">
      <c r="A56" s="692" t="s">
        <v>2760</v>
      </c>
      <c r="B56" s="261" t="e">
        <f t="shared" si="17"/>
        <v>#DIV/0!</v>
      </c>
      <c r="C56" s="199">
        <f t="shared" si="16"/>
        <v>0</v>
      </c>
      <c r="D56" s="1166">
        <v>0.25</v>
      </c>
      <c r="E56" s="260">
        <f>'数据-汇总表'!E11</f>
        <v>0</v>
      </c>
      <c r="F56" s="690" t="e">
        <f t="shared" si="15"/>
        <v>#DIV/0!</v>
      </c>
      <c r="G56" s="2707" t="s">
        <v>2761</v>
      </c>
      <c r="H56" s="1106">
        <f>项目基本情况!C37</f>
        <v>0</v>
      </c>
      <c r="I56" s="944">
        <f>SUMIF(修正!A45:A56,H56,修正!F45:F56)</f>
        <v>0</v>
      </c>
      <c r="J56" s="945"/>
      <c r="K56" s="1146"/>
      <c r="L56" s="943"/>
      <c r="M56" s="943"/>
      <c r="N56" s="943"/>
      <c r="O56" s="943"/>
    </row>
    <row r="57" spans="1:17" s="691" customFormat="1">
      <c r="A57" s="692" t="s">
        <v>2762</v>
      </c>
      <c r="B57" s="261" t="e">
        <f t="shared" si="17"/>
        <v>#DIV/0!</v>
      </c>
      <c r="C57" s="199">
        <f t="shared" si="16"/>
        <v>0</v>
      </c>
      <c r="D57" s="1166">
        <v>0.25</v>
      </c>
      <c r="E57" s="260">
        <f>'数据-汇总表'!E12</f>
        <v>0</v>
      </c>
      <c r="F57" s="690" t="e">
        <f t="shared" si="15"/>
        <v>#DIV/0!</v>
      </c>
      <c r="G57" s="1111" t="s">
        <v>2763</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2764</v>
      </c>
      <c r="B58" s="261" t="e">
        <f t="shared" si="17"/>
        <v>#DIV/0!</v>
      </c>
      <c r="C58" s="199">
        <f t="shared" si="16"/>
        <v>0</v>
      </c>
      <c r="D58" s="1166">
        <v>0.25</v>
      </c>
      <c r="E58" s="260">
        <f>'数据-汇总表'!E13</f>
        <v>33170</v>
      </c>
      <c r="F58" s="690" t="e">
        <f t="shared" si="15"/>
        <v>#DIV/0!</v>
      </c>
      <c r="G58" s="1111" t="s">
        <v>2765</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2766</v>
      </c>
      <c r="B59" s="261" t="e">
        <f t="shared" si="17"/>
        <v>#DIV/0!</v>
      </c>
      <c r="C59" s="199">
        <f t="shared" si="16"/>
        <v>0</v>
      </c>
      <c r="D59" s="1166">
        <v>0.25</v>
      </c>
      <c r="E59" s="260">
        <f>'数据-汇总表'!E14</f>
        <v>0</v>
      </c>
      <c r="F59" s="690" t="e">
        <f t="shared" si="15"/>
        <v>#DIV/0!</v>
      </c>
      <c r="G59" s="2707" t="s">
        <v>2756</v>
      </c>
      <c r="H59" s="1106">
        <f>项目基本情况!B37</f>
        <v>0</v>
      </c>
      <c r="I59" s="944">
        <f>SUMIF(修正!A45:A56,H59,修正!H45:H56)</f>
        <v>0</v>
      </c>
      <c r="J59" s="945"/>
      <c r="K59" s="1147"/>
      <c r="L59" s="943"/>
      <c r="M59" s="943"/>
      <c r="N59" s="943"/>
      <c r="O59" s="943"/>
    </row>
    <row r="60" spans="1:17" s="691" customFormat="1" ht="15" thickBot="1">
      <c r="A60" s="692" t="s">
        <v>2767</v>
      </c>
      <c r="B60" s="261" t="e">
        <f t="shared" si="17"/>
        <v>#DIV/0!</v>
      </c>
      <c r="C60" s="199">
        <f t="shared" si="16"/>
        <v>0</v>
      </c>
      <c r="D60" s="1166">
        <v>0.25</v>
      </c>
      <c r="E60" s="260">
        <f>'数据-汇总表'!E15</f>
        <v>0</v>
      </c>
      <c r="F60" s="690" t="e">
        <f t="shared" si="15"/>
        <v>#DIV/0!</v>
      </c>
      <c r="G60" s="2708" t="s">
        <v>2761</v>
      </c>
      <c r="H60" s="1116">
        <f>项目基本情况!C37</f>
        <v>0</v>
      </c>
      <c r="I60" s="944">
        <f>SUMIF(修正!A45:A56,H60,修正!H45:H56)</f>
        <v>0</v>
      </c>
      <c r="J60" s="945"/>
      <c r="K60" s="1146"/>
      <c r="L60" s="943"/>
      <c r="M60" s="943"/>
      <c r="N60" s="943"/>
      <c r="O60" s="943"/>
    </row>
    <row r="61" spans="1:17" s="691" customFormat="1" ht="15" thickBot="1">
      <c r="A61" s="694" t="s">
        <v>2768</v>
      </c>
      <c r="B61" s="695" t="s">
        <v>28</v>
      </c>
      <c r="C61" s="695" t="s">
        <v>29</v>
      </c>
      <c r="D61" s="695" t="s">
        <v>1029</v>
      </c>
      <c r="E61" s="695">
        <f>IF(B41="楼面地价",SUM(E51:E60),'数据-汇总表'!D3)</f>
        <v>81202</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2018-5-1</v>
      </c>
      <c r="D63" s="760">
        <f>EDATE(C63,-3)</f>
        <v>43132</v>
      </c>
      <c r="E63" s="760">
        <f>EDATE(D63,-3)</f>
        <v>43040</v>
      </c>
      <c r="F63" s="760">
        <f t="shared" ref="F63:O63" si="18">EDATE(E63,-3)</f>
        <v>42948</v>
      </c>
      <c r="G63" s="760">
        <f t="shared" si="18"/>
        <v>42856</v>
      </c>
      <c r="H63" s="760">
        <f t="shared" si="18"/>
        <v>42767</v>
      </c>
      <c r="I63" s="760">
        <f t="shared" si="18"/>
        <v>42675</v>
      </c>
      <c r="J63" s="760">
        <f t="shared" si="18"/>
        <v>42583</v>
      </c>
      <c r="K63" s="760">
        <f t="shared" si="18"/>
        <v>42491</v>
      </c>
      <c r="L63" s="760">
        <f t="shared" si="18"/>
        <v>42401</v>
      </c>
      <c r="M63" s="760">
        <f t="shared" si="18"/>
        <v>42309</v>
      </c>
      <c r="N63" s="760">
        <f t="shared" si="18"/>
        <v>42217</v>
      </c>
      <c r="O63" s="760">
        <f t="shared" si="18"/>
        <v>42125</v>
      </c>
    </row>
    <row r="64" spans="1:17" ht="21.75" thickBot="1">
      <c r="A64" s="762" t="s">
        <v>2662</v>
      </c>
      <c r="B64" s="758"/>
      <c r="C64" s="763"/>
      <c r="D64" s="763"/>
      <c r="E64" s="763"/>
      <c r="F64" s="764"/>
      <c r="G64" s="764"/>
      <c r="H64" s="763"/>
      <c r="I64" s="763"/>
      <c r="J64" s="763"/>
      <c r="K64" s="765"/>
      <c r="L64" s="766"/>
      <c r="M64" s="763"/>
      <c r="N64" s="763"/>
      <c r="O64" s="1161"/>
      <c r="P64" s="502"/>
      <c r="Q64" s="503"/>
    </row>
    <row r="65" spans="1:17" s="507" customFormat="1" ht="15">
      <c r="A65" s="2709" t="s">
        <v>2769</v>
      </c>
      <c r="B65" s="1361"/>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6"/>
    </row>
    <row r="66" spans="1:17" s="117" customFormat="1" ht="30.75" customHeight="1">
      <c r="A66" s="2714" t="s">
        <v>2789</v>
      </c>
      <c r="B66" s="331" t="str">
        <f>"北京市平均增长率"&amp;TEXT(基准地价修正!P24,"0.00%")</f>
        <v>北京市平均增长率1.35%</v>
      </c>
      <c r="C66" s="602">
        <v>100</v>
      </c>
      <c r="D66" s="594"/>
      <c r="E66" s="594"/>
      <c r="F66" s="594"/>
      <c r="G66" s="594"/>
      <c r="H66" s="594"/>
      <c r="I66" s="594"/>
      <c r="J66" s="594"/>
      <c r="K66" s="594"/>
      <c r="L66" s="594"/>
      <c r="M66" s="1569"/>
      <c r="N66" s="1569"/>
      <c r="O66" s="1571"/>
      <c r="P66" s="503"/>
    </row>
    <row r="67" spans="1:17" s="117" customFormat="1" ht="15.75" thickBot="1">
      <c r="A67" s="514" t="s">
        <v>2573</v>
      </c>
      <c r="B67" s="515"/>
      <c r="C67" s="516"/>
      <c r="D67" s="517"/>
      <c r="E67" s="517"/>
      <c r="F67" s="517"/>
      <c r="G67" s="517"/>
      <c r="H67" s="517"/>
      <c r="I67" s="517"/>
      <c r="J67" s="517"/>
      <c r="K67" s="517"/>
      <c r="L67" s="517"/>
      <c r="M67" s="518"/>
      <c r="N67" s="518"/>
      <c r="O67" s="519"/>
      <c r="P67" s="503"/>
      <c r="Q67" s="503"/>
    </row>
    <row r="68" spans="1:17" s="117" customFormat="1" ht="15">
      <c r="A68" s="520" t="s">
        <v>2538</v>
      </c>
      <c r="B68" s="509"/>
      <c r="C68" s="521" t="s">
        <v>2640</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2576</v>
      </c>
      <c r="B70" s="527" t="s">
        <v>2542</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2545</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2546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2547</v>
      </c>
      <c r="B83" s="527" t="s">
        <v>2693</v>
      </c>
      <c r="C83" s="572" t="s">
        <v>2585</v>
      </c>
      <c r="D83" s="572" t="s">
        <v>2586</v>
      </c>
      <c r="E83" s="572" t="s">
        <v>2587</v>
      </c>
      <c r="F83" s="572" t="s">
        <v>2588</v>
      </c>
      <c r="G83" s="572" t="s">
        <v>2589</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2590</v>
      </c>
      <c r="C85" s="577" t="s">
        <v>2585</v>
      </c>
      <c r="D85" s="577" t="s">
        <v>2586</v>
      </c>
      <c r="E85" s="577" t="s">
        <v>2587</v>
      </c>
      <c r="F85" s="577" t="s">
        <v>2588</v>
      </c>
      <c r="G85" s="577" t="s">
        <v>2589</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2772</v>
      </c>
      <c r="C87" s="572" t="s">
        <v>2585</v>
      </c>
      <c r="D87" s="572" t="s">
        <v>2586</v>
      </c>
      <c r="E87" s="572" t="s">
        <v>2587</v>
      </c>
      <c r="F87" s="572" t="s">
        <v>2588</v>
      </c>
      <c r="G87" s="572" t="s">
        <v>2589</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2773</v>
      </c>
      <c r="C89" s="572" t="s">
        <v>2585</v>
      </c>
      <c r="D89" s="572" t="s">
        <v>2586</v>
      </c>
      <c r="E89" s="572" t="s">
        <v>2587</v>
      </c>
      <c r="F89" s="572" t="s">
        <v>2588</v>
      </c>
      <c r="G89" s="572" t="s">
        <v>2589</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2642</v>
      </c>
      <c r="C91" s="572" t="s">
        <v>2585</v>
      </c>
      <c r="D91" s="572" t="s">
        <v>2586</v>
      </c>
      <c r="E91" s="572" t="s">
        <v>2587</v>
      </c>
      <c r="F91" s="572" t="s">
        <v>2588</v>
      </c>
      <c r="G91" s="572" t="s">
        <v>2589</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2790</v>
      </c>
      <c r="C93" s="659" t="s">
        <v>2663</v>
      </c>
      <c r="D93" s="659" t="s">
        <v>2664</v>
      </c>
      <c r="E93" s="659" t="s">
        <v>2665</v>
      </c>
      <c r="F93" s="659" t="s">
        <v>2666</v>
      </c>
      <c r="G93" s="659" t="s">
        <v>2667</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2774</v>
      </c>
      <c r="D95" s="538" t="s">
        <v>2775</v>
      </c>
      <c r="E95" s="538" t="s">
        <v>2776</v>
      </c>
      <c r="F95" s="538" t="s">
        <v>2777</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2679</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2737</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2551</v>
      </c>
      <c r="B107" s="527" t="s">
        <v>2778</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2779</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2781</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2782</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4" customWidth="1"/>
    <col min="33" max="36" width="9.375" style="2794" customWidth="1"/>
    <col min="37" max="38" width="9.375" style="2718" customWidth="1"/>
    <col min="39" max="16384" width="12" style="2718"/>
  </cols>
  <sheetData>
    <row r="1" spans="1:36" ht="28.5">
      <c r="A1" s="239" t="s">
        <v>2791</v>
      </c>
      <c r="B1" s="240"/>
      <c r="C1" s="244" t="s">
        <v>2792</v>
      </c>
      <c r="D1" s="387">
        <f>SUM(D29:D30,D33:D39)</f>
        <v>0</v>
      </c>
      <c r="E1" s="2715"/>
      <c r="F1" s="2715"/>
      <c r="G1" s="2715"/>
      <c r="H1" s="2715"/>
      <c r="I1" s="2715"/>
      <c r="J1" s="2715"/>
      <c r="K1" s="1372"/>
      <c r="L1" s="2716" t="s">
        <v>2793</v>
      </c>
      <c r="M1" s="1082">
        <f>SUMPRODUCT((区片价!B5:B9=I2)*(区片价!C3:F3=E2)*(区片价!C5:F9))</f>
        <v>0</v>
      </c>
      <c r="N1" s="1085">
        <f>SUMPRODUCT((因素修正幅度!B5:B9=I2)*(因素修正幅度!C3:F3=E2)*(因素修正幅度!C5:F9))</f>
        <v>0</v>
      </c>
      <c r="O1" s="2717"/>
      <c r="P1" s="2717"/>
      <c r="Q1" s="1372"/>
      <c r="R1" s="1604" t="s">
        <v>2794</v>
      </c>
      <c r="S1" s="1604" t="s">
        <v>2795</v>
      </c>
      <c r="T1" s="1604" t="s">
        <v>2796</v>
      </c>
      <c r="U1" s="1604" t="s">
        <v>2797</v>
      </c>
      <c r="V1" s="1604" t="s">
        <v>2798</v>
      </c>
      <c r="W1" s="1608"/>
      <c r="X1" s="1608"/>
      <c r="Y1" s="1608"/>
      <c r="Z1" s="1608"/>
      <c r="AA1" s="1608"/>
      <c r="AB1" s="1608"/>
      <c r="AC1" s="1609"/>
      <c r="AD1" s="1610"/>
      <c r="AE1" s="1610"/>
      <c r="AF1" s="1610"/>
      <c r="AG1" s="1610"/>
      <c r="AH1" s="1610"/>
      <c r="AI1" s="1610"/>
      <c r="AJ1" s="1611"/>
    </row>
    <row r="2" spans="1:36" ht="15.75">
      <c r="A2" s="244" t="s">
        <v>2799</v>
      </c>
      <c r="B2" s="247" t="e">
        <f>C26</f>
        <v>#DIV/0!</v>
      </c>
      <c r="C2" s="2719" t="s">
        <v>2800</v>
      </c>
      <c r="D2" s="2720" t="s">
        <v>2801</v>
      </c>
      <c r="E2" s="2721"/>
      <c r="F2" s="2720" t="s">
        <v>2802</v>
      </c>
      <c r="G2" s="2722">
        <f>IF(E2="商业",项目基本情况!B37,IF(E2="办公",项目基本情况!C37,IF(E2="住宅",项目基本情况!D37,项目基本情况!E37)))</f>
        <v>0</v>
      </c>
      <c r="H2" s="2720" t="s">
        <v>2803</v>
      </c>
      <c r="I2" s="2722">
        <f>IF(E2="商业",项目基本情况!B38,IF(E2="办公",项目基本情况!C38,IF(E2="住宅",项目基本情况!D38,项目基本情况!E38)))</f>
        <v>0</v>
      </c>
      <c r="J2" s="2723"/>
      <c r="K2" s="1372"/>
      <c r="L2" s="2724" t="s">
        <v>2804</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6" t="s">
        <v>2805</v>
      </c>
      <c r="B3" s="247" t="e">
        <f>ROUND(B2*10000/D1,0)</f>
        <v>#DIV/0!</v>
      </c>
      <c r="C3" s="2719" t="s">
        <v>2806</v>
      </c>
      <c r="D3" s="2720" t="s">
        <v>2807</v>
      </c>
      <c r="E3" s="2725"/>
      <c r="F3" s="2726" t="s">
        <v>2808</v>
      </c>
      <c r="G3" s="915">
        <f>IF(F3="宗地容积率",'数据-汇总表'!I4,IF(F3="估价对象容积率",'数据-汇总表'!I6,'数据-汇总表'!I7))</f>
        <v>1.54</v>
      </c>
      <c r="H3" s="197" t="s">
        <v>2809</v>
      </c>
      <c r="I3" s="946"/>
      <c r="J3" s="2723" t="s">
        <v>2810</v>
      </c>
      <c r="K3" s="1372"/>
      <c r="L3" s="2724" t="s">
        <v>2811</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309"/>
      <c r="B4" s="3310"/>
      <c r="C4" s="3310"/>
      <c r="D4" s="3311"/>
      <c r="E4" s="3311"/>
      <c r="F4" s="3311"/>
      <c r="G4" s="3311"/>
      <c r="H4" s="3311"/>
      <c r="I4" s="3311"/>
      <c r="J4" s="3312"/>
      <c r="K4" s="1372"/>
      <c r="L4" s="2724" t="s">
        <v>2812</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6" customFormat="1" ht="15.75" thickBot="1">
      <c r="A5" s="2727" t="s">
        <v>807</v>
      </c>
      <c r="B5" s="2728" t="s">
        <v>2813</v>
      </c>
      <c r="C5" s="916" t="e">
        <f>ROUND(IF(E2="商业",IF(F16="增加",C6*C7+C16,C6*C7-C16),IF(E2="住宅",IF(F16="增加",C6*C12+C16,C6*C12-C16),IF(F16="增加",C6+C16,C6-C16))),0)</f>
        <v>#DIV/0!</v>
      </c>
      <c r="D5" s="1789">
        <f>ROUND(IF(E2="商业",IF(F16="增加",C6+C16,C6-C16)),0)</f>
        <v>0</v>
      </c>
      <c r="E5" s="2729"/>
      <c r="F5" s="2729"/>
      <c r="G5" s="2730"/>
      <c r="H5" s="2730"/>
      <c r="I5" s="2730"/>
      <c r="J5" s="2731"/>
      <c r="K5" s="2732"/>
      <c r="L5" s="2724" t="s">
        <v>2814</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3"/>
      <c r="AD5" s="2734"/>
      <c r="AE5" s="2734"/>
      <c r="AF5" s="2734"/>
      <c r="AG5" s="2734"/>
      <c r="AH5" s="2734"/>
      <c r="AI5" s="2734"/>
      <c r="AJ5" s="2735"/>
    </row>
    <row r="6" spans="1:36" ht="15.75" thickBot="1">
      <c r="A6" s="2737" t="s">
        <v>2815</v>
      </c>
      <c r="B6" s="2738" t="s">
        <v>2816</v>
      </c>
      <c r="C6" s="917">
        <f>SUMIF(L1:L12,G2,M1:M12)</f>
        <v>0</v>
      </c>
      <c r="D6" s="2739" t="s">
        <v>2817</v>
      </c>
      <c r="E6" s="2740"/>
      <c r="F6" s="2740"/>
      <c r="G6" s="2741"/>
      <c r="H6" s="2741"/>
      <c r="I6" s="2741"/>
      <c r="J6" s="2742"/>
      <c r="K6" s="1844"/>
      <c r="L6" s="2724" t="s">
        <v>2818</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3"/>
      <c r="AD6" s="2734"/>
      <c r="AE6" s="2734"/>
      <c r="AF6" s="2734"/>
      <c r="AG6" s="2734"/>
      <c r="AH6" s="2734"/>
      <c r="AI6" s="2734"/>
      <c r="AJ6" s="2735"/>
    </row>
    <row r="7" spans="1:36" ht="24">
      <c r="A7" s="3313" t="str">
        <f>IF(E2="商业",IF(C8="不临58条商业街","",2),"")</f>
        <v/>
      </c>
      <c r="B7" s="2743" t="s">
        <v>2819</v>
      </c>
      <c r="C7" s="918" t="e">
        <f>IF(C8="不临58条商业街",1,ROUND(1+(1.6*E8+1.2*E9+0.8*E10+0.4*E11)*C9,4))</f>
        <v>#DIV/0!</v>
      </c>
      <c r="D7" s="2744" t="s">
        <v>2820</v>
      </c>
      <c r="E7" s="947"/>
      <c r="F7" s="2745"/>
      <c r="G7" s="2746"/>
      <c r="H7" s="2746"/>
      <c r="I7" s="2746"/>
      <c r="J7" s="2747"/>
      <c r="K7" s="1844"/>
      <c r="L7" s="2724" t="s">
        <v>2821</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2822</v>
      </c>
      <c r="X7" s="1606">
        <f>G2</f>
        <v>0</v>
      </c>
      <c r="Y7" s="1606" t="s">
        <v>2823</v>
      </c>
      <c r="Z7" s="1607">
        <f>G3</f>
        <v>1.54</v>
      </c>
      <c r="AA7" s="1608"/>
      <c r="AB7" s="1608"/>
      <c r="AC7" s="1609"/>
      <c r="AD7" s="1610"/>
      <c r="AE7" s="1610"/>
      <c r="AF7" s="1610"/>
      <c r="AG7" s="1610"/>
      <c r="AH7" s="1610"/>
      <c r="AI7" s="1610"/>
      <c r="AJ7" s="1611"/>
    </row>
    <row r="8" spans="1:36" ht="15">
      <c r="A8" s="3314"/>
      <c r="B8" s="197" t="s">
        <v>2824</v>
      </c>
      <c r="C8" s="2748"/>
      <c r="D8" s="919" t="s">
        <v>139</v>
      </c>
      <c r="E8" s="920" t="e">
        <f>ROUND(C11/E7,4)</f>
        <v>#DIV/0!</v>
      </c>
      <c r="F8" s="2749" t="s">
        <v>2825</v>
      </c>
      <c r="G8" s="2750"/>
      <c r="H8" s="2750"/>
      <c r="I8" s="2750"/>
      <c r="J8" s="2751"/>
      <c r="K8" s="1372"/>
      <c r="L8" s="2724" t="s">
        <v>2826</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306" t="s">
        <v>2827</v>
      </c>
      <c r="X8" s="3307"/>
      <c r="Y8" s="1612" t="s">
        <v>2828</v>
      </c>
      <c r="Z8" s="1612" t="s">
        <v>2829</v>
      </c>
      <c r="AA8" s="1612" t="s">
        <v>2830</v>
      </c>
      <c r="AB8" s="1612" t="s">
        <v>2831</v>
      </c>
      <c r="AC8" s="1612" t="s">
        <v>2832</v>
      </c>
      <c r="AD8" s="1612" t="s">
        <v>2833</v>
      </c>
      <c r="AE8" s="1612" t="s">
        <v>2834</v>
      </c>
      <c r="AF8" s="1612" t="s">
        <v>2835</v>
      </c>
      <c r="AG8" s="1612" t="s">
        <v>2836</v>
      </c>
      <c r="AH8" s="1612" t="s">
        <v>2837</v>
      </c>
      <c r="AI8" s="1612" t="s">
        <v>2838</v>
      </c>
      <c r="AJ8" s="1612" t="s">
        <v>2839</v>
      </c>
    </row>
    <row r="9" spans="1:36" ht="15">
      <c r="A9" s="3314"/>
      <c r="B9" s="197" t="s">
        <v>2840</v>
      </c>
      <c r="C9" s="921">
        <f>SUMIF(修正!C59:C119,C8,修正!E59:E119)</f>
        <v>0</v>
      </c>
      <c r="D9" s="199" t="s">
        <v>140</v>
      </c>
      <c r="E9" s="199" t="e">
        <f>ROUND(C11/E7,4)</f>
        <v>#DIV/0!</v>
      </c>
      <c r="F9" s="2749" t="s">
        <v>2841</v>
      </c>
      <c r="G9" s="2750"/>
      <c r="H9" s="2750"/>
      <c r="I9" s="2750"/>
      <c r="J9" s="2751"/>
      <c r="K9" s="1372"/>
      <c r="L9" s="2724" t="s">
        <v>2842</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308" t="s">
        <v>2843</v>
      </c>
      <c r="X9" s="1613" t="s">
        <v>2844</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314"/>
      <c r="B10" s="197" t="s">
        <v>2845</v>
      </c>
      <c r="C10" s="199">
        <f>SUMIF(修正!C59:C119,C8,修正!F59:F119)</f>
        <v>0</v>
      </c>
      <c r="D10" s="199" t="s">
        <v>141</v>
      </c>
      <c r="E10" s="199" t="e">
        <f>ROUND(C11/E7,4)</f>
        <v>#DIV/0!</v>
      </c>
      <c r="F10" s="2749" t="s">
        <v>2846</v>
      </c>
      <c r="G10" s="2750"/>
      <c r="H10" s="2750"/>
      <c r="I10" s="2750"/>
      <c r="J10" s="2751"/>
      <c r="K10" s="1372"/>
      <c r="L10" s="2724" t="s">
        <v>2847</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308"/>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314"/>
      <c r="B11" s="2752" t="s">
        <v>2848</v>
      </c>
      <c r="C11" s="922">
        <f>C10/4</f>
        <v>0</v>
      </c>
      <c r="D11" s="922" t="s">
        <v>142</v>
      </c>
      <c r="E11" s="922" t="e">
        <f>ROUND(C11/E7,4)</f>
        <v>#DIV/0!</v>
      </c>
      <c r="F11" s="2753" t="s">
        <v>2849</v>
      </c>
      <c r="G11" s="2754"/>
      <c r="H11" s="2754"/>
      <c r="I11" s="2754"/>
      <c r="J11" s="2755"/>
      <c r="K11" s="1372"/>
      <c r="L11" s="2724" t="s">
        <v>2850</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308" t="s">
        <v>2851</v>
      </c>
      <c r="X11" s="1616" t="s">
        <v>2852</v>
      </c>
      <c r="Y11" s="1617">
        <f>$G$3</f>
        <v>1.54</v>
      </c>
      <c r="Z11" s="1617">
        <f t="shared" ref="Z11:AJ11" si="3">$G$3</f>
        <v>1.54</v>
      </c>
      <c r="AA11" s="1617">
        <f t="shared" si="3"/>
        <v>1.54</v>
      </c>
      <c r="AB11" s="1617">
        <f t="shared" si="3"/>
        <v>1.54</v>
      </c>
      <c r="AC11" s="1617">
        <f t="shared" si="3"/>
        <v>1.54</v>
      </c>
      <c r="AD11" s="1617">
        <f t="shared" si="3"/>
        <v>1.54</v>
      </c>
      <c r="AE11" s="1617">
        <f t="shared" si="3"/>
        <v>1.54</v>
      </c>
      <c r="AF11" s="1617">
        <f t="shared" si="3"/>
        <v>1.54</v>
      </c>
      <c r="AG11" s="1617">
        <f t="shared" si="3"/>
        <v>1.54</v>
      </c>
      <c r="AH11" s="1617">
        <f t="shared" si="3"/>
        <v>1.54</v>
      </c>
      <c r="AI11" s="1617">
        <f t="shared" si="3"/>
        <v>1.54</v>
      </c>
      <c r="AJ11" s="1617">
        <f t="shared" si="3"/>
        <v>1.54</v>
      </c>
    </row>
    <row r="12" spans="1:36" ht="25.5" thickBot="1">
      <c r="A12" s="3313" t="s">
        <v>2853</v>
      </c>
      <c r="B12" s="2756" t="s">
        <v>2854</v>
      </c>
      <c r="C12" s="918">
        <f>ROUND(C15*D15*E15*F15*G15*H15*I15*J15,4)</f>
        <v>1</v>
      </c>
      <c r="D12" s="2757" t="s">
        <v>2855</v>
      </c>
      <c r="E12" s="2758"/>
      <c r="F12" s="2758"/>
      <c r="G12" s="2759"/>
      <c r="H12" s="2759"/>
      <c r="I12" s="2759"/>
      <c r="J12" s="2760"/>
      <c r="K12" s="1372"/>
      <c r="L12" s="2761" t="s">
        <v>2856</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308"/>
      <c r="X12" s="1618" t="s">
        <v>2857</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315"/>
      <c r="B13" s="2762" t="s">
        <v>2858</v>
      </c>
      <c r="C13" s="2763" t="s">
        <v>2859</v>
      </c>
      <c r="D13" s="1810" t="s">
        <v>2860</v>
      </c>
      <c r="E13" s="1810" t="s">
        <v>2861</v>
      </c>
      <c r="F13" s="30" t="s">
        <v>2862</v>
      </c>
      <c r="G13" s="2764" t="s">
        <v>2863</v>
      </c>
      <c r="H13" s="2764" t="s">
        <v>2863</v>
      </c>
      <c r="I13" s="2764" t="s">
        <v>2863</v>
      </c>
      <c r="J13" s="2765" t="s">
        <v>2863</v>
      </c>
      <c r="K13" s="1372"/>
      <c r="L13" s="1372"/>
      <c r="M13" s="1372"/>
      <c r="N13" s="1372"/>
      <c r="O13" s="1372"/>
      <c r="P13" s="1372"/>
      <c r="Q13" s="1372"/>
      <c r="R13" s="1604">
        <v>12</v>
      </c>
      <c r="S13" s="1605"/>
      <c r="T13" s="1604" t="e">
        <f t="shared" si="0"/>
        <v>#DIV/0!</v>
      </c>
      <c r="U13" s="1605"/>
      <c r="V13" s="1604" t="e">
        <f t="shared" si="1"/>
        <v>#DIV/0!</v>
      </c>
      <c r="W13" s="3308"/>
      <c r="X13" s="1618"/>
      <c r="Y13" s="1615">
        <f>(-0.163*(Y12^2)-0.59*Y12+7617)*(10^(-4))/Y11</f>
        <v>0.49461038961038961</v>
      </c>
      <c r="Z13" s="1615">
        <f t="shared" ref="Z13:AJ13" si="5">(-0.163*(Z12^2)-0.59*Z12+7617)*(10^(-4))/Z11</f>
        <v>0.49461038961038961</v>
      </c>
      <c r="AA13" s="1615">
        <f t="shared" si="5"/>
        <v>0.49461038961038961</v>
      </c>
      <c r="AB13" s="1615">
        <f t="shared" si="5"/>
        <v>0.49461038961038961</v>
      </c>
      <c r="AC13" s="1615">
        <f t="shared" si="5"/>
        <v>0.49461038961038961</v>
      </c>
      <c r="AD13" s="1615">
        <f t="shared" si="5"/>
        <v>0.49461038961038961</v>
      </c>
      <c r="AE13" s="1615">
        <f t="shared" si="5"/>
        <v>0.49461038961038961</v>
      </c>
      <c r="AF13" s="1615">
        <f t="shared" si="5"/>
        <v>0.49461038961038961</v>
      </c>
      <c r="AG13" s="1615">
        <f t="shared" si="5"/>
        <v>0.49461038961038961</v>
      </c>
      <c r="AH13" s="1615">
        <f t="shared" si="5"/>
        <v>0.49461038961038961</v>
      </c>
      <c r="AI13" s="1615">
        <f t="shared" si="5"/>
        <v>0.49461038961038961</v>
      </c>
      <c r="AJ13" s="1615">
        <f t="shared" si="5"/>
        <v>0.49461038961038961</v>
      </c>
    </row>
    <row r="14" spans="1:36" ht="15">
      <c r="A14" s="3315"/>
      <c r="B14" s="2766"/>
      <c r="C14" s="2767"/>
      <c r="D14" s="2768"/>
      <c r="E14" s="2768"/>
      <c r="F14" s="2769"/>
      <c r="G14" s="2770" t="s">
        <v>2864</v>
      </c>
      <c r="H14" s="2771"/>
      <c r="I14" s="2772"/>
      <c r="J14" s="2773"/>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316"/>
      <c r="B15" s="2774" t="s">
        <v>2865</v>
      </c>
      <c r="C15" s="228">
        <f>IF(C14="有",1.1,1)</f>
        <v>1</v>
      </c>
      <c r="D15" s="228">
        <f>IF(D14="有",1.1,1)</f>
        <v>1</v>
      </c>
      <c r="E15" s="228">
        <f>IF(E14="有",1.1,1)</f>
        <v>1</v>
      </c>
      <c r="F15" s="228">
        <f>IF(F14="500米范围内",1.2,IF(F14="500-1000米",1.1,1))</f>
        <v>1</v>
      </c>
      <c r="G15" s="948">
        <v>1</v>
      </c>
      <c r="H15" s="948">
        <v>1</v>
      </c>
      <c r="I15" s="948">
        <v>1</v>
      </c>
      <c r="J15" s="949">
        <v>1</v>
      </c>
      <c r="K15" s="1372"/>
      <c r="L15" s="2775" t="s">
        <v>2801</v>
      </c>
      <c r="M15" s="919" t="s">
        <v>2866</v>
      </c>
      <c r="N15" s="919" t="s">
        <v>2867</v>
      </c>
      <c r="O15" s="919" t="s">
        <v>2868</v>
      </c>
      <c r="P15" s="2776" t="s">
        <v>2869</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313" t="s">
        <v>2870</v>
      </c>
      <c r="B16" s="2743" t="s">
        <v>2871</v>
      </c>
      <c r="C16" s="1803" t="e">
        <f>ROUND(SUM(G17:J17)/C17,0)</f>
        <v>#DIV/0!</v>
      </c>
      <c r="D16" s="2777" t="s">
        <v>2872</v>
      </c>
      <c r="E16" s="2778"/>
      <c r="F16" s="2779"/>
      <c r="G16" s="2780"/>
      <c r="H16" s="2780"/>
      <c r="I16" s="2780"/>
      <c r="J16" s="2781"/>
      <c r="K16" s="1372"/>
      <c r="L16" s="2782" t="s">
        <v>2873</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314"/>
      <c r="B17" s="2783" t="s">
        <v>2874</v>
      </c>
      <c r="C17" s="923">
        <f>SUMPRODUCT((修正!A2:A5=E2)*(修正!B1:M1=G2)*(修正!B2:M5))</f>
        <v>0</v>
      </c>
      <c r="D17" s="2784" t="s">
        <v>2875</v>
      </c>
      <c r="E17" s="922" t="str">
        <f>IF(OR(G2="八级",G2="九级",G2="十级",G2="十一级",G2="十二级"),"五通一平","七通一平")</f>
        <v>七通一平</v>
      </c>
      <c r="F17" s="923" t="s">
        <v>2876</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5" t="s">
        <v>2877</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6"/>
      <c r="AF17" s="2786"/>
      <c r="AG17" s="2718"/>
      <c r="AH17" s="2718"/>
      <c r="AI17" s="2718"/>
      <c r="AJ17" s="2718"/>
    </row>
    <row r="18" spans="1:37" s="2736" customFormat="1" ht="15.75" thickBot="1">
      <c r="A18" s="2787" t="s">
        <v>808</v>
      </c>
      <c r="B18" s="2788" t="s">
        <v>2878</v>
      </c>
      <c r="C18" s="925">
        <f>SUMIF(修正!C18:C39,E3,修正!E18:E39)</f>
        <v>0</v>
      </c>
      <c r="D18" s="2789"/>
      <c r="E18" s="2790"/>
      <c r="F18" s="2791"/>
      <c r="G18" s="2792"/>
      <c r="H18" s="2792"/>
      <c r="I18" s="2792"/>
      <c r="J18" s="2793"/>
      <c r="K18" s="1379"/>
      <c r="O18" s="1377"/>
      <c r="P18" s="1377"/>
      <c r="Q18" s="1378"/>
      <c r="R18" s="1378"/>
      <c r="S18" s="1378"/>
      <c r="T18" s="1373"/>
      <c r="U18" s="1373"/>
      <c r="V18" s="1373"/>
      <c r="W18" s="1372"/>
      <c r="X18" s="1372"/>
      <c r="Y18" s="1372"/>
      <c r="Z18" s="1379"/>
      <c r="AA18" s="1380"/>
      <c r="AB18" s="1380"/>
      <c r="AC18" s="1380"/>
      <c r="AD18" s="1380"/>
      <c r="AE18" s="1374"/>
      <c r="AF18" s="1374"/>
      <c r="AG18" s="2794"/>
      <c r="AH18" s="2794"/>
      <c r="AI18" s="2794"/>
    </row>
    <row r="19" spans="1:37" s="2736" customFormat="1" ht="27.75" thickBot="1">
      <c r="A19" s="2787" t="s">
        <v>809</v>
      </c>
      <c r="B19" s="2788" t="s">
        <v>2879</v>
      </c>
      <c r="C19" s="926" t="e">
        <f>ROUND(IF(H19="按公示增长率计算",SUMPRODUCT((地价!A3:A22=YEAR(G19)&amp;"-"&amp;ROUNDUP(MONTH(G19)/3,0))*(地价!X2:AB2=E2)*(地价!X3:AB22)),IF(H19="地价指数",M20/M19,(1+I19)^O19)),4)</f>
        <v>#DIV/0!</v>
      </c>
      <c r="D19" s="2795" t="s">
        <v>2880</v>
      </c>
      <c r="E19" s="927">
        <v>41640</v>
      </c>
      <c r="F19" s="2795" t="s">
        <v>2881</v>
      </c>
      <c r="G19" s="928">
        <f>'数据-取费表'!B2</f>
        <v>43248</v>
      </c>
      <c r="H19" s="2796" t="s">
        <v>2882</v>
      </c>
      <c r="I19" s="929" t="str">
        <f>IF(H19="季度增幅（自定义）",SUMIF(N21:N24,E2,O21:O24),"")</f>
        <v/>
      </c>
      <c r="J19" s="2793"/>
      <c r="K19" s="1379"/>
      <c r="L19" s="2797" t="s">
        <v>2883</v>
      </c>
      <c r="M19" s="1736">
        <f>ROUND(SUMIF(地价!B2:F2,E2,地价!B22:F22),0)</f>
        <v>0</v>
      </c>
      <c r="N19" s="2798" t="s">
        <v>2884</v>
      </c>
      <c r="O19" s="930">
        <f>ROUNDDOWN(DATEDIF(E19,G19,"M")/3,0)</f>
        <v>17</v>
      </c>
      <c r="P19" s="1376"/>
      <c r="Q19" s="1378"/>
      <c r="R19" s="1378"/>
      <c r="S19" s="1378"/>
      <c r="T19" s="1373"/>
      <c r="U19" s="1373"/>
      <c r="V19" s="1373"/>
      <c r="W19" s="1372"/>
      <c r="X19" s="1372"/>
      <c r="Y19" s="1372"/>
      <c r="Z19" s="1379"/>
      <c r="AA19" s="1380"/>
      <c r="AB19" s="1380"/>
      <c r="AC19" s="1380"/>
      <c r="AD19" s="1380"/>
      <c r="AE19" s="1380"/>
      <c r="AF19" s="2799"/>
      <c r="AG19" s="2800"/>
      <c r="AH19" s="2794"/>
      <c r="AI19" s="2801"/>
      <c r="AJ19" s="2801"/>
      <c r="AK19" s="2801"/>
    </row>
    <row r="20" spans="1:37" s="2736" customFormat="1" ht="27.75" thickBot="1">
      <c r="A20" s="2802" t="s">
        <v>810</v>
      </c>
      <c r="B20" s="2803" t="s">
        <v>2885</v>
      </c>
      <c r="C20" s="931" t="e">
        <f>ROUND(POWER(1+G20,J20-I20)*(POWER(1+G20,I20)-1)/(POWER(1+G20,J20)-1),4)</f>
        <v>#DIV/0!</v>
      </c>
      <c r="D20" s="2804" t="s">
        <v>2886</v>
      </c>
      <c r="E20" s="1770">
        <f ca="1">存贷款利率!D4/100</f>
        <v>4.3499999999999997E-2</v>
      </c>
      <c r="F20" s="2804" t="s">
        <v>2877</v>
      </c>
      <c r="G20" s="936">
        <f>SUMIF(M15:P15,E2,M17:P17)</f>
        <v>0</v>
      </c>
      <c r="H20" s="2804" t="s">
        <v>2887</v>
      </c>
      <c r="I20" s="937" t="e">
        <f>SUMIF('数据-取费表'!C6:C15,E2,'数据-取费表'!F6:F15)/COUNTIF('数据-取费表'!C6:C15,E2)</f>
        <v>#DIV/0!</v>
      </c>
      <c r="J20" s="938">
        <f>IF(E2="住宅",70,IF(E2="商业",40,50))</f>
        <v>50</v>
      </c>
      <c r="K20" s="1379"/>
      <c r="L20" s="2805" t="s">
        <v>2888</v>
      </c>
      <c r="M20" s="1737">
        <f>ROUND(SUMPRODUCT((地价!A4:A22=YEAR(G19)&amp;"-"&amp;ROUNDUP(MONTH(G19)/3,0))*(地价!B2:F2=E2)*(地价!B4:F22)),0)</f>
        <v>0</v>
      </c>
      <c r="N20" s="2806" t="s">
        <v>2889</v>
      </c>
      <c r="O20" s="2807" t="s">
        <v>2890</v>
      </c>
      <c r="P20" s="2808" t="s">
        <v>2891</v>
      </c>
      <c r="R20" s="1378"/>
      <c r="S20" s="1378"/>
      <c r="T20" s="1373"/>
      <c r="U20" s="1373"/>
      <c r="V20" s="1373"/>
      <c r="W20" s="1372"/>
      <c r="X20" s="1372"/>
      <c r="Y20" s="1372"/>
      <c r="Z20" s="1379"/>
      <c r="AA20" s="1380"/>
      <c r="AB20" s="1380"/>
      <c r="AC20" s="1380"/>
      <c r="AD20" s="1380"/>
      <c r="AE20" s="1380"/>
      <c r="AF20" s="1380"/>
    </row>
    <row r="21" spans="1:37" s="2736" customFormat="1" ht="15">
      <c r="A21" s="2809" t="s">
        <v>811</v>
      </c>
      <c r="B21" s="2810" t="s">
        <v>2892</v>
      </c>
      <c r="C21" s="939">
        <f>IF(B21="容积率修正",IF(G3&lt;=10,D22,J22),C23)</f>
        <v>0</v>
      </c>
      <c r="D21" s="2811"/>
      <c r="E21" s="2811"/>
      <c r="F21" s="2811"/>
      <c r="G21" s="2811"/>
      <c r="H21" s="2811"/>
      <c r="I21" s="2811"/>
      <c r="J21" s="2812"/>
      <c r="K21" s="1379"/>
      <c r="N21" s="2813" t="s">
        <v>2893</v>
      </c>
      <c r="O21" s="1563"/>
      <c r="P21" s="1564">
        <f>SUMPRODUCT((地价!A3:A22=YEAR(G19)&amp;"-"&amp;ROUNDUP(MONTH(G19)/3,0))*(地价!AD2:AH2=N21)*(地价!AD3:AH22))</f>
        <v>1.5699999999999999E-2</v>
      </c>
      <c r="R21" s="1378"/>
      <c r="S21" s="1378"/>
      <c r="T21" s="1373"/>
      <c r="U21" s="1373"/>
      <c r="V21" s="1373"/>
      <c r="W21" s="1372"/>
      <c r="X21" s="1372"/>
      <c r="Y21" s="1372"/>
      <c r="Z21" s="1379"/>
      <c r="AA21" s="1380"/>
      <c r="AB21" s="1380"/>
      <c r="AC21" s="1380"/>
      <c r="AD21" s="1380"/>
      <c r="AE21" s="1380"/>
      <c r="AF21" s="1380"/>
    </row>
    <row r="22" spans="1:37" s="2736" customFormat="1" ht="14.25">
      <c r="A22" s="2662" t="s">
        <v>2894</v>
      </c>
      <c r="B22" s="2814" t="s">
        <v>2895</v>
      </c>
      <c r="C22" s="1812" t="s">
        <v>2896</v>
      </c>
      <c r="D22" s="1812">
        <f>IF(E22=G22,F22,IF(G3&lt;=10,ROUND(F22+(H22-F22)*(G3-E22)/(G22-E22),4),"——"))</f>
        <v>0</v>
      </c>
      <c r="E22" s="915">
        <f>ROUNDDOWN(G3,1)</f>
        <v>1.5</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1.6</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0" t="str">
        <f>IF(G3&gt;10,D113,"——")</f>
        <v>——</v>
      </c>
      <c r="K22" s="1379"/>
      <c r="N22" s="2813" t="s">
        <v>2897</v>
      </c>
      <c r="O22" s="1563"/>
      <c r="P22" s="1564">
        <f>SUMPRODUCT((地价!A3:A22=YEAR(G19)&amp;"-"&amp;ROUNDUP(MONTH(G19)/3,0))*(地价!AD2:AH2=N22)*(地价!AD3:AH22))</f>
        <v>1.5699999999999999E-2</v>
      </c>
      <c r="R22" s="1378"/>
      <c r="S22" s="1378"/>
      <c r="T22" s="1373"/>
      <c r="U22" s="1373"/>
      <c r="V22" s="1373"/>
      <c r="W22" s="1372"/>
      <c r="X22" s="1372"/>
      <c r="Y22" s="1372"/>
      <c r="Z22" s="1379"/>
      <c r="AA22" s="1380"/>
      <c r="AB22" s="1380"/>
      <c r="AC22" s="1380"/>
      <c r="AD22" s="1380"/>
      <c r="AE22" s="1380"/>
      <c r="AF22" s="1380"/>
    </row>
    <row r="23" spans="1:37" ht="27.75" thickBot="1">
      <c r="A23" s="2662" t="s">
        <v>2898</v>
      </c>
      <c r="B23" s="2815" t="s">
        <v>2899</v>
      </c>
      <c r="C23" s="1015">
        <f>ROUND(IF(G3&gt;1,IF(I3&lt;7,SUMPRODUCT((B93:B98=I3)*(C92:N92=G2)*(C93:N98)),SUMIF(C92:N92,G2,C100:N100)),IF(I3&lt;7,SUMPRODUCT((B102:B107=I3)*(C92:N92=G2)*(C102:N107)),SUMIF(C92:N92,G2,C109:N109))),4)</f>
        <v>0</v>
      </c>
      <c r="D23" s="2771"/>
      <c r="E23" s="2771"/>
      <c r="F23" s="2816"/>
      <c r="G23" s="2817"/>
      <c r="H23" s="2818"/>
      <c r="I23" s="2819"/>
      <c r="J23" s="2820"/>
      <c r="K23" s="1372"/>
      <c r="N23" s="2813" t="s">
        <v>2900</v>
      </c>
      <c r="O23" s="1563"/>
      <c r="P23" s="1564">
        <f>SUMPRODUCT((地价!A3:A22=YEAR(G19)&amp;"-"&amp;ROUNDUP(MONTH(G19)/3,0))*(地价!AD2:AH2=N23)*(地价!AD3:AH22))</f>
        <v>2.5000000000000001E-2</v>
      </c>
      <c r="R23" s="1378"/>
      <c r="S23" s="1378"/>
      <c r="T23" s="1373"/>
      <c r="U23" s="1373"/>
      <c r="V23" s="1373"/>
      <c r="W23" s="1372"/>
      <c r="X23" s="1372"/>
      <c r="Y23" s="1372"/>
      <c r="Z23" s="1379"/>
      <c r="AA23" s="1380"/>
      <c r="AB23" s="1380"/>
      <c r="AC23" s="1380"/>
      <c r="AD23" s="1380"/>
      <c r="AK23" s="2794"/>
    </row>
    <row r="24" spans="1:37" s="2736" customFormat="1" ht="15.75" thickBot="1">
      <c r="A24" s="2802" t="s">
        <v>812</v>
      </c>
      <c r="B24" s="2788" t="s">
        <v>2901</v>
      </c>
      <c r="C24" s="926">
        <f>SUMIF(A45:A88,E2,B45:B88)</f>
        <v>0</v>
      </c>
      <c r="D24" s="2791"/>
      <c r="E24" s="2821"/>
      <c r="F24" s="2821"/>
      <c r="G24" s="2821"/>
      <c r="H24" s="2821"/>
      <c r="I24" s="2821"/>
      <c r="J24" s="2822"/>
      <c r="K24" s="1379"/>
      <c r="N24" s="2823" t="s">
        <v>2902</v>
      </c>
      <c r="O24" s="1565"/>
      <c r="P24" s="1566">
        <f>SUMPRODUCT((地价!A3:A22=YEAR(G19)&amp;"-"&amp;ROUNDUP(MONTH(G19)/3,0))*(地价!AD2:AH2=N24)*(地价!AD3:AH22))</f>
        <v>1.35E-2</v>
      </c>
      <c r="R24" s="1378"/>
      <c r="S24" s="1378"/>
      <c r="T24" s="1373"/>
      <c r="U24" s="1373"/>
      <c r="V24" s="1373"/>
      <c r="W24" s="1372"/>
      <c r="X24" s="1372"/>
      <c r="Y24" s="1372"/>
      <c r="Z24" s="1379"/>
      <c r="AA24" s="1380"/>
      <c r="AB24" s="1380"/>
      <c r="AC24" s="1380"/>
      <c r="AD24" s="1380"/>
      <c r="AE24" s="1380"/>
      <c r="AF24" s="1380"/>
    </row>
    <row r="25" spans="1:37" ht="15.75" thickBot="1">
      <c r="A25" s="2802" t="s">
        <v>813</v>
      </c>
      <c r="B25" s="2824" t="s">
        <v>2903</v>
      </c>
      <c r="C25" s="932"/>
      <c r="D25" s="2746"/>
      <c r="E25" s="2746"/>
      <c r="F25" s="2825"/>
      <c r="G25" s="2746"/>
      <c r="H25" s="2746"/>
      <c r="I25" s="2746"/>
      <c r="J25" s="2747"/>
      <c r="K25" s="1372"/>
      <c r="N25" s="2826" t="s">
        <v>2904</v>
      </c>
      <c r="O25" s="1567"/>
      <c r="P25" s="1566">
        <f>SUMPRODUCT((地价!A3:A22=YEAR(G19)&amp;"-"&amp;ROUNDUP(MONTH(G19)/3,0))*(地价!AD2:AH2=N25)*(地价!AD3:AH22))</f>
        <v>2.2700000000000001E-2</v>
      </c>
      <c r="R25" s="1378"/>
      <c r="S25" s="1378"/>
      <c r="T25" s="1373"/>
      <c r="U25" s="1373"/>
      <c r="V25" s="1373"/>
      <c r="W25" s="1372"/>
      <c r="X25" s="1372"/>
      <c r="Y25" s="1372"/>
      <c r="Z25" s="1379"/>
      <c r="AA25" s="1380"/>
      <c r="AB25" s="1380"/>
      <c r="AC25" s="1380"/>
      <c r="AD25" s="1380"/>
    </row>
    <row r="26" spans="1:37" ht="15">
      <c r="A26" s="2827"/>
      <c r="B26" s="2814" t="s">
        <v>2905</v>
      </c>
      <c r="C26" s="205" t="e">
        <f>E29+SUM(E33:E39)</f>
        <v>#DIV/0!</v>
      </c>
      <c r="D26" s="2828"/>
      <c r="E26" s="2771"/>
      <c r="F26" s="2829"/>
      <c r="G26" s="2771"/>
      <c r="H26" s="2771"/>
      <c r="I26" s="2771"/>
      <c r="J26" s="2830"/>
      <c r="K26" s="1372"/>
      <c r="R26" s="1378"/>
      <c r="S26" s="1378"/>
      <c r="T26" s="1373"/>
      <c r="U26" s="1373"/>
      <c r="V26" s="1373"/>
      <c r="W26" s="1372"/>
      <c r="X26" s="1372"/>
      <c r="Y26" s="1372"/>
      <c r="Z26" s="1379"/>
      <c r="AA26" s="1380"/>
      <c r="AB26" s="1380"/>
      <c r="AC26" s="1380"/>
      <c r="AD26" s="1380"/>
    </row>
    <row r="27" spans="1:37" ht="15.75" thickBot="1">
      <c r="A27" s="2827"/>
      <c r="B27" s="2831" t="s">
        <v>2906</v>
      </c>
      <c r="C27" s="933" t="e">
        <f>E30+SUM(I33:I39)</f>
        <v>#DIV/0!</v>
      </c>
      <c r="D27" s="2832"/>
      <c r="E27" s="2833"/>
      <c r="F27" s="2834"/>
      <c r="G27" s="2833"/>
      <c r="H27" s="2833"/>
      <c r="I27" s="2833"/>
      <c r="J27" s="2835"/>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6"/>
      <c r="B28" s="2837" t="s">
        <v>2907</v>
      </c>
      <c r="C28" s="2838" t="s">
        <v>2908</v>
      </c>
      <c r="D28" s="2838" t="s">
        <v>2909</v>
      </c>
      <c r="E28" s="2839" t="s">
        <v>2910</v>
      </c>
      <c r="F28" s="2840"/>
      <c r="G28" s="2759"/>
      <c r="H28" s="2759"/>
      <c r="I28" s="2759"/>
      <c r="J28" s="2760"/>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1"/>
      <c r="B29" s="2842" t="s">
        <v>2911</v>
      </c>
      <c r="C29" s="205" t="e">
        <f>ROUND(C5*C18*C19*C20*C21*C24,0)</f>
        <v>#DIV/0!</v>
      </c>
      <c r="D29" s="2843"/>
      <c r="E29" s="944" t="e">
        <f>ROUND(C29*D29/10000,0)</f>
        <v>#DIV/0!</v>
      </c>
      <c r="F29" s="2844" t="s">
        <v>2912</v>
      </c>
      <c r="G29" s="2845"/>
      <c r="H29" s="2845"/>
      <c r="I29" s="2845"/>
      <c r="J29" s="2846"/>
      <c r="K29" s="1372"/>
      <c r="L29" s="1372"/>
      <c r="M29" s="1372"/>
      <c r="N29" s="1372"/>
      <c r="O29" s="1377"/>
      <c r="P29" s="1377"/>
      <c r="Q29" s="1378"/>
      <c r="R29" s="1378"/>
      <c r="S29" s="1378"/>
      <c r="T29" s="1373"/>
      <c r="U29" s="1373"/>
      <c r="V29" s="1373"/>
      <c r="W29" s="1372"/>
      <c r="X29" s="1372"/>
      <c r="Y29" s="1372"/>
      <c r="Z29" s="1379"/>
      <c r="AA29" s="1380"/>
      <c r="AB29" s="1380"/>
      <c r="AC29" s="1380"/>
      <c r="AD29" s="1380"/>
      <c r="AE29" s="2786"/>
      <c r="AF29" s="2786"/>
      <c r="AG29" s="2718"/>
      <c r="AH29" s="2718"/>
      <c r="AI29" s="2718"/>
      <c r="AJ29" s="2718"/>
    </row>
    <row r="30" spans="1:37" ht="25.5" thickBot="1">
      <c r="A30" s="2847"/>
      <c r="B30" s="2848" t="s">
        <v>2913</v>
      </c>
      <c r="C30" s="228" t="e">
        <f>ROUND(IF(E2="工业",C29*M39,C29*M38),0)</f>
        <v>#DIV/0!</v>
      </c>
      <c r="D30" s="2849"/>
      <c r="E30" s="944" t="e">
        <f>ROUND(C30*D30/10000,0)</f>
        <v>#DIV/0!</v>
      </c>
      <c r="F30" s="2850" t="s">
        <v>2914</v>
      </c>
      <c r="G30" s="2851"/>
      <c r="H30" s="2851"/>
      <c r="I30" s="2851"/>
      <c r="J30" s="2852"/>
      <c r="K30" s="1372"/>
      <c r="L30" s="1372"/>
      <c r="M30" s="1372"/>
      <c r="N30" s="1372"/>
      <c r="O30" s="1377"/>
      <c r="P30" s="1377"/>
      <c r="Q30" s="1378"/>
      <c r="R30" s="1378"/>
      <c r="S30" s="1378"/>
      <c r="T30" s="1373"/>
      <c r="U30" s="1373"/>
      <c r="V30" s="1373"/>
      <c r="W30" s="1372"/>
      <c r="X30" s="1372"/>
      <c r="Y30" s="1372"/>
      <c r="Z30" s="1379"/>
      <c r="AA30" s="1380"/>
      <c r="AB30" s="1380"/>
      <c r="AC30" s="1380"/>
      <c r="AD30" s="1380"/>
      <c r="AE30" s="2786"/>
      <c r="AF30" s="2786"/>
      <c r="AG30" s="2718"/>
      <c r="AH30" s="2718"/>
      <c r="AI30" s="2718"/>
      <c r="AJ30" s="2718"/>
    </row>
    <row r="31" spans="1:37" ht="14.25">
      <c r="A31" s="2853"/>
      <c r="B31" s="2854" t="s">
        <v>2915</v>
      </c>
      <c r="C31" s="2855" t="s">
        <v>2916</v>
      </c>
      <c r="D31" s="2759"/>
      <c r="E31" s="2855"/>
      <c r="F31" s="2855"/>
      <c r="G31" s="2757" t="s">
        <v>2917</v>
      </c>
      <c r="H31" s="2759"/>
      <c r="I31" s="2856"/>
      <c r="J31" s="2760"/>
      <c r="K31" s="1372"/>
      <c r="L31" s="1372"/>
      <c r="M31" s="1372"/>
      <c r="N31" s="1372"/>
      <c r="O31" s="1377"/>
      <c r="P31" s="1377"/>
      <c r="Q31" s="1378"/>
      <c r="R31" s="1378"/>
      <c r="S31" s="1378"/>
      <c r="T31" s="1373"/>
      <c r="U31" s="1373"/>
      <c r="V31" s="1373"/>
      <c r="W31" s="1372"/>
      <c r="X31" s="1372"/>
      <c r="Y31" s="1372"/>
      <c r="Z31" s="1379"/>
      <c r="AA31" s="1380"/>
      <c r="AB31" s="1380"/>
      <c r="AC31" s="1380"/>
      <c r="AD31" s="1380"/>
      <c r="AE31" s="2786"/>
      <c r="AF31" s="2786"/>
      <c r="AG31" s="2718"/>
      <c r="AH31" s="2718"/>
      <c r="AI31" s="2718"/>
      <c r="AJ31" s="2718"/>
    </row>
    <row r="32" spans="1:37" ht="24">
      <c r="A32" s="2841"/>
      <c r="B32" s="2857"/>
      <c r="C32" s="500" t="s">
        <v>2908</v>
      </c>
      <c r="D32" s="497" t="s">
        <v>2909</v>
      </c>
      <c r="E32" s="497" t="s">
        <v>2910</v>
      </c>
      <c r="F32" s="387" t="s">
        <v>2918</v>
      </c>
      <c r="G32" s="2858" t="s">
        <v>2908</v>
      </c>
      <c r="H32" s="2858" t="s">
        <v>2909</v>
      </c>
      <c r="I32" s="2858" t="s">
        <v>2910</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86"/>
      <c r="AF32" s="2786"/>
      <c r="AG32" s="2718"/>
      <c r="AH32" s="2718"/>
      <c r="AI32" s="2718"/>
      <c r="AJ32" s="2718"/>
    </row>
    <row r="33" spans="1:37" ht="36" customHeight="1">
      <c r="A33" s="3323" t="s">
        <v>2919</v>
      </c>
      <c r="B33" s="2859" t="s">
        <v>2920</v>
      </c>
      <c r="C33" s="205" t="e">
        <f>ROUND(D5*C19*C20*C24*F33,0)</f>
        <v>#DIV/0!</v>
      </c>
      <c r="D33" s="2843"/>
      <c r="E33" s="199" t="e">
        <f>ROUND(C33*D33/10000,0)</f>
        <v>#DIV/0!</v>
      </c>
      <c r="F33" s="199">
        <f>SUMIF(修正!A45:A56,G2,修正!B45:B56)</f>
        <v>0</v>
      </c>
      <c r="G33" s="199" t="e">
        <f t="shared" ref="G33:G39" si="6">ROUND(IF(E2="工业",C33*$M$39,C33*$M$38),0)</f>
        <v>#DIV/0!</v>
      </c>
      <c r="H33" s="199">
        <f>D33</f>
        <v>0</v>
      </c>
      <c r="I33" s="199" t="e">
        <f>ROUND(G33*H33/10000,0)</f>
        <v>#DIV/0!</v>
      </c>
      <c r="J33" s="2860"/>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324"/>
      <c r="B34" s="2763" t="s">
        <v>2921</v>
      </c>
      <c r="C34" s="205" t="e">
        <f>ROUND(D5*C19*C20*C24*F34,0)</f>
        <v>#DIV/0!</v>
      </c>
      <c r="D34" s="2843"/>
      <c r="E34" s="199" t="e">
        <f t="shared" ref="E34:E39" si="7">ROUND(C34*D34/10000,0)</f>
        <v>#DIV/0!</v>
      </c>
      <c r="F34" s="199">
        <f>SUMIF(修正!A45:A56,G2,修正!C45:C56)</f>
        <v>0</v>
      </c>
      <c r="G34" s="199" t="e">
        <f t="shared" si="6"/>
        <v>#DIV/0!</v>
      </c>
      <c r="H34" s="199">
        <f t="shared" ref="H34:H39" si="8">D34</f>
        <v>0</v>
      </c>
      <c r="I34" s="199" t="e">
        <f t="shared" ref="I34:I39" si="9">ROUND(G34*H34/10000,0)</f>
        <v>#DIV/0!</v>
      </c>
      <c r="J34" s="2860"/>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324"/>
      <c r="B35" s="2763" t="s">
        <v>2922</v>
      </c>
      <c r="C35" s="205" t="e">
        <f>ROUND(D5*C19*C20*C24*F35,0)</f>
        <v>#DIV/0!</v>
      </c>
      <c r="D35" s="2843"/>
      <c r="E35" s="199" t="e">
        <f t="shared" si="7"/>
        <v>#DIV/0!</v>
      </c>
      <c r="F35" s="199">
        <f>SUMIF(修正!A45:A56,G2,修正!D45:D56)</f>
        <v>0</v>
      </c>
      <c r="G35" s="199" t="e">
        <f t="shared" si="6"/>
        <v>#DIV/0!</v>
      </c>
      <c r="H35" s="199">
        <f t="shared" si="8"/>
        <v>0</v>
      </c>
      <c r="I35" s="199" t="e">
        <f t="shared" si="9"/>
        <v>#DIV/0!</v>
      </c>
      <c r="J35" s="2860"/>
      <c r="K35" s="1372"/>
      <c r="L35" s="1372"/>
      <c r="M35" s="1372"/>
      <c r="N35" s="1372"/>
      <c r="O35" s="1372"/>
      <c r="P35" s="1372"/>
      <c r="Q35" s="1372"/>
      <c r="R35" s="1372"/>
      <c r="S35" s="1372"/>
      <c r="T35" s="1372"/>
      <c r="U35" s="1372"/>
      <c r="V35" s="1372"/>
      <c r="W35" s="1372"/>
      <c r="X35" s="1372"/>
      <c r="Y35" s="1372"/>
      <c r="Z35" s="1373"/>
    </row>
    <row r="36" spans="1:37" ht="13.5" thickBot="1">
      <c r="A36" s="3325"/>
      <c r="B36" s="2763" t="s">
        <v>2923</v>
      </c>
      <c r="C36" s="205" t="e">
        <f>ROUND(D5*C19*C20*C24*F36,0)</f>
        <v>#DIV/0!</v>
      </c>
      <c r="D36" s="2843"/>
      <c r="E36" s="199" t="e">
        <f t="shared" si="7"/>
        <v>#DIV/0!</v>
      </c>
      <c r="F36" s="199">
        <f>SUMIF(修正!A45:A56,G2,修正!E45:E56)</f>
        <v>0</v>
      </c>
      <c r="G36" s="199" t="e">
        <f t="shared" si="6"/>
        <v>#DIV/0!</v>
      </c>
      <c r="H36" s="199">
        <f t="shared" si="8"/>
        <v>0</v>
      </c>
      <c r="I36" s="199" t="e">
        <f t="shared" si="9"/>
        <v>#DIV/0!</v>
      </c>
      <c r="J36" s="2860"/>
      <c r="K36" s="1372"/>
      <c r="L36" s="2717"/>
      <c r="M36" s="2717"/>
      <c r="N36" s="1372"/>
      <c r="O36" s="1372"/>
      <c r="P36" s="1372"/>
      <c r="Q36" s="1372"/>
      <c r="R36" s="1372"/>
      <c r="S36" s="1372"/>
      <c r="T36" s="1372"/>
      <c r="U36" s="1372"/>
      <c r="V36" s="1372"/>
      <c r="W36" s="1372"/>
      <c r="X36" s="1372"/>
      <c r="Y36" s="1372"/>
      <c r="Z36" s="1373"/>
    </row>
    <row r="37" spans="1:37">
      <c r="A37" s="2861"/>
      <c r="B37" s="2763" t="s">
        <v>2924</v>
      </c>
      <c r="C37" s="199" t="e">
        <f>ROUND(C5*C19*C20*C24*F37,0)</f>
        <v>#DIV/0!</v>
      </c>
      <c r="D37" s="2843"/>
      <c r="E37" s="199" t="e">
        <f t="shared" si="7"/>
        <v>#DIV/0!</v>
      </c>
      <c r="F37" s="205">
        <f>SUMIF(修正!A45:A56,G2,修正!F45:F56)</f>
        <v>0</v>
      </c>
      <c r="G37" s="199" t="e">
        <f t="shared" si="6"/>
        <v>#DIV/0!</v>
      </c>
      <c r="H37" s="199">
        <f t="shared" si="8"/>
        <v>0</v>
      </c>
      <c r="I37" s="199" t="e">
        <f t="shared" si="9"/>
        <v>#DIV/0!</v>
      </c>
      <c r="J37" s="2860"/>
      <c r="K37" s="1372"/>
      <c r="L37" s="2862" t="s">
        <v>2925</v>
      </c>
      <c r="M37" s="2863"/>
      <c r="N37" s="1372"/>
      <c r="O37" s="1372"/>
      <c r="P37" s="1372"/>
      <c r="Q37" s="1372"/>
      <c r="R37" s="1372"/>
      <c r="S37" s="1372"/>
      <c r="T37" s="1372"/>
      <c r="U37" s="1372"/>
      <c r="V37" s="1372"/>
      <c r="W37" s="1372"/>
      <c r="X37" s="1372"/>
      <c r="Y37" s="1372"/>
      <c r="Z37" s="1373"/>
    </row>
    <row r="38" spans="1:37">
      <c r="A38" s="2861"/>
      <c r="B38" s="2763" t="s">
        <v>2926</v>
      </c>
      <c r="C38" s="199" t="e">
        <f>ROUND(C5*C19*C20*C24*F38,0)</f>
        <v>#DIV/0!</v>
      </c>
      <c r="D38" s="2843"/>
      <c r="E38" s="199" t="e">
        <f t="shared" si="7"/>
        <v>#DIV/0!</v>
      </c>
      <c r="F38" s="205">
        <f>SUMIF(修正!A45:A56,G2,修正!G45:G56)</f>
        <v>0</v>
      </c>
      <c r="G38" s="199" t="e">
        <f t="shared" si="6"/>
        <v>#DIV/0!</v>
      </c>
      <c r="H38" s="199">
        <f t="shared" si="8"/>
        <v>0</v>
      </c>
      <c r="I38" s="199" t="e">
        <f t="shared" si="9"/>
        <v>#DIV/0!</v>
      </c>
      <c r="J38" s="2860"/>
      <c r="K38" s="1372"/>
      <c r="L38" s="1889" t="s">
        <v>2927</v>
      </c>
      <c r="M38" s="2864">
        <v>0.25</v>
      </c>
      <c r="N38" s="1372"/>
      <c r="O38" s="1372"/>
      <c r="P38" s="1372"/>
      <c r="Q38" s="1372"/>
      <c r="R38" s="1372"/>
      <c r="S38" s="1372"/>
      <c r="T38" s="1372"/>
      <c r="U38" s="1372"/>
      <c r="V38" s="1372"/>
      <c r="W38" s="1372"/>
      <c r="X38" s="1372"/>
      <c r="Y38" s="1372"/>
      <c r="Z38" s="1373"/>
    </row>
    <row r="39" spans="1:37" ht="13.5" thickBot="1">
      <c r="A39" s="2847"/>
      <c r="B39" s="2865" t="s">
        <v>2928</v>
      </c>
      <c r="C39" s="228" t="e">
        <f>ROUND(C5*C19*C20*C24*F39,0)</f>
        <v>#DIV/0!</v>
      </c>
      <c r="D39" s="2849"/>
      <c r="E39" s="228" t="e">
        <f t="shared" si="7"/>
        <v>#DIV/0!</v>
      </c>
      <c r="F39" s="934">
        <f>SUMIF(修正!A45:A56,G2,修正!H45:H56)</f>
        <v>0</v>
      </c>
      <c r="G39" s="228" t="e">
        <f t="shared" si="6"/>
        <v>#DIV/0!</v>
      </c>
      <c r="H39" s="228">
        <f t="shared" si="8"/>
        <v>0</v>
      </c>
      <c r="I39" s="228" t="e">
        <f t="shared" si="9"/>
        <v>#DIV/0!</v>
      </c>
      <c r="J39" s="2866"/>
      <c r="K39" s="1372"/>
      <c r="L39" s="2867" t="s">
        <v>2869</v>
      </c>
      <c r="M39" s="2868">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69"/>
      <c r="Z41" s="1373"/>
      <c r="AA41" s="1373"/>
      <c r="AB41" s="1373"/>
      <c r="AC41" s="1373"/>
      <c r="AD41" s="1373"/>
      <c r="AE41" s="1373"/>
      <c r="AF41" s="1373"/>
      <c r="AG41" s="1373"/>
      <c r="AH41" s="1373"/>
      <c r="AI41" s="1373"/>
      <c r="AJ41" s="1373"/>
    </row>
    <row r="42" spans="1:37" s="1372" customFormat="1">
      <c r="A42" s="1373"/>
      <c r="B42" s="2869"/>
      <c r="Z42" s="1373"/>
      <c r="AA42" s="1373"/>
      <c r="AB42" s="1373"/>
      <c r="AC42" s="1373"/>
      <c r="AD42" s="1373"/>
      <c r="AE42" s="1373"/>
      <c r="AF42" s="1373"/>
      <c r="AG42" s="1373"/>
      <c r="AH42" s="1373"/>
      <c r="AI42" s="1373"/>
      <c r="AJ42" s="1373"/>
    </row>
    <row r="43" spans="1:37" s="1372" customFormat="1">
      <c r="A43" s="1373"/>
      <c r="B43" s="2869"/>
      <c r="Z43" s="1373"/>
      <c r="AA43" s="1373"/>
      <c r="AB43" s="1373"/>
      <c r="AC43" s="1373"/>
      <c r="AD43" s="1373"/>
      <c r="AE43" s="1373"/>
      <c r="AF43" s="1373"/>
      <c r="AG43" s="1373"/>
      <c r="AH43" s="1373"/>
      <c r="AI43" s="1373"/>
      <c r="AJ43" s="1373"/>
    </row>
    <row r="44" spans="1:37" s="1372" customFormat="1">
      <c r="A44" s="1373"/>
      <c r="B44" s="2869"/>
      <c r="Z44" s="1373"/>
      <c r="AA44" s="1373"/>
      <c r="AB44" s="1373"/>
      <c r="AC44" s="1373"/>
      <c r="AD44" s="1373"/>
      <c r="AE44" s="1373"/>
      <c r="AF44" s="1373"/>
      <c r="AG44" s="1373"/>
      <c r="AH44" s="1373"/>
      <c r="AI44" s="1373"/>
      <c r="AJ44" s="1373"/>
    </row>
    <row r="45" spans="1:37" s="1372" customFormat="1" ht="15.75" thickBot="1">
      <c r="A45" s="2870" t="s">
        <v>2929</v>
      </c>
      <c r="B45" s="2871"/>
      <c r="C45" s="7"/>
      <c r="D45" s="7"/>
      <c r="E45" s="7"/>
      <c r="F45" s="6"/>
      <c r="G45" s="6"/>
      <c r="H45" s="6"/>
      <c r="I45" s="7"/>
      <c r="J45" s="7"/>
      <c r="K45" s="7"/>
      <c r="L45" s="7"/>
      <c r="M45" s="7"/>
      <c r="N45" s="2786"/>
      <c r="Z45" s="1373"/>
      <c r="AA45" s="1373"/>
      <c r="AB45" s="1373"/>
      <c r="AC45" s="1373"/>
      <c r="AD45" s="1373"/>
      <c r="AE45" s="1373"/>
      <c r="AF45" s="1373"/>
      <c r="AG45" s="1373"/>
      <c r="AH45" s="1373"/>
      <c r="AI45" s="1373"/>
      <c r="AJ45" s="1373"/>
    </row>
    <row r="46" spans="1:37" s="1372" customFormat="1" ht="15">
      <c r="A46" s="2872" t="s">
        <v>2930</v>
      </c>
      <c r="B46" s="2873">
        <f>1+E48</f>
        <v>1</v>
      </c>
      <c r="C46" s="2874"/>
      <c r="D46" s="813"/>
      <c r="E46" s="814"/>
      <c r="F46" s="2875"/>
      <c r="G46" s="6"/>
      <c r="H46" s="7"/>
      <c r="I46" s="7"/>
      <c r="J46" s="7"/>
      <c r="K46" s="7"/>
      <c r="L46" s="7"/>
      <c r="M46" s="7"/>
      <c r="N46" s="2786"/>
      <c r="Z46" s="1373"/>
      <c r="AA46" s="1373"/>
      <c r="AB46" s="1373"/>
      <c r="AC46" s="1373"/>
      <c r="AD46" s="1373"/>
      <c r="AE46" s="1373"/>
      <c r="AF46" s="1373"/>
      <c r="AG46" s="1373"/>
      <c r="AH46" s="1373"/>
      <c r="AI46" s="1373"/>
      <c r="AJ46" s="1373"/>
    </row>
    <row r="47" spans="1:37" s="1372" customFormat="1" ht="24.75">
      <c r="A47" s="2876" t="s">
        <v>2931</v>
      </c>
      <c r="B47" s="1811" t="s">
        <v>2932</v>
      </c>
      <c r="C47" s="1811" t="s">
        <v>2933</v>
      </c>
      <c r="D47" s="1811" t="s">
        <v>2934</v>
      </c>
      <c r="E47" s="818" t="s">
        <v>2935</v>
      </c>
      <c r="F47" s="2877" t="s">
        <v>2936</v>
      </c>
      <c r="G47" s="1811" t="s">
        <v>754</v>
      </c>
      <c r="H47" s="2878" t="s">
        <v>2937</v>
      </c>
      <c r="I47" s="1811" t="s">
        <v>2938</v>
      </c>
      <c r="J47" s="602" t="s">
        <v>2585</v>
      </c>
      <c r="K47" s="602" t="s">
        <v>2586</v>
      </c>
      <c r="L47" s="602" t="s">
        <v>2587</v>
      </c>
      <c r="M47" s="602" t="s">
        <v>2588</v>
      </c>
      <c r="N47" s="602" t="s">
        <v>2589</v>
      </c>
      <c r="AA47" s="1373"/>
      <c r="AB47" s="1373"/>
      <c r="AC47" s="1373"/>
      <c r="AD47" s="1373"/>
      <c r="AE47" s="1373"/>
      <c r="AF47" s="1373"/>
      <c r="AG47" s="1373"/>
      <c r="AH47" s="1373"/>
      <c r="AI47" s="1373"/>
      <c r="AJ47" s="1373"/>
      <c r="AK47" s="1373"/>
    </row>
    <row r="48" spans="1:37" s="1372" customFormat="1" ht="24.75">
      <c r="A48" s="2876" t="s">
        <v>2939</v>
      </c>
      <c r="B48" s="2879">
        <f>估价对象房地状况!C4</f>
        <v>0</v>
      </c>
      <c r="C48" s="2768"/>
      <c r="D48" s="1288">
        <f t="shared" ref="D48:D56" si="10">SUMIF($J$47:$N$47,C48,J48:N48)</f>
        <v>0</v>
      </c>
      <c r="E48" s="820">
        <f>ROUND(SUM(D48:D56),4)</f>
        <v>0</v>
      </c>
      <c r="F48" s="2499"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14.25">
      <c r="A49" s="2876" t="s">
        <v>2940</v>
      </c>
      <c r="B49" s="2880">
        <f>估价对象房地状况!C18</f>
        <v>0</v>
      </c>
      <c r="C49" s="2768"/>
      <c r="D49" s="1288">
        <f t="shared" si="10"/>
        <v>0</v>
      </c>
      <c r="E49" s="821"/>
      <c r="F49" s="2499"/>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6" t="s">
        <v>2941</v>
      </c>
      <c r="B50" s="2880">
        <f>估价对象房地状况!C19</f>
        <v>0</v>
      </c>
      <c r="C50" s="2768"/>
      <c r="D50" s="1288">
        <f t="shared" si="10"/>
        <v>0</v>
      </c>
      <c r="E50" s="821"/>
      <c r="F50" s="2499"/>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6" t="s">
        <v>2942</v>
      </c>
      <c r="B51" s="2881" t="s">
        <v>2943</v>
      </c>
      <c r="C51" s="2768"/>
      <c r="D51" s="1288">
        <f t="shared" si="10"/>
        <v>0</v>
      </c>
      <c r="E51" s="821"/>
      <c r="F51" s="2499"/>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6" t="s">
        <v>2944</v>
      </c>
      <c r="B52" s="2880">
        <f>估价对象房地状况!C24</f>
        <v>0</v>
      </c>
      <c r="C52" s="2768"/>
      <c r="D52" s="1288">
        <f t="shared" si="10"/>
        <v>0</v>
      </c>
      <c r="E52" s="821"/>
      <c r="F52" s="2499"/>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6" t="s">
        <v>2945</v>
      </c>
      <c r="B53" s="2882" t="s">
        <v>2946</v>
      </c>
      <c r="C53" s="2768"/>
      <c r="D53" s="1288">
        <f t="shared" si="10"/>
        <v>0</v>
      </c>
      <c r="E53" s="821"/>
      <c r="F53" s="2499"/>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4">
      <c r="A54" s="2883" t="s">
        <v>2947</v>
      </c>
      <c r="B54" s="1727">
        <f>估价对象房地状况!C21</f>
        <v>0</v>
      </c>
      <c r="C54" s="2768"/>
      <c r="D54" s="1288">
        <f t="shared" si="10"/>
        <v>0</v>
      </c>
      <c r="E54" s="821"/>
      <c r="F54" s="2499"/>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c r="A55" s="2883" t="s">
        <v>2948</v>
      </c>
      <c r="B55" s="2880">
        <f>估价对象房地状况!C22</f>
        <v>0</v>
      </c>
      <c r="C55" s="2768"/>
      <c r="D55" s="1288">
        <f t="shared" si="10"/>
        <v>0</v>
      </c>
      <c r="E55" s="821"/>
      <c r="F55" s="2499"/>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24.75" thickBot="1">
      <c r="A56" s="2884" t="s">
        <v>2949</v>
      </c>
      <c r="B56" s="2885">
        <f>估价对象房地状况!C20</f>
        <v>0</v>
      </c>
      <c r="C56" s="2768"/>
      <c r="D56" s="1288">
        <f t="shared" si="10"/>
        <v>0</v>
      </c>
      <c r="E56" s="824"/>
      <c r="F56" s="2499"/>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2" t="s">
        <v>2950</v>
      </c>
      <c r="B57" s="2873">
        <f>1+E59</f>
        <v>1</v>
      </c>
      <c r="C57" s="813"/>
      <c r="D57" s="813"/>
      <c r="E57" s="814"/>
      <c r="F57" s="2875"/>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6" t="s">
        <v>2931</v>
      </c>
      <c r="B58" s="1811"/>
      <c r="C58" s="1811" t="s">
        <v>2933</v>
      </c>
      <c r="D58" s="1811" t="s">
        <v>2934</v>
      </c>
      <c r="E58" s="818" t="s">
        <v>2935</v>
      </c>
      <c r="F58" s="2877" t="s">
        <v>2951</v>
      </c>
      <c r="G58" s="1811" t="s">
        <v>754</v>
      </c>
      <c r="H58" s="2878" t="s">
        <v>2937</v>
      </c>
      <c r="I58" s="1811" t="s">
        <v>2938</v>
      </c>
      <c r="J58" s="602" t="s">
        <v>2585</v>
      </c>
      <c r="K58" s="602" t="s">
        <v>2586</v>
      </c>
      <c r="L58" s="602" t="s">
        <v>2587</v>
      </c>
      <c r="M58" s="602" t="s">
        <v>2588</v>
      </c>
      <c r="N58" s="602" t="s">
        <v>2589</v>
      </c>
      <c r="AA58" s="1373"/>
      <c r="AB58" s="1373"/>
      <c r="AC58" s="1373"/>
      <c r="AD58" s="1373"/>
      <c r="AE58" s="1373"/>
      <c r="AF58" s="1373"/>
      <c r="AG58" s="1373"/>
      <c r="AH58" s="1373"/>
      <c r="AI58" s="1373"/>
      <c r="AJ58" s="1373"/>
      <c r="AK58" s="1373"/>
    </row>
    <row r="59" spans="1:37" s="1372" customFormat="1" ht="24">
      <c r="A59" s="2876" t="s">
        <v>2952</v>
      </c>
      <c r="B59" s="2879">
        <f>估价对象房地状况!C17</f>
        <v>0</v>
      </c>
      <c r="C59" s="2768"/>
      <c r="D59" s="1288">
        <f t="shared" ref="D59:D67" si="15">SUMIF($J$58:$N$58,C59,J59:N59)</f>
        <v>0</v>
      </c>
      <c r="E59" s="820">
        <f>ROUND(SUM(D59:D67),4)</f>
        <v>0</v>
      </c>
      <c r="F59" s="2499"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14.25">
      <c r="A60" s="2876" t="s">
        <v>2940</v>
      </c>
      <c r="B60" s="2880">
        <f>估价对象房地状况!C18</f>
        <v>0</v>
      </c>
      <c r="C60" s="2768"/>
      <c r="D60" s="1288">
        <f t="shared" si="15"/>
        <v>0</v>
      </c>
      <c r="E60" s="821"/>
      <c r="F60" s="2499"/>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6" t="s">
        <v>2941</v>
      </c>
      <c r="B61" s="2880">
        <f>估价对象房地状况!C19</f>
        <v>0</v>
      </c>
      <c r="C61" s="2768"/>
      <c r="D61" s="1288">
        <f t="shared" si="15"/>
        <v>0</v>
      </c>
      <c r="E61" s="821"/>
      <c r="F61" s="2499"/>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6" t="s">
        <v>2942</v>
      </c>
      <c r="B62" s="2881" t="s">
        <v>2943</v>
      </c>
      <c r="C62" s="2768"/>
      <c r="D62" s="1288">
        <f t="shared" si="15"/>
        <v>0</v>
      </c>
      <c r="E62" s="821"/>
      <c r="F62" s="2499"/>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6" t="s">
        <v>2944</v>
      </c>
      <c r="B63" s="2880">
        <f>估价对象房地状况!C24</f>
        <v>0</v>
      </c>
      <c r="C63" s="2768"/>
      <c r="D63" s="1288">
        <f t="shared" si="15"/>
        <v>0</v>
      </c>
      <c r="E63" s="821"/>
      <c r="F63" s="2499"/>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6" t="s">
        <v>2945</v>
      </c>
      <c r="B64" s="2882" t="s">
        <v>2946</v>
      </c>
      <c r="C64" s="2768"/>
      <c r="D64" s="1288">
        <f t="shared" si="15"/>
        <v>0</v>
      </c>
      <c r="E64" s="821"/>
      <c r="F64" s="2499"/>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4">
      <c r="A65" s="2876" t="s">
        <v>2947</v>
      </c>
      <c r="B65" s="1727">
        <f>估价对象房地状况!C21</f>
        <v>0</v>
      </c>
      <c r="C65" s="2768"/>
      <c r="D65" s="1288">
        <f t="shared" si="15"/>
        <v>0</v>
      </c>
      <c r="E65" s="821"/>
      <c r="F65" s="2499"/>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4">
      <c r="A66" s="2876" t="s">
        <v>2948</v>
      </c>
      <c r="B66" s="1727">
        <f>估价对象房地状况!C22</f>
        <v>0</v>
      </c>
      <c r="C66" s="2768"/>
      <c r="D66" s="1288">
        <f t="shared" si="15"/>
        <v>0</v>
      </c>
      <c r="E66" s="821"/>
      <c r="F66" s="2499"/>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24.75" thickBot="1">
      <c r="A67" s="2884" t="s">
        <v>2949</v>
      </c>
      <c r="B67" s="2886">
        <f>估价对象房地状况!C20</f>
        <v>0</v>
      </c>
      <c r="C67" s="2768"/>
      <c r="D67" s="1288">
        <f t="shared" si="15"/>
        <v>0</v>
      </c>
      <c r="E67" s="824"/>
      <c r="F67" s="2499"/>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2" t="s">
        <v>2953</v>
      </c>
      <c r="B68" s="2873">
        <f>1+E70</f>
        <v>1</v>
      </c>
      <c r="C68" s="813"/>
      <c r="D68" s="813"/>
      <c r="E68" s="814"/>
      <c r="F68" s="2875"/>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6" t="s">
        <v>2931</v>
      </c>
      <c r="B69" s="1811"/>
      <c r="C69" s="1811" t="s">
        <v>2933</v>
      </c>
      <c r="D69" s="1811" t="s">
        <v>2934</v>
      </c>
      <c r="E69" s="818" t="s">
        <v>2935</v>
      </c>
      <c r="F69" s="2877" t="s">
        <v>2951</v>
      </c>
      <c r="G69" s="1811" t="s">
        <v>754</v>
      </c>
      <c r="H69" s="2878" t="s">
        <v>2937</v>
      </c>
      <c r="I69" s="1811" t="s">
        <v>2938</v>
      </c>
      <c r="J69" s="602" t="s">
        <v>2585</v>
      </c>
      <c r="K69" s="602" t="s">
        <v>2586</v>
      </c>
      <c r="L69" s="602" t="s">
        <v>2587</v>
      </c>
      <c r="M69" s="602" t="s">
        <v>2588</v>
      </c>
      <c r="N69" s="602" t="s">
        <v>2589</v>
      </c>
      <c r="AA69" s="1373"/>
      <c r="AB69" s="1373"/>
      <c r="AC69" s="1373"/>
      <c r="AD69" s="1373"/>
      <c r="AE69" s="1373"/>
      <c r="AF69" s="1373"/>
      <c r="AG69" s="1373"/>
      <c r="AH69" s="1373"/>
      <c r="AI69" s="1373"/>
      <c r="AJ69" s="1373"/>
      <c r="AK69" s="1373"/>
    </row>
    <row r="70" spans="1:37" s="1372" customFormat="1" ht="24">
      <c r="A70" s="2876" t="s">
        <v>2954</v>
      </c>
      <c r="B70" s="2879">
        <f>估价对象房地状况!C15</f>
        <v>0</v>
      </c>
      <c r="C70" s="2768"/>
      <c r="D70" s="1288">
        <f t="shared" ref="D70:D78" si="20">SUMIF($J$69:$N$69,C70,J70:N70)</f>
        <v>0</v>
      </c>
      <c r="E70" s="820">
        <f>ROUND(SUM(D70:D78),4)</f>
        <v>0</v>
      </c>
      <c r="F70" s="2499"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14.25">
      <c r="A71" s="2876" t="s">
        <v>2940</v>
      </c>
      <c r="B71" s="2880">
        <f>估价对象房地状况!C18</f>
        <v>0</v>
      </c>
      <c r="C71" s="2768"/>
      <c r="D71" s="1288">
        <f t="shared" si="20"/>
        <v>0</v>
      </c>
      <c r="E71" s="825"/>
      <c r="F71" s="2499"/>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6" t="s">
        <v>2941</v>
      </c>
      <c r="B72" s="2880">
        <f>估价对象房地状况!C19</f>
        <v>0</v>
      </c>
      <c r="C72" s="2768"/>
      <c r="D72" s="1288">
        <f t="shared" si="20"/>
        <v>0</v>
      </c>
      <c r="E72" s="825"/>
      <c r="F72" s="2499"/>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6" t="s">
        <v>2955</v>
      </c>
      <c r="B73" s="2880">
        <f>估价对象房地状况!C24</f>
        <v>0</v>
      </c>
      <c r="C73" s="2768"/>
      <c r="D73" s="1288">
        <f t="shared" si="20"/>
        <v>0</v>
      </c>
      <c r="E73" s="825"/>
      <c r="F73" s="2499"/>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4">
      <c r="A74" s="2876" t="s">
        <v>2947</v>
      </c>
      <c r="B74" s="1727">
        <f>估价对象房地状况!C21</f>
        <v>0</v>
      </c>
      <c r="C74" s="2768"/>
      <c r="D74" s="1288">
        <f t="shared" si="20"/>
        <v>0</v>
      </c>
      <c r="E74" s="825"/>
      <c r="F74" s="2499"/>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4">
      <c r="A75" s="2876" t="s">
        <v>2948</v>
      </c>
      <c r="B75" s="1727">
        <f>估价对象房地状况!C22</f>
        <v>0</v>
      </c>
      <c r="C75" s="2768"/>
      <c r="D75" s="1288">
        <f t="shared" si="20"/>
        <v>0</v>
      </c>
      <c r="E75" s="825"/>
      <c r="F75" s="2499"/>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7" customFormat="1" ht="24">
      <c r="A76" s="2876" t="s">
        <v>2945</v>
      </c>
      <c r="B76" s="2882" t="s">
        <v>2946</v>
      </c>
      <c r="C76" s="2768"/>
      <c r="D76" s="1288">
        <f t="shared" si="20"/>
        <v>0</v>
      </c>
      <c r="E76" s="825"/>
      <c r="F76" s="2499"/>
      <c r="G76" s="1286"/>
      <c r="H76" s="1290" t="str">
        <f t="shared" si="21"/>
        <v>——</v>
      </c>
      <c r="I76" s="819">
        <v>0.05</v>
      </c>
      <c r="J76" s="1287">
        <f t="shared" si="22"/>
        <v>0</v>
      </c>
      <c r="K76" s="1287">
        <f t="shared" si="23"/>
        <v>0</v>
      </c>
      <c r="L76" s="1287">
        <v>0</v>
      </c>
      <c r="M76" s="1287">
        <f t="shared" si="24"/>
        <v>0</v>
      </c>
      <c r="N76" s="1287">
        <f t="shared" si="24"/>
        <v>0</v>
      </c>
      <c r="AA76" s="2887"/>
      <c r="AB76" s="1373"/>
      <c r="AC76" s="1373"/>
      <c r="AD76" s="1373"/>
      <c r="AE76" s="1373"/>
      <c r="AF76" s="1373"/>
      <c r="AG76" s="1373"/>
      <c r="AH76" s="2887"/>
      <c r="AI76" s="2887"/>
      <c r="AJ76" s="2887"/>
      <c r="AK76" s="2887"/>
    </row>
    <row r="77" spans="1:37" ht="24">
      <c r="A77" s="2876" t="s">
        <v>2949</v>
      </c>
      <c r="B77" s="2879">
        <f>估价对象房地状况!C20</f>
        <v>0</v>
      </c>
      <c r="C77" s="2768"/>
      <c r="D77" s="1288">
        <f t="shared" si="20"/>
        <v>0</v>
      </c>
      <c r="E77" s="825"/>
      <c r="F77" s="2499"/>
      <c r="G77" s="1286"/>
      <c r="H77" s="1290" t="str">
        <f t="shared" si="21"/>
        <v>——</v>
      </c>
      <c r="I77" s="819">
        <v>0.15</v>
      </c>
      <c r="J77" s="1287">
        <f t="shared" si="22"/>
        <v>0</v>
      </c>
      <c r="K77" s="1287">
        <f t="shared" si="23"/>
        <v>0</v>
      </c>
      <c r="L77" s="1287">
        <v>0</v>
      </c>
      <c r="M77" s="1287">
        <f t="shared" si="24"/>
        <v>0</v>
      </c>
      <c r="N77" s="1287">
        <f t="shared" si="24"/>
        <v>0</v>
      </c>
      <c r="Z77" s="2718"/>
      <c r="AA77" s="2794"/>
      <c r="AG77" s="1374"/>
      <c r="AK77" s="2794"/>
    </row>
    <row r="78" spans="1:37" ht="24.75" thickBot="1">
      <c r="A78" s="2884" t="s">
        <v>2956</v>
      </c>
      <c r="B78" s="2888"/>
      <c r="C78" s="2768"/>
      <c r="D78" s="1288">
        <f t="shared" si="20"/>
        <v>0</v>
      </c>
      <c r="E78" s="826"/>
      <c r="F78" s="2499"/>
      <c r="G78" s="1286"/>
      <c r="H78" s="1290" t="str">
        <f t="shared" si="21"/>
        <v>——</v>
      </c>
      <c r="I78" s="823">
        <v>0.04</v>
      </c>
      <c r="J78" s="1287">
        <f t="shared" si="22"/>
        <v>0</v>
      </c>
      <c r="K78" s="1287">
        <f t="shared" si="23"/>
        <v>0</v>
      </c>
      <c r="L78" s="1287">
        <v>0</v>
      </c>
      <c r="M78" s="1287">
        <f t="shared" si="24"/>
        <v>0</v>
      </c>
      <c r="N78" s="1287">
        <f t="shared" si="24"/>
        <v>0</v>
      </c>
      <c r="Z78" s="2718"/>
      <c r="AA78" s="2794"/>
      <c r="AG78" s="1374"/>
      <c r="AK78" s="2794"/>
    </row>
    <row r="79" spans="1:37" ht="15">
      <c r="A79" s="2872" t="s">
        <v>2957</v>
      </c>
      <c r="B79" s="2873">
        <f>1+E81</f>
        <v>1</v>
      </c>
      <c r="C79" s="813"/>
      <c r="D79" s="813"/>
      <c r="E79" s="814"/>
      <c r="F79" s="2875"/>
      <c r="G79" s="6"/>
      <c r="H79" s="6"/>
      <c r="I79" s="6"/>
      <c r="J79" s="7"/>
      <c r="K79" s="7"/>
      <c r="L79" s="7"/>
      <c r="M79" s="7"/>
      <c r="N79" s="7"/>
      <c r="Z79" s="2718"/>
      <c r="AA79" s="2794"/>
      <c r="AG79" s="1374"/>
      <c r="AK79" s="2794"/>
    </row>
    <row r="80" spans="1:37" ht="24.75">
      <c r="A80" s="2876" t="s">
        <v>2931</v>
      </c>
      <c r="B80" s="1811"/>
      <c r="C80" s="1811" t="s">
        <v>2933</v>
      </c>
      <c r="D80" s="1811" t="s">
        <v>2934</v>
      </c>
      <c r="E80" s="818" t="s">
        <v>2935</v>
      </c>
      <c r="F80" s="2877" t="s">
        <v>2951</v>
      </c>
      <c r="G80" s="1811" t="s">
        <v>754</v>
      </c>
      <c r="H80" s="2878" t="s">
        <v>2937</v>
      </c>
      <c r="I80" s="1811" t="s">
        <v>2938</v>
      </c>
      <c r="J80" s="602" t="s">
        <v>2585</v>
      </c>
      <c r="K80" s="602" t="s">
        <v>2586</v>
      </c>
      <c r="L80" s="602" t="s">
        <v>2587</v>
      </c>
      <c r="M80" s="602" t="s">
        <v>2588</v>
      </c>
      <c r="N80" s="602" t="s">
        <v>2589</v>
      </c>
      <c r="Z80" s="2718"/>
      <c r="AA80" s="2794"/>
      <c r="AG80" s="1374"/>
      <c r="AK80" s="2794"/>
    </row>
    <row r="81" spans="1:37" ht="24">
      <c r="A81" s="2876" t="s">
        <v>2958</v>
      </c>
      <c r="B81" s="2880">
        <f>估价对象房地状况!G15</f>
        <v>0</v>
      </c>
      <c r="C81" s="2768"/>
      <c r="D81" s="1288">
        <f t="shared" ref="D81:D88" si="25">SUMIF($J$80:$N$80,C81,J81:N81)</f>
        <v>0</v>
      </c>
      <c r="E81" s="820">
        <f>ROUND(SUM(D81:D88),4)</f>
        <v>0</v>
      </c>
      <c r="F81" s="2499"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18"/>
      <c r="AA81" s="2794"/>
      <c r="AG81" s="1374"/>
      <c r="AK81" s="2794"/>
    </row>
    <row r="82" spans="1:37" ht="14.25">
      <c r="A82" s="2876" t="s">
        <v>2940</v>
      </c>
      <c r="B82" s="2880">
        <f>估价对象房地状况!G16</f>
        <v>0</v>
      </c>
      <c r="C82" s="2768"/>
      <c r="D82" s="1288">
        <f t="shared" si="25"/>
        <v>0</v>
      </c>
      <c r="E82" s="825"/>
      <c r="F82" s="2499"/>
      <c r="G82" s="1286"/>
      <c r="H82" s="1290" t="str">
        <f t="shared" si="26"/>
        <v>——</v>
      </c>
      <c r="I82" s="819">
        <v>0.33</v>
      </c>
      <c r="J82" s="1287">
        <f t="shared" si="27"/>
        <v>0</v>
      </c>
      <c r="K82" s="1287">
        <f t="shared" si="28"/>
        <v>0</v>
      </c>
      <c r="L82" s="1287">
        <v>0</v>
      </c>
      <c r="M82" s="1287">
        <f t="shared" si="29"/>
        <v>0</v>
      </c>
      <c r="N82" s="1287">
        <f t="shared" si="29"/>
        <v>0</v>
      </c>
      <c r="Z82" s="2718"/>
      <c r="AA82" s="2794"/>
      <c r="AG82" s="1374"/>
      <c r="AK82" s="2794"/>
    </row>
    <row r="83" spans="1:37" ht="24">
      <c r="A83" s="2876" t="s">
        <v>2941</v>
      </c>
      <c r="B83" s="2880">
        <f>估价对象房地状况!G17</f>
        <v>0</v>
      </c>
      <c r="C83" s="2768"/>
      <c r="D83" s="1288">
        <f t="shared" si="25"/>
        <v>0</v>
      </c>
      <c r="E83" s="825"/>
      <c r="F83" s="2499"/>
      <c r="G83" s="1286"/>
      <c r="H83" s="1290" t="str">
        <f t="shared" si="26"/>
        <v>——</v>
      </c>
      <c r="I83" s="819">
        <v>0.05</v>
      </c>
      <c r="J83" s="1287">
        <f t="shared" si="27"/>
        <v>0</v>
      </c>
      <c r="K83" s="1287">
        <f t="shared" si="28"/>
        <v>0</v>
      </c>
      <c r="L83" s="1287">
        <v>0</v>
      </c>
      <c r="M83" s="1287">
        <f t="shared" si="29"/>
        <v>0</v>
      </c>
      <c r="N83" s="1287">
        <f t="shared" si="29"/>
        <v>0</v>
      </c>
      <c r="Z83" s="2718"/>
      <c r="AA83" s="2794"/>
      <c r="AG83" s="1374"/>
      <c r="AK83" s="2794"/>
    </row>
    <row r="84" spans="1:37" ht="14.25">
      <c r="A84" s="2876" t="s">
        <v>2955</v>
      </c>
      <c r="B84" s="2880">
        <f>估价对象房地状况!G22</f>
        <v>0</v>
      </c>
      <c r="C84" s="2768"/>
      <c r="D84" s="1288">
        <f t="shared" si="25"/>
        <v>0</v>
      </c>
      <c r="E84" s="825"/>
      <c r="F84" s="2499"/>
      <c r="G84" s="1286"/>
      <c r="H84" s="1290" t="str">
        <f t="shared" si="26"/>
        <v>——</v>
      </c>
      <c r="I84" s="819">
        <v>0.04</v>
      </c>
      <c r="J84" s="1287">
        <f t="shared" si="27"/>
        <v>0</v>
      </c>
      <c r="K84" s="1287">
        <f t="shared" si="28"/>
        <v>0</v>
      </c>
      <c r="L84" s="1287">
        <v>0</v>
      </c>
      <c r="M84" s="1287">
        <f t="shared" si="29"/>
        <v>0</v>
      </c>
      <c r="N84" s="1287">
        <f t="shared" si="29"/>
        <v>0</v>
      </c>
      <c r="Z84" s="2718"/>
      <c r="AA84" s="2794"/>
      <c r="AG84" s="1374"/>
      <c r="AK84" s="2794"/>
    </row>
    <row r="85" spans="1:37" ht="24">
      <c r="A85" s="2876" t="s">
        <v>2947</v>
      </c>
      <c r="B85" s="1727">
        <f>估价对象房地状况!G19</f>
        <v>0</v>
      </c>
      <c r="C85" s="2768"/>
      <c r="D85" s="1288">
        <f t="shared" si="25"/>
        <v>0</v>
      </c>
      <c r="E85" s="825"/>
      <c r="F85" s="2499"/>
      <c r="G85" s="1286"/>
      <c r="H85" s="1290" t="str">
        <f t="shared" si="26"/>
        <v>——</v>
      </c>
      <c r="I85" s="819">
        <v>0.06</v>
      </c>
      <c r="J85" s="1287">
        <f t="shared" si="27"/>
        <v>0</v>
      </c>
      <c r="K85" s="1287">
        <f t="shared" si="28"/>
        <v>0</v>
      </c>
      <c r="L85" s="1287">
        <v>0</v>
      </c>
      <c r="M85" s="1287">
        <f t="shared" si="29"/>
        <v>0</v>
      </c>
      <c r="N85" s="1287">
        <f t="shared" si="29"/>
        <v>0</v>
      </c>
      <c r="Z85" s="2718"/>
      <c r="AA85" s="2794"/>
      <c r="AG85" s="1374"/>
      <c r="AK85" s="2794"/>
    </row>
    <row r="86" spans="1:37" ht="24">
      <c r="A86" s="2876" t="s">
        <v>2948</v>
      </c>
      <c r="B86" s="1727">
        <f>估价对象房地状况!G20</f>
        <v>0</v>
      </c>
      <c r="C86" s="2768"/>
      <c r="D86" s="1288">
        <f t="shared" si="25"/>
        <v>0</v>
      </c>
      <c r="E86" s="825"/>
      <c r="F86" s="2499"/>
      <c r="G86" s="1286"/>
      <c r="H86" s="1290" t="str">
        <f t="shared" si="26"/>
        <v>——</v>
      </c>
      <c r="I86" s="819">
        <v>0.15</v>
      </c>
      <c r="J86" s="1287">
        <f t="shared" si="27"/>
        <v>0</v>
      </c>
      <c r="K86" s="1287">
        <f t="shared" si="28"/>
        <v>0</v>
      </c>
      <c r="L86" s="1287">
        <v>0</v>
      </c>
      <c r="M86" s="1287">
        <f t="shared" si="29"/>
        <v>0</v>
      </c>
      <c r="N86" s="1287">
        <f t="shared" si="29"/>
        <v>0</v>
      </c>
      <c r="Z86" s="2718"/>
      <c r="AA86" s="2794"/>
      <c r="AG86" s="1374"/>
      <c r="AK86" s="2794"/>
    </row>
    <row r="87" spans="1:37" ht="24">
      <c r="A87" s="2876" t="s">
        <v>2945</v>
      </c>
      <c r="B87" s="2882" t="s">
        <v>2959</v>
      </c>
      <c r="C87" s="2768"/>
      <c r="D87" s="1288">
        <f t="shared" si="25"/>
        <v>0</v>
      </c>
      <c r="E87" s="825"/>
      <c r="F87" s="2499"/>
      <c r="G87" s="1286"/>
      <c r="H87" s="1290" t="str">
        <f t="shared" si="26"/>
        <v>——</v>
      </c>
      <c r="I87" s="819">
        <v>0.05</v>
      </c>
      <c r="J87" s="1287">
        <f t="shared" si="27"/>
        <v>0</v>
      </c>
      <c r="K87" s="1287">
        <f t="shared" si="28"/>
        <v>0</v>
      </c>
      <c r="L87" s="1287">
        <v>0</v>
      </c>
      <c r="M87" s="1287">
        <f t="shared" si="29"/>
        <v>0</v>
      </c>
      <c r="N87" s="1287">
        <f t="shared" si="29"/>
        <v>0</v>
      </c>
      <c r="Z87" s="2718"/>
      <c r="AA87" s="2794"/>
      <c r="AG87" s="1374"/>
      <c r="AK87" s="2794"/>
    </row>
    <row r="88" spans="1:37" ht="15" thickBot="1">
      <c r="A88" s="2884" t="s">
        <v>2960</v>
      </c>
      <c r="B88" s="2889">
        <f>估价对象房地状况!G18</f>
        <v>0</v>
      </c>
      <c r="C88" s="2768"/>
      <c r="D88" s="1288">
        <f t="shared" si="25"/>
        <v>0</v>
      </c>
      <c r="E88" s="826"/>
      <c r="F88" s="2499"/>
      <c r="G88" s="1286"/>
      <c r="H88" s="1290" t="str">
        <f t="shared" si="26"/>
        <v>——</v>
      </c>
      <c r="I88" s="823">
        <v>0.06</v>
      </c>
      <c r="J88" s="1287">
        <f t="shared" si="27"/>
        <v>0</v>
      </c>
      <c r="K88" s="1287">
        <f t="shared" si="28"/>
        <v>0</v>
      </c>
      <c r="L88" s="1287">
        <v>0</v>
      </c>
      <c r="M88" s="1287">
        <f t="shared" si="29"/>
        <v>0</v>
      </c>
      <c r="N88" s="1287">
        <f t="shared" si="29"/>
        <v>0</v>
      </c>
      <c r="Z88" s="2718"/>
      <c r="AA88" s="2794"/>
      <c r="AG88" s="1374"/>
      <c r="AK88" s="2794"/>
    </row>
    <row r="90" spans="1:37">
      <c r="A90" s="3317" t="s">
        <v>2961</v>
      </c>
      <c r="B90" s="3317"/>
      <c r="C90" s="3317"/>
      <c r="D90" s="3317"/>
      <c r="E90" s="3317"/>
      <c r="F90" s="3317"/>
      <c r="G90" s="3317"/>
      <c r="H90" s="3317"/>
      <c r="I90" s="3317"/>
      <c r="J90" s="3317"/>
      <c r="K90" s="2890"/>
      <c r="L90" s="2890"/>
      <c r="M90" s="2890"/>
      <c r="N90" s="2890"/>
    </row>
    <row r="91" spans="1:37">
      <c r="A91" s="3319" t="s">
        <v>2962</v>
      </c>
      <c r="B91" s="3319" t="s">
        <v>2963</v>
      </c>
      <c r="C91" s="2844" t="s">
        <v>2964</v>
      </c>
      <c r="D91" s="2845"/>
      <c r="E91" s="2845"/>
      <c r="F91" s="2845"/>
      <c r="G91" s="2845"/>
      <c r="H91" s="2845"/>
      <c r="I91" s="2845"/>
      <c r="J91" s="2891"/>
      <c r="K91" s="2892"/>
      <c r="L91" s="2892"/>
      <c r="M91" s="2892"/>
      <c r="N91" s="2892"/>
    </row>
    <row r="92" spans="1:37">
      <c r="A92" s="3319"/>
      <c r="B92" s="3319"/>
      <c r="C92" s="944" t="s">
        <v>2828</v>
      </c>
      <c r="D92" s="944" t="s">
        <v>2829</v>
      </c>
      <c r="E92" s="944" t="s">
        <v>2830</v>
      </c>
      <c r="F92" s="944" t="s">
        <v>2831</v>
      </c>
      <c r="G92" s="944" t="s">
        <v>2832</v>
      </c>
      <c r="H92" s="944" t="s">
        <v>2833</v>
      </c>
      <c r="I92" s="944" t="s">
        <v>2834</v>
      </c>
      <c r="J92" s="944" t="s">
        <v>2835</v>
      </c>
      <c r="K92" s="944" t="s">
        <v>2836</v>
      </c>
      <c r="L92" s="944" t="s">
        <v>2837</v>
      </c>
      <c r="M92" s="944" t="s">
        <v>2838</v>
      </c>
      <c r="N92" s="944" t="s">
        <v>2839</v>
      </c>
    </row>
    <row r="93" spans="1:37">
      <c r="A93" s="3320" t="s">
        <v>2965</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321"/>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321"/>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321"/>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321"/>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321"/>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321"/>
      <c r="B99" s="2893" t="s">
        <v>2844</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322"/>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320" t="s">
        <v>2966</v>
      </c>
      <c r="B101" s="2897" t="s">
        <v>2967</v>
      </c>
      <c r="C101" s="2898">
        <f>$G$3</f>
        <v>1.54</v>
      </c>
      <c r="D101" s="2898">
        <f t="shared" ref="D101:N101" si="31">$G$3</f>
        <v>1.54</v>
      </c>
      <c r="E101" s="2898">
        <f t="shared" si="31"/>
        <v>1.54</v>
      </c>
      <c r="F101" s="2898">
        <f t="shared" si="31"/>
        <v>1.54</v>
      </c>
      <c r="G101" s="2898">
        <f t="shared" si="31"/>
        <v>1.54</v>
      </c>
      <c r="H101" s="2898">
        <f t="shared" si="31"/>
        <v>1.54</v>
      </c>
      <c r="I101" s="2898">
        <f t="shared" si="31"/>
        <v>1.54</v>
      </c>
      <c r="J101" s="2898">
        <f t="shared" si="31"/>
        <v>1.54</v>
      </c>
      <c r="K101" s="2898">
        <f t="shared" si="31"/>
        <v>1.54</v>
      </c>
      <c r="L101" s="2898">
        <f t="shared" si="31"/>
        <v>1.54</v>
      </c>
      <c r="M101" s="2898">
        <f t="shared" si="31"/>
        <v>1.54</v>
      </c>
      <c r="N101" s="2898">
        <f t="shared" si="31"/>
        <v>1.54</v>
      </c>
    </row>
    <row r="102" spans="1:14">
      <c r="A102" s="3321"/>
      <c r="B102" s="2893">
        <v>1</v>
      </c>
      <c r="C102" s="2894">
        <f>1.9362/C101</f>
        <v>1.2572727272727271</v>
      </c>
      <c r="D102" s="2894">
        <f>1.9362/D101</f>
        <v>1.2572727272727271</v>
      </c>
      <c r="E102" s="2894">
        <f>1.8629/E101</f>
        <v>1.2096753246753247</v>
      </c>
      <c r="F102" s="2894">
        <f>1.8629/F101</f>
        <v>1.2096753246753247</v>
      </c>
      <c r="G102" s="2894">
        <f>1.8629/G101</f>
        <v>1.2096753246753247</v>
      </c>
      <c r="H102" s="2894">
        <f>1.8629/H101</f>
        <v>1.2096753246753247</v>
      </c>
      <c r="I102" s="2894">
        <f>1.8629/I101</f>
        <v>1.2096753246753247</v>
      </c>
      <c r="J102" s="2894">
        <f>1.942/J101</f>
        <v>1.261038961038961</v>
      </c>
      <c r="K102" s="2894">
        <f>1.942/K101</f>
        <v>1.261038961038961</v>
      </c>
      <c r="L102" s="2894">
        <f>1.942/L101</f>
        <v>1.261038961038961</v>
      </c>
      <c r="M102" s="2894">
        <f>1.942/M101</f>
        <v>1.261038961038961</v>
      </c>
      <c r="N102" s="2894">
        <f>1.942/N101</f>
        <v>1.261038961038961</v>
      </c>
    </row>
    <row r="103" spans="1:14">
      <c r="A103" s="3321"/>
      <c r="B103" s="2893">
        <v>2</v>
      </c>
      <c r="C103" s="2894">
        <f>1.4198/C101</f>
        <v>0.92194805194805185</v>
      </c>
      <c r="D103" s="2894">
        <f>1.4198/D101</f>
        <v>0.92194805194805185</v>
      </c>
      <c r="E103" s="2894">
        <f>1.3372/E101</f>
        <v>0.86831168831168826</v>
      </c>
      <c r="F103" s="2894">
        <f>1.3372/F101</f>
        <v>0.86831168831168826</v>
      </c>
      <c r="G103" s="2894">
        <f>1.3372/G101</f>
        <v>0.86831168831168826</v>
      </c>
      <c r="H103" s="2894">
        <f>1.3372/H101</f>
        <v>0.86831168831168826</v>
      </c>
      <c r="I103" s="2894">
        <f>1.3372/I101</f>
        <v>0.86831168831168826</v>
      </c>
      <c r="J103" s="2894">
        <f>1.2799/J101</f>
        <v>0.83110389610389612</v>
      </c>
      <c r="K103" s="2894">
        <f>1.2799/K101</f>
        <v>0.83110389610389612</v>
      </c>
      <c r="L103" s="2894">
        <f>1.2799/L101</f>
        <v>0.83110389610389612</v>
      </c>
      <c r="M103" s="2894">
        <f>1.2799/M101</f>
        <v>0.83110389610389612</v>
      </c>
      <c r="N103" s="2894">
        <f>1.2799/N101</f>
        <v>0.83110389610389612</v>
      </c>
    </row>
    <row r="104" spans="1:14">
      <c r="A104" s="3321"/>
      <c r="B104" s="2893">
        <v>3</v>
      </c>
      <c r="C104" s="2894">
        <f>1.1594/C101</f>
        <v>0.75285714285714278</v>
      </c>
      <c r="D104" s="2894">
        <f>1.1594/D101</f>
        <v>0.75285714285714278</v>
      </c>
      <c r="E104" s="2894">
        <f>1.0788/E101</f>
        <v>0.70051948051948054</v>
      </c>
      <c r="F104" s="2894">
        <f>1.0788/F101</f>
        <v>0.70051948051948054</v>
      </c>
      <c r="G104" s="2894">
        <f>1.0788/G101</f>
        <v>0.70051948051948054</v>
      </c>
      <c r="H104" s="2894">
        <f>1.0788/H101</f>
        <v>0.70051948051948054</v>
      </c>
      <c r="I104" s="2894">
        <f>1.0788/I101</f>
        <v>0.70051948051948054</v>
      </c>
      <c r="J104" s="2894">
        <f>1.0072/J101</f>
        <v>0.65402597402597407</v>
      </c>
      <c r="K104" s="2894">
        <f>1.0072/K101</f>
        <v>0.65402597402597407</v>
      </c>
      <c r="L104" s="2894">
        <f>1.0072/L101</f>
        <v>0.65402597402597407</v>
      </c>
      <c r="M104" s="2894">
        <f>1.0072/M101</f>
        <v>0.65402597402597407</v>
      </c>
      <c r="N104" s="2894">
        <f>1.0072/N101</f>
        <v>0.65402597402597407</v>
      </c>
    </row>
    <row r="105" spans="1:14">
      <c r="A105" s="3321"/>
      <c r="B105" s="2893">
        <v>4</v>
      </c>
      <c r="C105" s="2894">
        <f>0.9622/C101</f>
        <v>0.62480519480519481</v>
      </c>
      <c r="D105" s="2894">
        <f>0.9622/D101</f>
        <v>0.62480519480519481</v>
      </c>
      <c r="E105" s="2894">
        <f>0.8656/E101</f>
        <v>0.56207792207792207</v>
      </c>
      <c r="F105" s="2894">
        <f>0.8656/F101</f>
        <v>0.56207792207792207</v>
      </c>
      <c r="G105" s="2894">
        <f>0.8656/G101</f>
        <v>0.56207792207792207</v>
      </c>
      <c r="H105" s="2894">
        <f>0.8656/H101</f>
        <v>0.56207792207792207</v>
      </c>
      <c r="I105" s="2894">
        <f>0.8656/I101</f>
        <v>0.56207792207792207</v>
      </c>
      <c r="J105" s="2894">
        <f>0.7525/J101</f>
        <v>0.48863636363636359</v>
      </c>
      <c r="K105" s="2894">
        <f>0.7525/K101</f>
        <v>0.48863636363636359</v>
      </c>
      <c r="L105" s="2894">
        <f>0.7525/L101</f>
        <v>0.48863636363636359</v>
      </c>
      <c r="M105" s="2894">
        <f>0.7525/M101</f>
        <v>0.48863636363636359</v>
      </c>
      <c r="N105" s="2894">
        <f>0.7525/N101</f>
        <v>0.48863636363636359</v>
      </c>
    </row>
    <row r="106" spans="1:14">
      <c r="A106" s="3321"/>
      <c r="B106" s="2893">
        <v>5</v>
      </c>
      <c r="C106" s="2894">
        <f>0.8417/C101</f>
        <v>0.54655844155844158</v>
      </c>
      <c r="D106" s="2894">
        <f>0.8417/D101</f>
        <v>0.54655844155844158</v>
      </c>
      <c r="E106" s="2894">
        <f>0.7371/E101</f>
        <v>0.47863636363636364</v>
      </c>
      <c r="F106" s="2894">
        <f>0.7371/F101</f>
        <v>0.47863636363636364</v>
      </c>
      <c r="G106" s="2894">
        <f>0.7371/G101</f>
        <v>0.47863636363636364</v>
      </c>
      <c r="H106" s="2894">
        <f>0.7371/H101</f>
        <v>0.47863636363636364</v>
      </c>
      <c r="I106" s="2894">
        <f>0.7371/I101</f>
        <v>0.47863636363636364</v>
      </c>
      <c r="J106" s="2894">
        <f>0.5659/J101</f>
        <v>0.36746753246753244</v>
      </c>
      <c r="K106" s="2894">
        <f>0.5659/K101</f>
        <v>0.36746753246753244</v>
      </c>
      <c r="L106" s="2894">
        <f>0.5659/L101</f>
        <v>0.36746753246753244</v>
      </c>
      <c r="M106" s="2894">
        <f>0.5659/M101</f>
        <v>0.36746753246753244</v>
      </c>
      <c r="N106" s="2894">
        <f>0.5659/N101</f>
        <v>0.36746753246753244</v>
      </c>
    </row>
    <row r="107" spans="1:14">
      <c r="A107" s="3321"/>
      <c r="B107" s="2893">
        <v>6</v>
      </c>
      <c r="C107" s="2894">
        <f>0.7608/C101</f>
        <v>0.49402597402597404</v>
      </c>
      <c r="D107" s="2894">
        <f>0.7608/D101</f>
        <v>0.49402597402597404</v>
      </c>
      <c r="E107" s="2894">
        <f>0.6482/E101</f>
        <v>0.4209090909090909</v>
      </c>
      <c r="F107" s="2894">
        <f>0.6482/F101</f>
        <v>0.4209090909090909</v>
      </c>
      <c r="G107" s="2894">
        <f>0.6482/G101</f>
        <v>0.4209090909090909</v>
      </c>
      <c r="H107" s="2894">
        <f>0.6482/H101</f>
        <v>0.4209090909090909</v>
      </c>
      <c r="I107" s="2894">
        <f>0.6482/I101</f>
        <v>0.4209090909090909</v>
      </c>
      <c r="J107" s="2894">
        <f>0.4525/J101</f>
        <v>0.29383116883116883</v>
      </c>
      <c r="K107" s="2894">
        <f>0.4525/K101</f>
        <v>0.29383116883116883</v>
      </c>
      <c r="L107" s="2894">
        <f>0.4525/L101</f>
        <v>0.29383116883116883</v>
      </c>
      <c r="M107" s="2894">
        <f>0.4525/M101</f>
        <v>0.29383116883116883</v>
      </c>
      <c r="N107" s="2894">
        <f>0.4525/N101</f>
        <v>0.29383116883116883</v>
      </c>
    </row>
    <row r="108" spans="1:14">
      <c r="A108" s="3321"/>
      <c r="B108" s="3174" t="s">
        <v>2968</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322"/>
      <c r="B109" s="3175"/>
      <c r="C109" s="2896">
        <f>(-0.163*(C108^2)-0.59*C108+7617)*(10^(-4))/C101</f>
        <v>0.49461038961038961</v>
      </c>
      <c r="D109" s="2896">
        <f>(-0.163*(D108^2)-0.59*D108+7617)*(10^(-4))/D101</f>
        <v>0.49461038961038961</v>
      </c>
      <c r="E109" s="2896">
        <f>(-0.161*(E108^2)-7.509*E108+6533)*(10^(-4))/E101</f>
        <v>0.42422077922077922</v>
      </c>
      <c r="F109" s="2896">
        <f>(-0.161*(F108^2)-7.509*F108+6533)*(10^(-4))/F101</f>
        <v>0.42422077922077922</v>
      </c>
      <c r="G109" s="2896">
        <f>(-0.161*(G108^2)-7.509*G108+6533)*(10^(-4))/G101</f>
        <v>0.42422077922077922</v>
      </c>
      <c r="H109" s="2896">
        <f>(-0.161*(H108^2)-7.509*H108+6533)*(10^(-4))/H101</f>
        <v>0.42422077922077922</v>
      </c>
      <c r="I109" s="2896">
        <f>(-0.161*(I108^2)-7.509*I108+6533)*(10^(-4))/I101</f>
        <v>0.42422077922077922</v>
      </c>
      <c r="J109" s="2896">
        <f>(-0.214*(J108^2)-21.991*J108+4665)*(10^(-4))/J101</f>
        <v>0.30292207792207793</v>
      </c>
      <c r="K109" s="2896">
        <f>(-0.214*(K108^2)-21.991*K108+4665)*(10^(-4))/K101</f>
        <v>0.30292207792207793</v>
      </c>
      <c r="L109" s="2896">
        <f>(-0.214*(L108^2)-21.991*L108+4665)*(10^(-4))/L101</f>
        <v>0.30292207792207793</v>
      </c>
      <c r="M109" s="2896">
        <f>(-0.214*(M108^2)-21.991*M108+4665)*(10^(-4))/M101</f>
        <v>0.30292207792207793</v>
      </c>
      <c r="N109" s="2896">
        <f>(-0.214*(N108^2)-21.991*N108+4665)*(10^(-4))/N101</f>
        <v>0.30292207792207793</v>
      </c>
    </row>
    <row r="110" spans="1:14">
      <c r="A110" s="3318" t="s">
        <v>2969</v>
      </c>
      <c r="B110" s="3318"/>
      <c r="C110" s="3318"/>
      <c r="D110" s="3318"/>
      <c r="E110" s="3318"/>
      <c r="F110" s="3318"/>
      <c r="G110" s="3318"/>
      <c r="H110" s="3318"/>
      <c r="I110" s="3318"/>
      <c r="J110" s="3318"/>
      <c r="K110" s="2899"/>
      <c r="L110" s="2899"/>
      <c r="M110" s="2899"/>
      <c r="N110" s="2899"/>
    </row>
    <row r="112" spans="1:14" ht="13.5" thickBot="1"/>
    <row r="113" spans="1:13" ht="25.5" thickBot="1">
      <c r="A113" s="902" t="s">
        <v>2970</v>
      </c>
      <c r="B113" s="1289">
        <f>G3</f>
        <v>1.54</v>
      </c>
      <c r="C113" s="903" t="s">
        <v>2971</v>
      </c>
      <c r="D113" s="904">
        <f>SUMPRODUCT((A115:A118=F113)*(B114:M114=H113)*B115:M118)</f>
        <v>0</v>
      </c>
      <c r="E113" s="2722" t="s">
        <v>2801</v>
      </c>
      <c r="F113" s="2901">
        <f>E2</f>
        <v>0</v>
      </c>
      <c r="G113" s="2722" t="s">
        <v>2802</v>
      </c>
      <c r="H113" s="2901">
        <f>G2</f>
        <v>0</v>
      </c>
      <c r="I113" s="2722"/>
      <c r="J113" s="2902"/>
      <c r="K113" s="2902"/>
      <c r="L113" s="2902"/>
      <c r="M113" s="2902"/>
    </row>
    <row r="114" spans="1:13">
      <c r="A114" s="907"/>
      <c r="B114" s="2903" t="s">
        <v>2972</v>
      </c>
      <c r="C114" s="2903" t="s">
        <v>2973</v>
      </c>
      <c r="D114" s="2903" t="s">
        <v>2974</v>
      </c>
      <c r="E114" s="2904" t="s">
        <v>2975</v>
      </c>
      <c r="F114" s="2904" t="s">
        <v>2976</v>
      </c>
      <c r="G114" s="2904" t="s">
        <v>2977</v>
      </c>
      <c r="H114" s="2905" t="s">
        <v>2978</v>
      </c>
      <c r="I114" s="2905" t="s">
        <v>2979</v>
      </c>
      <c r="J114" s="2906" t="s">
        <v>2980</v>
      </c>
      <c r="K114" s="2906" t="s">
        <v>2981</v>
      </c>
      <c r="L114" s="2906" t="s">
        <v>2982</v>
      </c>
      <c r="M114" s="2907" t="s">
        <v>2983</v>
      </c>
    </row>
    <row r="115" spans="1:13">
      <c r="A115" s="908" t="s">
        <v>2866</v>
      </c>
      <c r="B115" s="909">
        <f>ROUND(0.9335-0.0094*B113,4)</f>
        <v>0.91900000000000004</v>
      </c>
      <c r="C115" s="909">
        <f>B115</f>
        <v>0.91900000000000004</v>
      </c>
      <c r="D115" s="909">
        <f>ROUND(0.8331-0.0109*B113,4)</f>
        <v>0.81630000000000003</v>
      </c>
      <c r="E115" s="909">
        <f>D115</f>
        <v>0.81630000000000003</v>
      </c>
      <c r="F115" s="909">
        <f>E115</f>
        <v>0.81630000000000003</v>
      </c>
      <c r="G115" s="909">
        <f>F115</f>
        <v>0.81630000000000003</v>
      </c>
      <c r="H115" s="909">
        <f>G115</f>
        <v>0.81630000000000003</v>
      </c>
      <c r="I115" s="909">
        <f>ROUND(0.689-0.0155*B113,4)</f>
        <v>0.66510000000000002</v>
      </c>
      <c r="J115" s="909">
        <f t="shared" ref="J115:M118" si="33">I115</f>
        <v>0.66510000000000002</v>
      </c>
      <c r="K115" s="909">
        <f t="shared" si="33"/>
        <v>0.66510000000000002</v>
      </c>
      <c r="L115" s="909">
        <f t="shared" si="33"/>
        <v>0.66510000000000002</v>
      </c>
      <c r="M115" s="910">
        <f t="shared" si="33"/>
        <v>0.66510000000000002</v>
      </c>
    </row>
    <row r="116" spans="1:13">
      <c r="A116" s="908" t="s">
        <v>2867</v>
      </c>
      <c r="B116" s="909">
        <f>ROUND(0.949-0.012*B113,4)</f>
        <v>0.93049999999999999</v>
      </c>
      <c r="C116" s="909">
        <f>B116</f>
        <v>0.93049999999999999</v>
      </c>
      <c r="D116" s="909">
        <f>ROUND(0.8567-0.013*B113,4)</f>
        <v>0.8367</v>
      </c>
      <c r="E116" s="909">
        <f t="shared" ref="E116:H117" si="34">D116</f>
        <v>0.8367</v>
      </c>
      <c r="F116" s="909">
        <f t="shared" si="34"/>
        <v>0.8367</v>
      </c>
      <c r="G116" s="909">
        <f t="shared" si="34"/>
        <v>0.8367</v>
      </c>
      <c r="H116" s="909">
        <f t="shared" si="34"/>
        <v>0.8367</v>
      </c>
      <c r="I116" s="909">
        <f>ROUND(0.7694-0.014*B113,4)</f>
        <v>0.74780000000000002</v>
      </c>
      <c r="J116" s="909">
        <f t="shared" si="33"/>
        <v>0.74780000000000002</v>
      </c>
      <c r="K116" s="909">
        <f t="shared" si="33"/>
        <v>0.74780000000000002</v>
      </c>
      <c r="L116" s="909">
        <f t="shared" si="33"/>
        <v>0.74780000000000002</v>
      </c>
      <c r="M116" s="910">
        <f t="shared" si="33"/>
        <v>0.74780000000000002</v>
      </c>
    </row>
    <row r="117" spans="1:13">
      <c r="A117" s="908" t="s">
        <v>2868</v>
      </c>
      <c r="B117" s="909">
        <f>ROUND(0.8808-0.006*B113,4)</f>
        <v>0.87160000000000004</v>
      </c>
      <c r="C117" s="909">
        <f>B117</f>
        <v>0.87160000000000004</v>
      </c>
      <c r="D117" s="909">
        <f>ROUND(0.8748-0.008*B113,4)</f>
        <v>0.86250000000000004</v>
      </c>
      <c r="E117" s="909">
        <f t="shared" si="34"/>
        <v>0.86250000000000004</v>
      </c>
      <c r="F117" s="909">
        <f t="shared" si="34"/>
        <v>0.86250000000000004</v>
      </c>
      <c r="G117" s="909">
        <f t="shared" si="34"/>
        <v>0.86250000000000004</v>
      </c>
      <c r="H117" s="909">
        <f t="shared" si="34"/>
        <v>0.86250000000000004</v>
      </c>
      <c r="I117" s="909">
        <f>ROUND(0.7412-0.0095*B113,4)</f>
        <v>0.72660000000000002</v>
      </c>
      <c r="J117" s="909">
        <f t="shared" si="33"/>
        <v>0.72660000000000002</v>
      </c>
      <c r="K117" s="909">
        <f t="shared" si="33"/>
        <v>0.72660000000000002</v>
      </c>
      <c r="L117" s="909">
        <f t="shared" si="33"/>
        <v>0.72660000000000002</v>
      </c>
      <c r="M117" s="910">
        <f t="shared" si="33"/>
        <v>0.72660000000000002</v>
      </c>
    </row>
    <row r="118" spans="1:13" ht="13.5" thickBot="1">
      <c r="A118" s="713" t="s">
        <v>2869</v>
      </c>
      <c r="B118" s="911">
        <f>ROUND(0.7275-0.01*B113,4)</f>
        <v>0.71209999999999996</v>
      </c>
      <c r="C118" s="911">
        <f>B118</f>
        <v>0.71209999999999996</v>
      </c>
      <c r="D118" s="911">
        <f>ROUND(0.7043-0.012*B113,4)</f>
        <v>0.68579999999999997</v>
      </c>
      <c r="E118" s="911">
        <f>D118</f>
        <v>0.68579999999999997</v>
      </c>
      <c r="F118" s="911">
        <f>E118</f>
        <v>0.68579999999999997</v>
      </c>
      <c r="G118" s="911">
        <f>ROUND(0.6299-0.0122*B113,4)</f>
        <v>0.61109999999999998</v>
      </c>
      <c r="H118" s="911">
        <f>G118</f>
        <v>0.61109999999999998</v>
      </c>
      <c r="I118" s="911">
        <f>ROUND(0.5667-0.0136*B113,4)</f>
        <v>0.54579999999999995</v>
      </c>
      <c r="J118" s="911">
        <f t="shared" si="33"/>
        <v>0.54579999999999995</v>
      </c>
      <c r="K118" s="911">
        <f t="shared" si="33"/>
        <v>0.54579999999999995</v>
      </c>
      <c r="L118" s="911">
        <f t="shared" si="33"/>
        <v>0.54579999999999995</v>
      </c>
      <c r="M118" s="912">
        <f t="shared" si="33"/>
        <v>0.54579999999999995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26" t="s">
        <v>183</v>
      </c>
      <c r="B18" s="881" t="s">
        <v>560</v>
      </c>
      <c r="C18" s="882" t="s">
        <v>561</v>
      </c>
      <c r="D18" s="883"/>
      <c r="E18" s="881">
        <v>1</v>
      </c>
      <c r="F18" s="884" t="s">
        <v>562</v>
      </c>
      <c r="G18" s="885"/>
      <c r="H18" s="877"/>
      <c r="I18" s="877"/>
    </row>
    <row r="19" spans="1:9" s="886" customFormat="1" ht="19.5" customHeight="1">
      <c r="A19" s="3326"/>
      <c r="B19" s="3326" t="s">
        <v>563</v>
      </c>
      <c r="C19" s="882" t="s">
        <v>564</v>
      </c>
      <c r="D19" s="883"/>
      <c r="E19" s="881">
        <v>0.9</v>
      </c>
      <c r="F19" s="884" t="s">
        <v>565</v>
      </c>
      <c r="G19" s="885"/>
      <c r="H19" s="877"/>
      <c r="I19" s="877"/>
    </row>
    <row r="20" spans="1:9" s="886" customFormat="1" ht="19.5" customHeight="1">
      <c r="A20" s="3326"/>
      <c r="B20" s="3326"/>
      <c r="C20" s="882" t="s">
        <v>566</v>
      </c>
      <c r="D20" s="883"/>
      <c r="E20" s="881">
        <v>1.1000000000000001</v>
      </c>
      <c r="F20" s="884" t="s">
        <v>567</v>
      </c>
      <c r="G20" s="885"/>
      <c r="H20" s="877"/>
      <c r="I20" s="877"/>
    </row>
    <row r="21" spans="1:9" s="886" customFormat="1" ht="19.5" customHeight="1">
      <c r="A21" s="3326"/>
      <c r="B21" s="3326"/>
      <c r="C21" s="882" t="s">
        <v>568</v>
      </c>
      <c r="D21" s="883"/>
      <c r="E21" s="881">
        <v>0.8</v>
      </c>
      <c r="F21" s="884" t="s">
        <v>569</v>
      </c>
      <c r="G21" s="885"/>
      <c r="H21" s="877"/>
      <c r="I21" s="877"/>
    </row>
    <row r="22" spans="1:9" s="886" customFormat="1" ht="19.5" customHeight="1">
      <c r="A22" s="3326"/>
      <c r="B22" s="3326"/>
      <c r="C22" s="882" t="s">
        <v>570</v>
      </c>
      <c r="D22" s="883"/>
      <c r="E22" s="881">
        <v>0.5</v>
      </c>
      <c r="F22" s="884"/>
      <c r="G22" s="885"/>
      <c r="H22" s="877"/>
      <c r="I22" s="877"/>
    </row>
    <row r="23" spans="1:9" s="886" customFormat="1" ht="19.5" customHeight="1">
      <c r="A23" s="3326" t="s">
        <v>184</v>
      </c>
      <c r="B23" s="881" t="s">
        <v>560</v>
      </c>
      <c r="C23" s="882" t="s">
        <v>571</v>
      </c>
      <c r="D23" s="883"/>
      <c r="E23" s="881">
        <v>1</v>
      </c>
      <c r="F23" s="884" t="s">
        <v>572</v>
      </c>
      <c r="G23" s="885"/>
      <c r="H23" s="877"/>
      <c r="I23" s="877"/>
    </row>
    <row r="24" spans="1:9" s="886" customFormat="1" ht="19.5" customHeight="1">
      <c r="A24" s="3326"/>
      <c r="B24" s="3326" t="s">
        <v>563</v>
      </c>
      <c r="C24" s="882" t="s">
        <v>573</v>
      </c>
      <c r="D24" s="883"/>
      <c r="E24" s="881">
        <v>0.5</v>
      </c>
      <c r="F24" s="884"/>
      <c r="G24" s="885"/>
      <c r="H24" s="877"/>
      <c r="I24" s="877"/>
    </row>
    <row r="25" spans="1:9" s="886" customFormat="1" ht="19.5" customHeight="1">
      <c r="A25" s="3326"/>
      <c r="B25" s="3326"/>
      <c r="C25" s="882" t="s">
        <v>574</v>
      </c>
      <c r="D25" s="883"/>
      <c r="E25" s="881">
        <v>1.1000000000000001</v>
      </c>
      <c r="F25" s="884"/>
      <c r="G25" s="885"/>
      <c r="H25" s="877"/>
      <c r="I25" s="877"/>
    </row>
    <row r="26" spans="1:9" s="886" customFormat="1" ht="19.5" customHeight="1">
      <c r="A26" s="3326"/>
      <c r="B26" s="3326"/>
      <c r="C26" s="882" t="s">
        <v>575</v>
      </c>
      <c r="D26" s="883"/>
      <c r="E26" s="881">
        <v>1.1000000000000001</v>
      </c>
      <c r="F26" s="884"/>
      <c r="G26" s="885"/>
      <c r="H26" s="877"/>
      <c r="I26" s="877"/>
    </row>
    <row r="27" spans="1:9" s="886" customFormat="1" ht="19.5" customHeight="1">
      <c r="A27" s="3326"/>
      <c r="B27" s="3326"/>
      <c r="C27" s="882" t="s">
        <v>576</v>
      </c>
      <c r="D27" s="883"/>
      <c r="E27" s="881">
        <v>0.9</v>
      </c>
      <c r="F27" s="884" t="s">
        <v>577</v>
      </c>
      <c r="G27" s="885"/>
      <c r="H27" s="877"/>
      <c r="I27" s="877"/>
    </row>
    <row r="28" spans="1:9" s="886" customFormat="1" ht="19.5" customHeight="1">
      <c r="A28" s="3326"/>
      <c r="B28" s="3326"/>
      <c r="C28" s="882" t="s">
        <v>578</v>
      </c>
      <c r="D28" s="883"/>
      <c r="E28" s="881">
        <v>0.9</v>
      </c>
      <c r="F28" s="884" t="s">
        <v>579</v>
      </c>
      <c r="G28" s="885"/>
      <c r="H28" s="877"/>
      <c r="I28" s="877"/>
    </row>
    <row r="29" spans="1:9" s="886" customFormat="1" ht="19.5" customHeight="1">
      <c r="A29" s="3326"/>
      <c r="B29" s="3326"/>
      <c r="C29" s="882" t="s">
        <v>580</v>
      </c>
      <c r="D29" s="883"/>
      <c r="E29" s="881">
        <v>0.9</v>
      </c>
      <c r="F29" s="884" t="s">
        <v>581</v>
      </c>
      <c r="G29" s="885"/>
      <c r="H29" s="877"/>
      <c r="I29" s="877"/>
    </row>
    <row r="30" spans="1:9" s="886" customFormat="1" ht="19.5" customHeight="1">
      <c r="A30" s="3326"/>
      <c r="B30" s="3326"/>
      <c r="C30" s="882" t="s">
        <v>582</v>
      </c>
      <c r="D30" s="883"/>
      <c r="E30" s="881">
        <v>0.9</v>
      </c>
      <c r="F30" s="884" t="s">
        <v>583</v>
      </c>
      <c r="G30" s="885"/>
      <c r="H30" s="877"/>
      <c r="I30" s="877"/>
    </row>
    <row r="31" spans="1:9" s="886" customFormat="1" ht="19.5" customHeight="1">
      <c r="A31" s="3326"/>
      <c r="B31" s="3326"/>
      <c r="C31" s="882" t="s">
        <v>584</v>
      </c>
      <c r="D31" s="883"/>
      <c r="E31" s="881">
        <v>0.8</v>
      </c>
      <c r="F31" s="884" t="s">
        <v>585</v>
      </c>
      <c r="G31" s="885"/>
      <c r="H31" s="877"/>
      <c r="I31" s="877"/>
    </row>
    <row r="32" spans="1:9" s="886" customFormat="1" ht="19.5" customHeight="1">
      <c r="A32" s="3326"/>
      <c r="B32" s="3326"/>
      <c r="C32" s="882" t="s">
        <v>586</v>
      </c>
      <c r="D32" s="883"/>
      <c r="E32" s="881">
        <v>0.8</v>
      </c>
      <c r="F32" s="884" t="s">
        <v>587</v>
      </c>
      <c r="G32" s="885"/>
      <c r="H32" s="877"/>
      <c r="I32" s="877"/>
    </row>
    <row r="33" spans="1:9" s="886" customFormat="1" ht="19.5" customHeight="1">
      <c r="A33" s="3326" t="s">
        <v>185</v>
      </c>
      <c r="B33" s="881" t="s">
        <v>560</v>
      </c>
      <c r="C33" s="882" t="s">
        <v>588</v>
      </c>
      <c r="D33" s="883"/>
      <c r="E33" s="881">
        <v>1</v>
      </c>
      <c r="F33" s="884" t="s">
        <v>589</v>
      </c>
      <c r="G33" s="885"/>
      <c r="H33" s="877"/>
      <c r="I33" s="877"/>
    </row>
    <row r="34" spans="1:9" s="886" customFormat="1" ht="19.5" customHeight="1">
      <c r="A34" s="3326"/>
      <c r="B34" s="881" t="s">
        <v>563</v>
      </c>
      <c r="C34" s="882" t="s">
        <v>590</v>
      </c>
      <c r="D34" s="883"/>
      <c r="E34" s="881">
        <v>1.5</v>
      </c>
      <c r="F34" s="884" t="s">
        <v>591</v>
      </c>
      <c r="G34" s="885"/>
      <c r="H34" s="877"/>
      <c r="I34" s="877"/>
    </row>
    <row r="35" spans="1:9" s="886" customFormat="1" ht="19.5" customHeight="1">
      <c r="A35" s="3326" t="s">
        <v>186</v>
      </c>
      <c r="B35" s="881" t="s">
        <v>560</v>
      </c>
      <c r="C35" s="882" t="s">
        <v>592</v>
      </c>
      <c r="D35" s="883"/>
      <c r="E35" s="881">
        <v>1</v>
      </c>
      <c r="F35" s="884" t="s">
        <v>593</v>
      </c>
      <c r="G35" s="885"/>
      <c r="H35" s="877"/>
      <c r="I35" s="877"/>
    </row>
    <row r="36" spans="1:9" s="886" customFormat="1" ht="19.5" customHeight="1">
      <c r="A36" s="3326"/>
      <c r="B36" s="3326" t="s">
        <v>563</v>
      </c>
      <c r="C36" s="882" t="s">
        <v>594</v>
      </c>
      <c r="D36" s="883"/>
      <c r="E36" s="881">
        <v>1</v>
      </c>
      <c r="F36" s="884" t="s">
        <v>595</v>
      </c>
      <c r="G36" s="885"/>
      <c r="H36" s="877"/>
      <c r="I36" s="877"/>
    </row>
    <row r="37" spans="1:9" s="886" customFormat="1" ht="19.5" customHeight="1">
      <c r="A37" s="3326"/>
      <c r="B37" s="3326"/>
      <c r="C37" s="882" t="s">
        <v>596</v>
      </c>
      <c r="D37" s="883"/>
      <c r="E37" s="881">
        <v>1.5</v>
      </c>
      <c r="F37" s="884" t="s">
        <v>597</v>
      </c>
      <c r="G37" s="885"/>
      <c r="H37" s="877"/>
      <c r="I37" s="877"/>
    </row>
    <row r="38" spans="1:9" s="886" customFormat="1" ht="19.5" customHeight="1">
      <c r="A38" s="3326"/>
      <c r="B38" s="3326"/>
      <c r="C38" s="882" t="s">
        <v>598</v>
      </c>
      <c r="D38" s="883"/>
      <c r="E38" s="881">
        <v>1</v>
      </c>
      <c r="F38" s="884" t="s">
        <v>599</v>
      </c>
      <c r="G38" s="885"/>
      <c r="H38" s="877"/>
      <c r="I38" s="877"/>
    </row>
    <row r="39" spans="1:9" s="886" customFormat="1" ht="19.5" customHeight="1">
      <c r="A39" s="3326"/>
      <c r="B39" s="3326"/>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26" t="s">
        <v>614</v>
      </c>
      <c r="C61" s="817" t="s">
        <v>615</v>
      </c>
      <c r="D61" s="817" t="s">
        <v>616</v>
      </c>
      <c r="E61" s="894">
        <v>0.5</v>
      </c>
      <c r="F61" s="881">
        <v>80</v>
      </c>
    </row>
    <row r="62" spans="1:8" s="877" customFormat="1" ht="24">
      <c r="A62" s="881">
        <v>2</v>
      </c>
      <c r="B62" s="3326"/>
      <c r="C62" s="817" t="s">
        <v>617</v>
      </c>
      <c r="D62" s="817" t="s">
        <v>618</v>
      </c>
      <c r="E62" s="894">
        <v>0.5</v>
      </c>
      <c r="F62" s="881">
        <v>80</v>
      </c>
    </row>
    <row r="63" spans="1:8" s="877" customFormat="1" ht="36">
      <c r="A63" s="881">
        <v>3</v>
      </c>
      <c r="B63" s="3326"/>
      <c r="C63" s="817" t="s">
        <v>619</v>
      </c>
      <c r="D63" s="817" t="s">
        <v>620</v>
      </c>
      <c r="E63" s="894">
        <v>0.5</v>
      </c>
      <c r="F63" s="881">
        <v>80</v>
      </c>
    </row>
    <row r="64" spans="1:8" s="877" customFormat="1" ht="36">
      <c r="A64" s="881">
        <v>4</v>
      </c>
      <c r="B64" s="3326"/>
      <c r="C64" s="817" t="s">
        <v>621</v>
      </c>
      <c r="D64" s="817" t="s">
        <v>622</v>
      </c>
      <c r="E64" s="894">
        <v>0.4</v>
      </c>
      <c r="F64" s="881">
        <v>60</v>
      </c>
    </row>
    <row r="65" spans="1:6" s="877" customFormat="1" ht="36">
      <c r="A65" s="881">
        <v>5</v>
      </c>
      <c r="B65" s="3326"/>
      <c r="C65" s="817" t="s">
        <v>623</v>
      </c>
      <c r="D65" s="817" t="s">
        <v>624</v>
      </c>
      <c r="E65" s="894">
        <v>0.2</v>
      </c>
      <c r="F65" s="881">
        <v>30</v>
      </c>
    </row>
    <row r="66" spans="1:6" s="877" customFormat="1" ht="36">
      <c r="A66" s="881">
        <v>6</v>
      </c>
      <c r="B66" s="3326"/>
      <c r="C66" s="817" t="s">
        <v>625</v>
      </c>
      <c r="D66" s="817" t="s">
        <v>626</v>
      </c>
      <c r="E66" s="894">
        <v>0.3</v>
      </c>
      <c r="F66" s="881">
        <v>50</v>
      </c>
    </row>
    <row r="67" spans="1:6" s="877" customFormat="1" ht="36">
      <c r="A67" s="881">
        <v>7</v>
      </c>
      <c r="B67" s="3326"/>
      <c r="C67" s="817" t="s">
        <v>627</v>
      </c>
      <c r="D67" s="817" t="s">
        <v>628</v>
      </c>
      <c r="E67" s="894">
        <v>0.2</v>
      </c>
      <c r="F67" s="881">
        <v>30</v>
      </c>
    </row>
    <row r="68" spans="1:6" s="877" customFormat="1" ht="36">
      <c r="A68" s="881">
        <v>8</v>
      </c>
      <c r="B68" s="3326"/>
      <c r="C68" s="817" t="s">
        <v>629</v>
      </c>
      <c r="D68" s="817" t="s">
        <v>630</v>
      </c>
      <c r="E68" s="894">
        <v>0.2</v>
      </c>
      <c r="F68" s="881">
        <v>30</v>
      </c>
    </row>
    <row r="69" spans="1:6" s="877" customFormat="1" ht="36">
      <c r="A69" s="881">
        <v>9</v>
      </c>
      <c r="B69" s="3326"/>
      <c r="C69" s="817" t="s">
        <v>631</v>
      </c>
      <c r="D69" s="817" t="s">
        <v>632</v>
      </c>
      <c r="E69" s="894">
        <v>0.2</v>
      </c>
      <c r="F69" s="881">
        <v>30</v>
      </c>
    </row>
    <row r="70" spans="1:6" s="877" customFormat="1" ht="48">
      <c r="A70" s="881">
        <v>10</v>
      </c>
      <c r="B70" s="3326"/>
      <c r="C70" s="817" t="s">
        <v>633</v>
      </c>
      <c r="D70" s="817" t="s">
        <v>634</v>
      </c>
      <c r="E70" s="894">
        <v>0.2</v>
      </c>
      <c r="F70" s="881">
        <v>30</v>
      </c>
    </row>
    <row r="71" spans="1:6" s="877" customFormat="1" ht="48">
      <c r="A71" s="881">
        <v>11</v>
      </c>
      <c r="B71" s="3326"/>
      <c r="C71" s="817" t="s">
        <v>635</v>
      </c>
      <c r="D71" s="817" t="s">
        <v>636</v>
      </c>
      <c r="E71" s="894">
        <v>0.2</v>
      </c>
      <c r="F71" s="881">
        <v>30</v>
      </c>
    </row>
    <row r="72" spans="1:6" s="877" customFormat="1" ht="36">
      <c r="A72" s="881">
        <v>12</v>
      </c>
      <c r="B72" s="3326"/>
      <c r="C72" s="817" t="s">
        <v>637</v>
      </c>
      <c r="D72" s="817" t="s">
        <v>638</v>
      </c>
      <c r="E72" s="894">
        <v>0.5</v>
      </c>
      <c r="F72" s="881">
        <v>80</v>
      </c>
    </row>
    <row r="73" spans="1:6" s="877" customFormat="1" ht="24">
      <c r="A73" s="881">
        <v>13</v>
      </c>
      <c r="B73" s="3326"/>
      <c r="C73" s="817" t="s">
        <v>639</v>
      </c>
      <c r="D73" s="817" t="s">
        <v>640</v>
      </c>
      <c r="E73" s="894">
        <v>0.4</v>
      </c>
      <c r="F73" s="881">
        <v>60</v>
      </c>
    </row>
    <row r="74" spans="1:6" s="877" customFormat="1" ht="24">
      <c r="A74" s="881">
        <v>14</v>
      </c>
      <c r="B74" s="3326"/>
      <c r="C74" s="817" t="s">
        <v>641</v>
      </c>
      <c r="D74" s="817" t="s">
        <v>642</v>
      </c>
      <c r="E74" s="894">
        <v>0.2</v>
      </c>
      <c r="F74" s="881">
        <v>30</v>
      </c>
    </row>
    <row r="75" spans="1:6" s="877" customFormat="1" ht="24">
      <c r="A75" s="881">
        <v>15</v>
      </c>
      <c r="B75" s="3326"/>
      <c r="C75" s="817" t="s">
        <v>643</v>
      </c>
      <c r="D75" s="817" t="s">
        <v>644</v>
      </c>
      <c r="E75" s="894">
        <v>0.2</v>
      </c>
      <c r="F75" s="881">
        <v>30</v>
      </c>
    </row>
    <row r="76" spans="1:6" s="877" customFormat="1" ht="24">
      <c r="A76" s="881">
        <v>16</v>
      </c>
      <c r="B76" s="3326" t="s">
        <v>645</v>
      </c>
      <c r="C76" s="817" t="s">
        <v>646</v>
      </c>
      <c r="D76" s="817" t="s">
        <v>647</v>
      </c>
      <c r="E76" s="894">
        <v>0.5</v>
      </c>
      <c r="F76" s="881">
        <v>80</v>
      </c>
    </row>
    <row r="77" spans="1:6" s="877" customFormat="1" ht="24">
      <c r="A77" s="881">
        <v>17</v>
      </c>
      <c r="B77" s="3326"/>
      <c r="C77" s="817" t="s">
        <v>648</v>
      </c>
      <c r="D77" s="817" t="s">
        <v>649</v>
      </c>
      <c r="E77" s="894">
        <v>0.5</v>
      </c>
      <c r="F77" s="881">
        <v>80</v>
      </c>
    </row>
    <row r="78" spans="1:6" s="877" customFormat="1" ht="24">
      <c r="A78" s="881">
        <v>18</v>
      </c>
      <c r="B78" s="3326"/>
      <c r="C78" s="817" t="s">
        <v>650</v>
      </c>
      <c r="D78" s="817" t="s">
        <v>651</v>
      </c>
      <c r="E78" s="894">
        <v>0.2</v>
      </c>
      <c r="F78" s="881">
        <v>30</v>
      </c>
    </row>
    <row r="79" spans="1:6" s="877" customFormat="1" ht="24">
      <c r="A79" s="881">
        <v>19</v>
      </c>
      <c r="B79" s="3326"/>
      <c r="C79" s="817" t="s">
        <v>652</v>
      </c>
      <c r="D79" s="817" t="s">
        <v>653</v>
      </c>
      <c r="E79" s="894">
        <v>0.5</v>
      </c>
      <c r="F79" s="881">
        <v>80</v>
      </c>
    </row>
    <row r="80" spans="1:6" s="877" customFormat="1" ht="36">
      <c r="A80" s="881">
        <v>20</v>
      </c>
      <c r="B80" s="3326"/>
      <c r="C80" s="817" t="s">
        <v>654</v>
      </c>
      <c r="D80" s="817" t="s">
        <v>655</v>
      </c>
      <c r="E80" s="894">
        <v>0.2</v>
      </c>
      <c r="F80" s="881">
        <v>30</v>
      </c>
    </row>
    <row r="81" spans="1:6" s="877" customFormat="1" ht="36">
      <c r="A81" s="881">
        <v>21</v>
      </c>
      <c r="B81" s="3326"/>
      <c r="C81" s="817" t="s">
        <v>656</v>
      </c>
      <c r="D81" s="817" t="s">
        <v>657</v>
      </c>
      <c r="E81" s="894">
        <v>0.2</v>
      </c>
      <c r="F81" s="881">
        <v>30</v>
      </c>
    </row>
    <row r="82" spans="1:6" s="877" customFormat="1" ht="48">
      <c r="A82" s="881">
        <v>22</v>
      </c>
      <c r="B82" s="3326"/>
      <c r="C82" s="817" t="s">
        <v>658</v>
      </c>
      <c r="D82" s="817" t="s">
        <v>659</v>
      </c>
      <c r="E82" s="894">
        <v>0.2</v>
      </c>
      <c r="F82" s="881">
        <v>30</v>
      </c>
    </row>
    <row r="83" spans="1:6" s="877" customFormat="1" ht="48">
      <c r="A83" s="881">
        <v>23</v>
      </c>
      <c r="B83" s="3326"/>
      <c r="C83" s="817" t="s">
        <v>660</v>
      </c>
      <c r="D83" s="817" t="s">
        <v>661</v>
      </c>
      <c r="E83" s="894">
        <v>0.2</v>
      </c>
      <c r="F83" s="881">
        <v>30</v>
      </c>
    </row>
    <row r="84" spans="1:6" s="877" customFormat="1" ht="36">
      <c r="A84" s="881">
        <v>24</v>
      </c>
      <c r="B84" s="3326"/>
      <c r="C84" s="817" t="s">
        <v>662</v>
      </c>
      <c r="D84" s="817" t="s">
        <v>663</v>
      </c>
      <c r="E84" s="894">
        <v>0.2</v>
      </c>
      <c r="F84" s="881">
        <v>30</v>
      </c>
    </row>
    <row r="85" spans="1:6" s="877" customFormat="1" ht="36">
      <c r="A85" s="881">
        <v>25</v>
      </c>
      <c r="B85" s="3326"/>
      <c r="C85" s="817" t="s">
        <v>664</v>
      </c>
      <c r="D85" s="817" t="s">
        <v>665</v>
      </c>
      <c r="E85" s="894">
        <v>0.5</v>
      </c>
      <c r="F85" s="881">
        <v>80</v>
      </c>
    </row>
    <row r="86" spans="1:6" s="877" customFormat="1" ht="36">
      <c r="A86" s="881">
        <v>26</v>
      </c>
      <c r="B86" s="3326"/>
      <c r="C86" s="817" t="s">
        <v>666</v>
      </c>
      <c r="D86" s="817" t="s">
        <v>667</v>
      </c>
      <c r="E86" s="894">
        <v>0.2</v>
      </c>
      <c r="F86" s="881">
        <v>30</v>
      </c>
    </row>
    <row r="87" spans="1:6" s="877" customFormat="1" ht="36">
      <c r="A87" s="881">
        <v>27</v>
      </c>
      <c r="B87" s="3326"/>
      <c r="C87" s="817" t="s">
        <v>668</v>
      </c>
      <c r="D87" s="817" t="s">
        <v>669</v>
      </c>
      <c r="E87" s="894">
        <v>0.2</v>
      </c>
      <c r="F87" s="881">
        <v>30</v>
      </c>
    </row>
    <row r="88" spans="1:6" s="877" customFormat="1" ht="36">
      <c r="A88" s="881">
        <v>28</v>
      </c>
      <c r="B88" s="3326"/>
      <c r="C88" s="817" t="s">
        <v>670</v>
      </c>
      <c r="D88" s="817" t="s">
        <v>671</v>
      </c>
      <c r="E88" s="894">
        <v>0.2</v>
      </c>
      <c r="F88" s="881">
        <v>30</v>
      </c>
    </row>
    <row r="89" spans="1:6" s="877" customFormat="1" ht="24">
      <c r="A89" s="881">
        <v>29</v>
      </c>
      <c r="B89" s="3326"/>
      <c r="C89" s="817" t="s">
        <v>672</v>
      </c>
      <c r="D89" s="817" t="s">
        <v>673</v>
      </c>
      <c r="E89" s="894">
        <v>0.2</v>
      </c>
      <c r="F89" s="881">
        <v>30</v>
      </c>
    </row>
    <row r="90" spans="1:6" s="877" customFormat="1" ht="24">
      <c r="A90" s="881">
        <v>30</v>
      </c>
      <c r="B90" s="3326"/>
      <c r="C90" s="817" t="s">
        <v>674</v>
      </c>
      <c r="D90" s="817" t="s">
        <v>675</v>
      </c>
      <c r="E90" s="894">
        <v>0.2</v>
      </c>
      <c r="F90" s="881">
        <v>30</v>
      </c>
    </row>
    <row r="91" spans="1:6" s="877" customFormat="1" ht="36">
      <c r="A91" s="881">
        <v>31</v>
      </c>
      <c r="B91" s="3326"/>
      <c r="C91" s="817" t="s">
        <v>676</v>
      </c>
      <c r="D91" s="817" t="s">
        <v>677</v>
      </c>
      <c r="E91" s="894">
        <v>0.2</v>
      </c>
      <c r="F91" s="881">
        <v>30</v>
      </c>
    </row>
    <row r="92" spans="1:6" s="877" customFormat="1" ht="24">
      <c r="A92" s="881">
        <v>32</v>
      </c>
      <c r="B92" s="3326" t="s">
        <v>678</v>
      </c>
      <c r="C92" s="881" t="s">
        <v>679</v>
      </c>
      <c r="D92" s="817" t="s">
        <v>680</v>
      </c>
      <c r="E92" s="894">
        <v>0.2</v>
      </c>
      <c r="F92" s="881">
        <v>30</v>
      </c>
    </row>
    <row r="93" spans="1:6" s="877" customFormat="1" ht="36">
      <c r="A93" s="881">
        <v>33</v>
      </c>
      <c r="B93" s="3326"/>
      <c r="C93" s="881" t="s">
        <v>681</v>
      </c>
      <c r="D93" s="817" t="s">
        <v>682</v>
      </c>
      <c r="E93" s="894">
        <v>0.2</v>
      </c>
      <c r="F93" s="881">
        <v>30</v>
      </c>
    </row>
    <row r="94" spans="1:6" s="877" customFormat="1" ht="48">
      <c r="A94" s="881">
        <v>34</v>
      </c>
      <c r="B94" s="3326"/>
      <c r="C94" s="881" t="s">
        <v>683</v>
      </c>
      <c r="D94" s="817" t="s">
        <v>684</v>
      </c>
      <c r="E94" s="894">
        <v>0.2</v>
      </c>
      <c r="F94" s="881">
        <v>30</v>
      </c>
    </row>
    <row r="95" spans="1:6" s="877" customFormat="1" ht="36">
      <c r="A95" s="881">
        <v>35</v>
      </c>
      <c r="B95" s="3326"/>
      <c r="C95" s="881" t="s">
        <v>685</v>
      </c>
      <c r="D95" s="817" t="s">
        <v>686</v>
      </c>
      <c r="E95" s="894">
        <v>0.2</v>
      </c>
      <c r="F95" s="881">
        <v>30</v>
      </c>
    </row>
    <row r="96" spans="1:6" s="877" customFormat="1" ht="48">
      <c r="A96" s="881">
        <v>36</v>
      </c>
      <c r="B96" s="3326"/>
      <c r="C96" s="817" t="s">
        <v>687</v>
      </c>
      <c r="D96" s="817" t="s">
        <v>688</v>
      </c>
      <c r="E96" s="894">
        <v>0.2</v>
      </c>
      <c r="F96" s="881">
        <v>30</v>
      </c>
    </row>
    <row r="97" spans="1:6" s="877" customFormat="1" ht="36">
      <c r="A97" s="881">
        <v>37</v>
      </c>
      <c r="B97" s="3326"/>
      <c r="C97" s="881" t="s">
        <v>689</v>
      </c>
      <c r="D97" s="817" t="s">
        <v>690</v>
      </c>
      <c r="E97" s="894">
        <v>0.2</v>
      </c>
      <c r="F97" s="881">
        <v>30</v>
      </c>
    </row>
    <row r="98" spans="1:6" s="877" customFormat="1" ht="36">
      <c r="A98" s="881">
        <v>38</v>
      </c>
      <c r="B98" s="3326"/>
      <c r="C98" s="881" t="s">
        <v>691</v>
      </c>
      <c r="D98" s="817" t="s">
        <v>692</v>
      </c>
      <c r="E98" s="894">
        <v>0.2</v>
      </c>
      <c r="F98" s="881">
        <v>30</v>
      </c>
    </row>
    <row r="99" spans="1:6" s="877" customFormat="1" ht="36">
      <c r="A99" s="881">
        <v>39</v>
      </c>
      <c r="B99" s="3326" t="s">
        <v>693</v>
      </c>
      <c r="C99" s="881" t="s">
        <v>694</v>
      </c>
      <c r="D99" s="817" t="s">
        <v>695</v>
      </c>
      <c r="E99" s="894">
        <v>0.3</v>
      </c>
      <c r="F99" s="881">
        <v>50</v>
      </c>
    </row>
    <row r="100" spans="1:6" s="877" customFormat="1" ht="24">
      <c r="A100" s="881">
        <v>40</v>
      </c>
      <c r="B100" s="3326"/>
      <c r="C100" s="881" t="s">
        <v>696</v>
      </c>
      <c r="D100" s="817" t="s">
        <v>697</v>
      </c>
      <c r="E100" s="894">
        <v>0.2</v>
      </c>
      <c r="F100" s="881">
        <v>30</v>
      </c>
    </row>
    <row r="101" spans="1:6" s="877" customFormat="1" ht="36">
      <c r="A101" s="881">
        <v>41</v>
      </c>
      <c r="B101" s="3326"/>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26" t="s">
        <v>708</v>
      </c>
      <c r="C105" s="881" t="s">
        <v>709</v>
      </c>
      <c r="D105" s="817" t="s">
        <v>710</v>
      </c>
      <c r="E105" s="894">
        <v>0.2</v>
      </c>
      <c r="F105" s="881">
        <v>30</v>
      </c>
    </row>
    <row r="106" spans="1:6" s="877" customFormat="1" ht="36">
      <c r="A106" s="881">
        <v>46</v>
      </c>
      <c r="B106" s="3326"/>
      <c r="C106" s="881" t="s">
        <v>711</v>
      </c>
      <c r="D106" s="817" t="s">
        <v>712</v>
      </c>
      <c r="E106" s="894">
        <v>0.2</v>
      </c>
      <c r="F106" s="881">
        <v>30</v>
      </c>
    </row>
    <row r="107" spans="1:6" s="877" customFormat="1" ht="36">
      <c r="A107" s="881">
        <v>47</v>
      </c>
      <c r="B107" s="3326" t="s">
        <v>713</v>
      </c>
      <c r="C107" s="881" t="s">
        <v>714</v>
      </c>
      <c r="D107" s="817" t="s">
        <v>715</v>
      </c>
      <c r="E107" s="894">
        <v>0.3</v>
      </c>
      <c r="F107" s="881">
        <v>50</v>
      </c>
    </row>
    <row r="108" spans="1:6" s="877" customFormat="1" ht="36">
      <c r="A108" s="881">
        <v>48</v>
      </c>
      <c r="B108" s="3326"/>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26" t="s">
        <v>724</v>
      </c>
      <c r="C111" s="881" t="s">
        <v>725</v>
      </c>
      <c r="D111" s="817" t="s">
        <v>726</v>
      </c>
      <c r="E111" s="894">
        <v>0.2</v>
      </c>
      <c r="F111" s="881">
        <v>30</v>
      </c>
    </row>
    <row r="112" spans="1:6" s="877" customFormat="1" ht="24">
      <c r="A112" s="881">
        <v>52</v>
      </c>
      <c r="B112" s="3326"/>
      <c r="C112" s="881" t="s">
        <v>727</v>
      </c>
      <c r="D112" s="817" t="s">
        <v>728</v>
      </c>
      <c r="E112" s="894">
        <v>0.2</v>
      </c>
      <c r="F112" s="881">
        <v>30</v>
      </c>
    </row>
    <row r="113" spans="1:6" s="877" customFormat="1" ht="24">
      <c r="A113" s="881">
        <v>53</v>
      </c>
      <c r="B113" s="3326"/>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26" t="s">
        <v>737</v>
      </c>
      <c r="C116" s="881" t="s">
        <v>738</v>
      </c>
      <c r="D116" s="817" t="s">
        <v>739</v>
      </c>
      <c r="E116" s="894">
        <v>0.2</v>
      </c>
      <c r="F116" s="881">
        <v>30</v>
      </c>
    </row>
    <row r="117" spans="1:6" ht="36">
      <c r="A117" s="881">
        <v>57</v>
      </c>
      <c r="B117" s="3326"/>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30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1"/>
      <c r="C2" s="3021"/>
      <c r="D2" s="3021"/>
      <c r="E2" s="3021"/>
    </row>
    <row r="3" spans="1:5" ht="18">
      <c r="A3" s="3022" t="str">
        <f>IF(项目基本情况!B9="房地产市场价值","估价结果一览表（市场价值不需“结果表-1”）","估价结果一览表")</f>
        <v>估价结果一览表</v>
      </c>
      <c r="B3" s="3022"/>
      <c r="C3" s="3022"/>
      <c r="D3" s="3022"/>
      <c r="E3" s="3022"/>
    </row>
    <row r="4" spans="1:5" ht="19.5" thickBot="1">
      <c r="A4" s="1963"/>
      <c r="B4" s="3020" t="s">
        <v>1630</v>
      </c>
      <c r="C4" s="3020"/>
      <c r="D4" s="3020"/>
      <c r="E4" s="1963"/>
    </row>
    <row r="5" spans="1:5" ht="16.5" thickTop="1">
      <c r="A5" s="1961"/>
      <c r="B5" s="3018" t="s">
        <v>1622</v>
      </c>
      <c r="C5" s="1964" t="s">
        <v>1623</v>
      </c>
      <c r="D5" s="1042">
        <f ca="1">结果表!H101</f>
        <v>132651</v>
      </c>
      <c r="E5" s="1961"/>
    </row>
    <row r="6" spans="1:5" ht="15.75">
      <c r="A6" s="1961"/>
      <c r="B6" s="3018"/>
      <c r="C6" s="1964" t="s">
        <v>1624</v>
      </c>
      <c r="D6" s="1042" t="str">
        <f ca="1">NUMBERSTRING(INT(D5*10000),2)&amp;"元整"</f>
        <v>壹拾叁亿贰仟陆佰伍拾壹万元整</v>
      </c>
      <c r="E6" s="1961"/>
    </row>
    <row r="7" spans="1:5" ht="15.75">
      <c r="A7" s="1961"/>
      <c r="B7" s="3023"/>
      <c r="C7" s="1965" t="s">
        <v>1625</v>
      </c>
      <c r="D7" s="1043">
        <f ca="1">结果表!H102</f>
        <v>7427</v>
      </c>
      <c r="E7" s="1961"/>
    </row>
    <row r="8" spans="1:5" ht="15.75">
      <c r="A8" s="1961"/>
      <c r="B8" s="3024" t="str">
        <f>结果表!E103</f>
        <v>2.估价师知悉的法定优先受偿款</v>
      </c>
      <c r="C8" s="1966" t="s">
        <v>1626</v>
      </c>
      <c r="D8" s="1043">
        <f>结果表!H103</f>
        <v>0</v>
      </c>
      <c r="E8" s="1961"/>
    </row>
    <row r="9" spans="1:5" ht="15.75">
      <c r="A9" s="1961"/>
      <c r="B9" s="3026"/>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3017" t="str">
        <f>结果表!E107</f>
        <v>3.房地产抵押价值</v>
      </c>
      <c r="C13" s="1969" t="s">
        <v>1623</v>
      </c>
      <c r="D13" s="1045">
        <f ca="1">结果表!H107</f>
        <v>132651</v>
      </c>
      <c r="E13" s="1961"/>
    </row>
    <row r="14" spans="1:5" ht="15.75">
      <c r="A14" s="1961"/>
      <c r="B14" s="3018"/>
      <c r="C14" s="1964" t="s">
        <v>1624</v>
      </c>
      <c r="D14" s="1042" t="str">
        <f ca="1">NUMBERSTRING(INT(D13*10000),2)&amp;"元整"</f>
        <v>壹拾叁亿贰仟陆佰伍拾壹万元整</v>
      </c>
      <c r="E14" s="1961"/>
    </row>
    <row r="15" spans="1:5" ht="15">
      <c r="A15" s="1961"/>
      <c r="B15" s="3023"/>
      <c r="C15" s="1965" t="s">
        <v>1634</v>
      </c>
      <c r="D15" s="1054">
        <f ca="1">结果表!H108</f>
        <v>7427</v>
      </c>
      <c r="E15" s="1961"/>
    </row>
    <row r="16" spans="1:5" ht="15">
      <c r="A16" s="1961"/>
      <c r="B16" s="3024" t="str">
        <f>结果表!E109</f>
        <v>——</v>
      </c>
      <c r="C16" s="1969" t="s">
        <v>1635</v>
      </c>
      <c r="D16" s="1970" t="str">
        <f>结果表!H109</f>
        <v>——</v>
      </c>
      <c r="E16" s="1961"/>
    </row>
    <row r="17" spans="1:5" ht="15.75">
      <c r="A17" s="1961"/>
      <c r="B17" s="3025"/>
      <c r="C17" s="1964" t="s">
        <v>1636</v>
      </c>
      <c r="D17" s="1042" t="e">
        <f>NUMBERSTRING(INT(D16*10000),2)&amp;"元整"</f>
        <v>#VALUE!</v>
      </c>
      <c r="E17" s="1961"/>
    </row>
    <row r="18" spans="1:5" ht="15">
      <c r="A18" s="1961"/>
      <c r="B18" s="3026"/>
      <c r="C18" s="1965" t="s">
        <v>1625</v>
      </c>
      <c r="D18" s="1054" t="str">
        <f>结果表!H110</f>
        <v>——</v>
      </c>
      <c r="E18" s="1961"/>
    </row>
    <row r="19" spans="1:5" ht="15.75">
      <c r="A19" s="1961"/>
      <c r="B19" s="3017" t="str">
        <f>结果表!E111</f>
        <v>——</v>
      </c>
      <c r="C19" s="1969" t="s">
        <v>1623</v>
      </c>
      <c r="D19" s="1043" t="str">
        <f>结果表!H111</f>
        <v>——</v>
      </c>
      <c r="E19" s="1961"/>
    </row>
    <row r="20" spans="1:5" ht="15.75">
      <c r="A20" s="1961"/>
      <c r="B20" s="3018"/>
      <c r="C20" s="1964" t="s">
        <v>1636</v>
      </c>
      <c r="D20" s="1042" t="e">
        <f>NUMBERSTRING(INT(D19*10000),2)&amp;"元整"</f>
        <v>#VALUE!</v>
      </c>
      <c r="E20" s="1961"/>
    </row>
    <row r="21" spans="1:5" ht="15.75" thickBot="1">
      <c r="A21" s="1961"/>
      <c r="B21" s="3019"/>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59" t="s">
        <v>2992</v>
      </c>
    </row>
    <row r="2" spans="1:5" ht="15.75">
      <c r="A2" s="2908" t="s">
        <v>2984</v>
      </c>
      <c r="B2" s="2909" t="e">
        <f ca="1">SUMIF(B6:B13,"&lt;&gt;#ref!",B6:B13)</f>
        <v>#DIV/0!</v>
      </c>
      <c r="C2" s="2908" t="s">
        <v>2985</v>
      </c>
      <c r="D2" s="2908" t="s">
        <v>2986</v>
      </c>
      <c r="E2" s="2909">
        <f ca="1">SUMIF(E6:E13,"&lt;&gt;#ref!",E6:E13)</f>
        <v>0</v>
      </c>
    </row>
    <row r="3" spans="1:5" ht="15.75">
      <c r="A3" s="2908" t="s">
        <v>2987</v>
      </c>
      <c r="B3" s="2909" t="e">
        <f ca="1">ROUND(B2*10000/E2,0)</f>
        <v>#DIV/0!</v>
      </c>
      <c r="C3" s="2908" t="s">
        <v>2993</v>
      </c>
      <c r="D3" s="2910"/>
      <c r="E3" s="2910"/>
    </row>
    <row r="4" spans="1:5" ht="15.75">
      <c r="A4" s="2911"/>
      <c r="B4" s="2910"/>
      <c r="C4" s="2910"/>
      <c r="D4" s="2910"/>
      <c r="E4" s="2910"/>
    </row>
    <row r="5" spans="1:5" ht="28.5">
      <c r="A5" s="2912" t="s">
        <v>2988</v>
      </c>
      <c r="B5" s="2908" t="s">
        <v>2989</v>
      </c>
      <c r="C5" s="2909"/>
      <c r="D5" s="2910"/>
      <c r="E5" s="2908" t="s">
        <v>2990</v>
      </c>
    </row>
    <row r="6" spans="1:5" ht="15.75">
      <c r="A6" s="2913" t="s">
        <v>2991</v>
      </c>
      <c r="B6" s="2909" t="e">
        <f ca="1">SUMIF(INDIRECT("'"&amp;A6&amp;"'"&amp;"!A:A"),"总价",INDIRECT("'"&amp;A6&amp;"'"&amp;"!B:B"))</f>
        <v>#DIV/0!</v>
      </c>
      <c r="C6" s="2908" t="s">
        <v>2985</v>
      </c>
      <c r="D6" s="2910"/>
      <c r="E6" s="2573">
        <f ca="1">SUMIF(INDIRECT("'"&amp;A6&amp;"'"&amp;"!C:C"),"建筑面积",INDIRECT("'"&amp;A6&amp;"'"&amp;"!D:D"))</f>
        <v>0</v>
      </c>
    </row>
    <row r="7" spans="1:5" ht="15.75">
      <c r="A7" s="2913"/>
      <c r="B7" s="2909" t="e">
        <f ca="1">SUMIF(INDIRECT("'"&amp;A7&amp;"'"&amp;"!A:A"),"总价",INDIRECT("'"&amp;A7&amp;"'"&amp;"!B:B"))</f>
        <v>#REF!</v>
      </c>
      <c r="C7" s="2908" t="s">
        <v>2985</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2985</v>
      </c>
      <c r="D8" s="2910"/>
      <c r="E8" s="2573" t="e">
        <f t="shared" ca="1" si="0"/>
        <v>#REF!</v>
      </c>
    </row>
    <row r="9" spans="1:5" ht="15.75">
      <c r="A9" s="2913"/>
      <c r="B9" s="2909" t="e">
        <f t="shared" ca="1" si="1"/>
        <v>#REF!</v>
      </c>
      <c r="C9" s="2908" t="s">
        <v>2985</v>
      </c>
      <c r="D9" s="2910"/>
      <c r="E9" s="2573" t="e">
        <f t="shared" ca="1" si="0"/>
        <v>#REF!</v>
      </c>
    </row>
    <row r="10" spans="1:5" ht="15.75">
      <c r="A10" s="2913"/>
      <c r="B10" s="2909" t="e">
        <f t="shared" ca="1" si="1"/>
        <v>#REF!</v>
      </c>
      <c r="C10" s="2908" t="s">
        <v>2985</v>
      </c>
      <c r="D10" s="2910"/>
      <c r="E10" s="2573" t="e">
        <f t="shared" ca="1" si="0"/>
        <v>#REF!</v>
      </c>
    </row>
    <row r="11" spans="1:5" ht="15.75">
      <c r="A11" s="2913"/>
      <c r="B11" s="2909" t="e">
        <f t="shared" ca="1" si="1"/>
        <v>#REF!</v>
      </c>
      <c r="C11" s="2908" t="s">
        <v>2985</v>
      </c>
      <c r="D11" s="2910"/>
      <c r="E11" s="2573" t="e">
        <f t="shared" ca="1" si="0"/>
        <v>#REF!</v>
      </c>
    </row>
    <row r="12" spans="1:5" ht="15.75">
      <c r="A12" s="2913"/>
      <c r="B12" s="2909" t="e">
        <f t="shared" ca="1" si="1"/>
        <v>#REF!</v>
      </c>
      <c r="C12" s="2908" t="s">
        <v>2985</v>
      </c>
      <c r="D12" s="2910"/>
      <c r="E12" s="2573" t="e">
        <f t="shared" ca="1" si="0"/>
        <v>#REF!</v>
      </c>
    </row>
    <row r="13" spans="1:5" ht="15.75">
      <c r="A13" s="2913"/>
      <c r="B13" s="2909" t="e">
        <f t="shared" ca="1" si="1"/>
        <v>#REF!</v>
      </c>
      <c r="C13" s="2908" t="s">
        <v>2985</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32" t="s">
        <v>1150</v>
      </c>
      <c r="C1" s="3332"/>
      <c r="D1" s="3332"/>
      <c r="E1" s="3332"/>
      <c r="F1" s="3332"/>
      <c r="G1" s="3331" t="s">
        <v>1151</v>
      </c>
      <c r="H1" s="3331"/>
      <c r="I1" s="3331"/>
      <c r="J1" s="3331"/>
      <c r="K1" s="3331"/>
      <c r="L1" s="3331"/>
      <c r="N1" s="3331" t="s">
        <v>1152</v>
      </c>
      <c r="O1" s="3331"/>
      <c r="P1" s="3331"/>
      <c r="Q1" s="3331"/>
      <c r="R1" s="1448"/>
      <c r="S1" s="3331" t="s">
        <v>1153</v>
      </c>
      <c r="T1" s="3331"/>
      <c r="U1" s="3331"/>
      <c r="V1" s="3331"/>
      <c r="X1" s="3330" t="s">
        <v>1154</v>
      </c>
      <c r="Y1" s="3331"/>
      <c r="Z1" s="3331"/>
      <c r="AA1" s="3331"/>
      <c r="AB1" s="3331"/>
      <c r="AD1" s="3330" t="s">
        <v>1155</v>
      </c>
      <c r="AE1" s="3331"/>
      <c r="AF1" s="3331"/>
      <c r="AG1" s="3331"/>
      <c r="AH1" s="3331"/>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7" customFormat="1" ht="14.25">
      <c r="A3" s="2936" t="s">
        <v>3027</v>
      </c>
      <c r="B3" s="2928"/>
      <c r="C3" s="2928"/>
      <c r="D3" s="2929"/>
      <c r="E3" s="2929"/>
      <c r="F3" s="2928"/>
      <c r="G3" s="2930"/>
      <c r="H3" s="2931"/>
      <c r="I3" s="2932">
        <f>ROUND(AVERAGE($I7:$I22),2)</f>
        <v>2.4500000000000002</v>
      </c>
      <c r="J3" s="2932">
        <f>ROUND(AVERAGE($J7:$J22),2)</f>
        <v>1.65</v>
      </c>
      <c r="K3" s="2932">
        <f>ROUND(AVERAGE($K7:$K22),2)</f>
        <v>2.71</v>
      </c>
      <c r="L3" s="2932">
        <f>ROUND(AVERAGE($L7:$L22),2)</f>
        <v>1.39</v>
      </c>
      <c r="N3" s="2930"/>
      <c r="O3" s="2933"/>
      <c r="P3" s="2933"/>
      <c r="Q3" s="2933"/>
      <c r="R3" s="2933"/>
      <c r="S3" s="2930"/>
      <c r="T3" s="2933"/>
      <c r="U3" s="2933"/>
      <c r="V3" s="2933"/>
      <c r="W3" s="2925"/>
      <c r="X3" s="2934">
        <f>ROUND(SUMPRODUCT(PRODUCT(1+N3:N$21)),4)</f>
        <v>1.4517</v>
      </c>
      <c r="Y3" s="2934">
        <f>ROUND(SUMPRODUCT(PRODUCT(1+O3:O$21)),4)</f>
        <v>1.2928999999999999</v>
      </c>
      <c r="Z3" s="2934">
        <f t="shared" ref="Z3:Z19" si="0">Y3</f>
        <v>1.2928999999999999</v>
      </c>
      <c r="AA3" s="2934">
        <f>ROUND(SUMPRODUCT(PRODUCT(1+P3:P$21)),4)</f>
        <v>1.5068999999999999</v>
      </c>
      <c r="AB3" s="2934">
        <f>ROUND(SUMPRODUCT(PRODUCT(1+Q3:Q$21)),4)</f>
        <v>1.2557</v>
      </c>
      <c r="AD3" s="2935">
        <f>ROUND(AVERAGE(I3:I$22)/100,4)</f>
        <v>2.2800000000000001E-2</v>
      </c>
      <c r="AE3" s="2935">
        <f>ROUND(AVERAGE(J3:J$22)/100,4)</f>
        <v>1.5699999999999999E-2</v>
      </c>
      <c r="AF3" s="2935">
        <f t="shared" ref="AF3:AF20" si="1">AE3</f>
        <v>1.5699999999999999E-2</v>
      </c>
      <c r="AG3" s="2935">
        <f>ROUND(AVERAGE(K3:K$22)/100,4)</f>
        <v>2.5100000000000001E-2</v>
      </c>
      <c r="AH3" s="2935">
        <f>ROUND(AVERAGE(L3:L$22)/100,4)</f>
        <v>1.35E-2</v>
      </c>
    </row>
    <row r="4" spans="1:34" s="1455" customFormat="1" ht="14.25">
      <c r="B4" s="1456"/>
      <c r="C4" s="1456"/>
      <c r="D4" s="1457"/>
      <c r="E4" s="1457"/>
      <c r="F4" s="1456"/>
      <c r="G4" s="1458"/>
      <c r="H4" s="1459"/>
      <c r="I4" s="2921"/>
      <c r="J4" s="2921"/>
      <c r="K4" s="2921"/>
      <c r="L4" s="2921"/>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3033</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37">
        <v>2018</v>
      </c>
      <c r="H5" s="1732">
        <v>2</v>
      </c>
      <c r="I5" s="2922">
        <v>0</v>
      </c>
      <c r="J5" s="2922">
        <v>0</v>
      </c>
      <c r="K5" s="2922">
        <v>0</v>
      </c>
      <c r="L5" s="2922">
        <v>0</v>
      </c>
      <c r="N5" s="1469">
        <f t="shared" ref="N5" si="7">I5/100</f>
        <v>0</v>
      </c>
      <c r="O5" s="1469">
        <f t="shared" ref="O5" si="8">J5/100</f>
        <v>0</v>
      </c>
      <c r="P5" s="1469">
        <f t="shared" ref="P5" si="9">K5/100</f>
        <v>0</v>
      </c>
      <c r="Q5" s="1469">
        <f t="shared" ref="Q5" si="10">L5/100</f>
        <v>0</v>
      </c>
      <c r="R5" s="1734"/>
      <c r="S5" s="1735"/>
      <c r="T5" s="1734"/>
      <c r="U5" s="1734"/>
      <c r="V5" s="1734"/>
      <c r="W5" s="2926" t="s">
        <v>3028</v>
      </c>
      <c r="X5" s="1728">
        <f>ROUND(SUMPRODUCT(PRODUCT(1+N5:N$21)),4)</f>
        <v>1.4517</v>
      </c>
      <c r="Y5" s="1728">
        <f>ROUND(SUMPRODUCT(PRODUCT(1+O5:O$21)),4)</f>
        <v>1.2928999999999999</v>
      </c>
      <c r="Z5" s="1728">
        <f t="shared" ref="Z5" si="11">Y5</f>
        <v>1.2928999999999999</v>
      </c>
      <c r="AA5" s="1728">
        <f>ROUND(SUMPRODUCT(PRODUCT(1+P5:P$21)),4)</f>
        <v>1.5068999999999999</v>
      </c>
      <c r="AB5" s="1728">
        <f>ROUND(SUMPRODUCT(PRODUCT(1+Q5:Q$21)),4)</f>
        <v>1.2557</v>
      </c>
      <c r="AD5" s="1470">
        <f>ROUND(AVERAGE(I5:I$22)/100,4)</f>
        <v>2.2700000000000001E-2</v>
      </c>
      <c r="AE5" s="1470">
        <f>ROUND(AVERAGE(J5:J$22)/100,4)</f>
        <v>1.5699999999999999E-2</v>
      </c>
      <c r="AF5" s="1470">
        <f t="shared" ref="AF5" si="12">AE5</f>
        <v>1.5699999999999999E-2</v>
      </c>
      <c r="AG5" s="1470">
        <f>ROUND(AVERAGE(K5:K$22)/100,4)</f>
        <v>2.5000000000000001E-2</v>
      </c>
      <c r="AH5" s="1470">
        <f>ROUND(AVERAGE(L5:L$22)/100,4)</f>
        <v>1.35E-2</v>
      </c>
    </row>
    <row r="6" spans="1:34" s="1468" customFormat="1" ht="13.5" thickBot="1">
      <c r="A6" s="1463" t="s">
        <v>3026</v>
      </c>
      <c r="B6" s="1479">
        <f t="shared" ref="B6" si="13">B7*(1+N6)</f>
        <v>446.46299999999997</v>
      </c>
      <c r="C6" s="1479">
        <f t="shared" ref="C6" si="14">C7*(1+O6)</f>
        <v>333.27840000000003</v>
      </c>
      <c r="D6" s="1479">
        <f t="shared" ref="D6" si="15">C6</f>
        <v>333.27840000000003</v>
      </c>
      <c r="E6" s="1479">
        <f t="shared" ref="E6" si="16">E7*(1+P6)</f>
        <v>637.28279999999995</v>
      </c>
      <c r="F6" s="1479">
        <f t="shared" ref="F6" si="17">F7*(1+Q6)</f>
        <v>288.68830000000003</v>
      </c>
      <c r="G6" s="2938">
        <v>2018</v>
      </c>
      <c r="H6" s="1466">
        <v>1</v>
      </c>
      <c r="I6" s="1466">
        <v>1.7</v>
      </c>
      <c r="J6" s="1466">
        <v>1.92</v>
      </c>
      <c r="K6" s="1466">
        <v>1.64</v>
      </c>
      <c r="L6" s="1480">
        <v>2.0099999999999998</v>
      </c>
      <c r="M6" s="1473"/>
      <c r="N6" s="1474">
        <f t="shared" ref="N6:N11" si="18">I6/100</f>
        <v>1.7000000000000001E-2</v>
      </c>
      <c r="O6" s="1475">
        <f t="shared" ref="O6" si="19">J6/100</f>
        <v>1.9199999999999998E-2</v>
      </c>
      <c r="P6" s="1475">
        <f t="shared" ref="P6" si="20">K6/100</f>
        <v>1.6399999999999998E-2</v>
      </c>
      <c r="Q6" s="1475">
        <f t="shared" ref="Q6" si="21">L6/100</f>
        <v>2.0099999999999996E-2</v>
      </c>
      <c r="R6" s="1476"/>
      <c r="S6" s="1474">
        <f>B6/B7-1</f>
        <v>1.6999999999999904E-2</v>
      </c>
      <c r="T6" s="1475">
        <f t="shared" ref="T6" si="22">C6/C7-1</f>
        <v>1.9200000000000106E-2</v>
      </c>
      <c r="U6" s="1475">
        <f t="shared" ref="U6" si="23">D6/D7-1</f>
        <v>1.9200000000000106E-2</v>
      </c>
      <c r="V6" s="1475">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3" t="s">
        <v>3023</v>
      </c>
      <c r="B7" s="1471">
        <v>439</v>
      </c>
      <c r="C7" s="1471">
        <v>327</v>
      </c>
      <c r="D7" s="1471">
        <f>C7</f>
        <v>327</v>
      </c>
      <c r="E7" s="1471">
        <v>627</v>
      </c>
      <c r="F7" s="1472">
        <v>283</v>
      </c>
      <c r="G7" s="2924">
        <v>2017</v>
      </c>
      <c r="H7" s="1464">
        <v>4</v>
      </c>
      <c r="I7" s="1464">
        <v>1.71</v>
      </c>
      <c r="J7" s="1464">
        <v>1.78</v>
      </c>
      <c r="K7" s="1464">
        <v>1.71</v>
      </c>
      <c r="L7" s="1465">
        <v>1.43</v>
      </c>
      <c r="N7" s="1474">
        <f t="shared" si="18"/>
        <v>1.7100000000000001E-2</v>
      </c>
      <c r="O7" s="1475">
        <f t="shared" ref="O7" si="27">J7/100</f>
        <v>1.78E-2</v>
      </c>
      <c r="P7" s="1475">
        <f t="shared" ref="P7" si="28">K7/100</f>
        <v>1.7100000000000001E-2</v>
      </c>
      <c r="Q7" s="1475">
        <f t="shared" ref="Q7" si="29">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3024</v>
      </c>
      <c r="B8" s="1479">
        <f t="shared" ref="B8:B9" si="30">B9*(1+N8)</f>
        <v>431.80730811680002</v>
      </c>
      <c r="C8" s="1479">
        <f t="shared" ref="C8:C9" si="31">C9*(1+O8)</f>
        <v>320.57880516480003</v>
      </c>
      <c r="D8" s="1479">
        <f t="shared" ref="D8:D9" si="32">C8</f>
        <v>320.57880516480003</v>
      </c>
      <c r="E8" s="1479">
        <f t="shared" ref="E8:E9" si="33">E9*(1+P8)</f>
        <v>615.96110553196797</v>
      </c>
      <c r="F8" s="1479">
        <f t="shared" ref="F8:F9" si="34">F9*(1+Q8)</f>
        <v>279.46777300108801</v>
      </c>
      <c r="G8" s="2920"/>
      <c r="H8" s="1466">
        <v>3</v>
      </c>
      <c r="I8" s="1466">
        <v>2.98</v>
      </c>
      <c r="J8" s="1466">
        <v>2.11</v>
      </c>
      <c r="K8" s="1466">
        <v>3.24</v>
      </c>
      <c r="L8" s="1480">
        <v>1.72</v>
      </c>
      <c r="M8" s="1473"/>
      <c r="N8" s="1474">
        <f t="shared" si="18"/>
        <v>2.98E-2</v>
      </c>
      <c r="O8" s="1475">
        <f t="shared" ref="O8" si="35">J8/100</f>
        <v>2.1099999999999997E-2</v>
      </c>
      <c r="P8" s="1475">
        <f t="shared" ref="P8" si="36">K8/100</f>
        <v>3.2400000000000005E-2</v>
      </c>
      <c r="Q8" s="1475">
        <f t="shared" ref="Q8" si="37">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30"/>
        <v>419.31181600000002</v>
      </c>
      <c r="C9" s="1479">
        <f t="shared" si="31"/>
        <v>313.95436800000004</v>
      </c>
      <c r="D9" s="1479">
        <f t="shared" si="32"/>
        <v>313.95436800000004</v>
      </c>
      <c r="E9" s="1479">
        <f t="shared" si="33"/>
        <v>596.63028431999999</v>
      </c>
      <c r="F9" s="1479">
        <f t="shared" si="34"/>
        <v>274.74220703999998</v>
      </c>
      <c r="G9" s="2919"/>
      <c r="H9" s="1467">
        <v>2</v>
      </c>
      <c r="I9" s="1467">
        <v>3.4</v>
      </c>
      <c r="J9" s="1467">
        <v>2</v>
      </c>
      <c r="K9" s="1467">
        <v>3.82</v>
      </c>
      <c r="L9" s="1481">
        <v>1.68</v>
      </c>
      <c r="M9" s="1473"/>
      <c r="N9" s="1474">
        <f t="shared" si="18"/>
        <v>3.4000000000000002E-2</v>
      </c>
      <c r="O9" s="1475">
        <f t="shared" ref="O9" si="38">J9/100</f>
        <v>0.02</v>
      </c>
      <c r="P9" s="1475">
        <f t="shared" ref="P9" si="39">K9/100</f>
        <v>3.8199999999999998E-2</v>
      </c>
      <c r="Q9" s="1475">
        <f t="shared" ref="Q9" si="40">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20"/>
      <c r="H10" s="1466">
        <v>1</v>
      </c>
      <c r="I10" s="1466">
        <v>3.45</v>
      </c>
      <c r="J10" s="1466">
        <v>1.92</v>
      </c>
      <c r="K10" s="1466">
        <v>3.92</v>
      </c>
      <c r="L10" s="1480">
        <v>1.58</v>
      </c>
      <c r="M10" s="1473"/>
      <c r="N10" s="1474">
        <f t="shared" si="18"/>
        <v>3.4500000000000003E-2</v>
      </c>
      <c r="O10" s="1475">
        <f t="shared" ref="O10:Q25" si="41">J10/100</f>
        <v>1.9199999999999998E-2</v>
      </c>
      <c r="P10" s="1475">
        <f t="shared" si="41"/>
        <v>3.9199999999999999E-2</v>
      </c>
      <c r="Q10" s="1475">
        <f t="shared" si="41"/>
        <v>1.5800000000000002E-2</v>
      </c>
      <c r="R10" s="1476"/>
      <c r="S10" s="1474">
        <f>B10/B11-1</f>
        <v>3.4499999999999975E-2</v>
      </c>
      <c r="T10" s="1475">
        <f t="shared" ref="T10:V10" si="42">C10/C11-1</f>
        <v>1.9200000000000106E-2</v>
      </c>
      <c r="U10" s="1475">
        <f t="shared" si="42"/>
        <v>1.9200000000000106E-2</v>
      </c>
      <c r="V10" s="1475">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333">
        <v>2016</v>
      </c>
      <c r="H11" s="1464">
        <v>4</v>
      </c>
      <c r="I11" s="1464">
        <v>4.5599999999999996</v>
      </c>
      <c r="J11" s="1464">
        <v>2.15</v>
      </c>
      <c r="K11" s="1464">
        <v>5.32</v>
      </c>
      <c r="L11" s="1465">
        <v>1.57</v>
      </c>
      <c r="N11" s="1474">
        <f t="shared" si="18"/>
        <v>4.5599999999999995E-2</v>
      </c>
      <c r="O11" s="1475">
        <f t="shared" si="41"/>
        <v>2.1499999999999998E-2</v>
      </c>
      <c r="P11" s="1475">
        <f t="shared" si="41"/>
        <v>5.3200000000000004E-2</v>
      </c>
      <c r="Q11" s="1475">
        <f t="shared" si="41"/>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3">B11/(1+N11)</f>
        <v>374.90436113236416</v>
      </c>
      <c r="C12" s="1479">
        <f t="shared" si="43"/>
        <v>295.64366128242779</v>
      </c>
      <c r="D12" s="1479">
        <f t="shared" ref="D12:D71" si="44">C12</f>
        <v>295.64366128242779</v>
      </c>
      <c r="E12" s="1479">
        <f t="shared" ref="E12:F14" si="45">E11/(1+P11)</f>
        <v>525.06646410938095</v>
      </c>
      <c r="F12" s="1479">
        <f t="shared" si="45"/>
        <v>261.88835286009646</v>
      </c>
      <c r="G12" s="3328"/>
      <c r="H12" s="1466">
        <v>3</v>
      </c>
      <c r="I12" s="1466">
        <v>4.12</v>
      </c>
      <c r="J12" s="1466">
        <v>2</v>
      </c>
      <c r="K12" s="1466">
        <v>4.79</v>
      </c>
      <c r="L12" s="1480">
        <v>1.97</v>
      </c>
      <c r="N12" s="1474">
        <f t="shared" ref="N12:Q46" si="46">I12/100</f>
        <v>4.1200000000000001E-2</v>
      </c>
      <c r="O12" s="1475">
        <f t="shared" si="41"/>
        <v>0.02</v>
      </c>
      <c r="P12" s="1475">
        <f t="shared" si="41"/>
        <v>4.7899999999999998E-2</v>
      </c>
      <c r="Q12" s="1475">
        <f t="shared" si="41"/>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3"/>
        <v>360.06949782209392</v>
      </c>
      <c r="C13" s="1479">
        <f t="shared" si="43"/>
        <v>289.84672674747821</v>
      </c>
      <c r="D13" s="1479">
        <f t="shared" si="44"/>
        <v>289.84672674747821</v>
      </c>
      <c r="E13" s="1479">
        <f t="shared" si="45"/>
        <v>501.06543001181495</v>
      </c>
      <c r="F13" s="1479">
        <f t="shared" si="45"/>
        <v>256.82882500744967</v>
      </c>
      <c r="G13" s="3328"/>
      <c r="H13" s="1467">
        <v>2</v>
      </c>
      <c r="I13" s="1467">
        <v>3.85</v>
      </c>
      <c r="J13" s="1467">
        <v>1.95</v>
      </c>
      <c r="K13" s="1467">
        <v>4.4800000000000004</v>
      </c>
      <c r="L13" s="1481">
        <v>1.41</v>
      </c>
      <c r="N13" s="1474">
        <f t="shared" si="46"/>
        <v>3.85E-2</v>
      </c>
      <c r="O13" s="1475">
        <f t="shared" si="41"/>
        <v>1.95E-2</v>
      </c>
      <c r="P13" s="1475">
        <f t="shared" si="41"/>
        <v>4.4800000000000006E-2</v>
      </c>
      <c r="Q13" s="1475">
        <f t="shared" si="41"/>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3"/>
        <v>346.720748986128</v>
      </c>
      <c r="C14" s="1479">
        <f t="shared" si="43"/>
        <v>284.30282172386285</v>
      </c>
      <c r="D14" s="1479">
        <f t="shared" si="44"/>
        <v>284.30282172386285</v>
      </c>
      <c r="E14" s="1479">
        <f t="shared" si="45"/>
        <v>479.58023546306947</v>
      </c>
      <c r="F14" s="1479">
        <f t="shared" si="45"/>
        <v>253.25788877571213</v>
      </c>
      <c r="G14" s="3329"/>
      <c r="H14" s="1466">
        <v>1</v>
      </c>
      <c r="I14" s="1466">
        <v>4.09</v>
      </c>
      <c r="J14" s="1466">
        <v>2.93</v>
      </c>
      <c r="K14" s="1466">
        <v>4.54</v>
      </c>
      <c r="L14" s="1480">
        <v>1.48</v>
      </c>
      <c r="N14" s="1474">
        <f t="shared" si="46"/>
        <v>4.0899999999999999E-2</v>
      </c>
      <c r="O14" s="1475">
        <f t="shared" si="41"/>
        <v>2.9300000000000003E-2</v>
      </c>
      <c r="P14" s="1475">
        <f t="shared" si="41"/>
        <v>4.5400000000000003E-2</v>
      </c>
      <c r="Q14" s="1475">
        <f t="shared" si="41"/>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4"/>
        <v>277</v>
      </c>
      <c r="E15" s="1471">
        <v>459</v>
      </c>
      <c r="F15" s="1472">
        <v>249</v>
      </c>
      <c r="G15" s="3327">
        <v>2015</v>
      </c>
      <c r="H15" s="1484">
        <v>4</v>
      </c>
      <c r="I15" s="1484">
        <v>1.63</v>
      </c>
      <c r="J15" s="1484">
        <v>1.1100000000000001</v>
      </c>
      <c r="K15" s="1484">
        <v>1.77</v>
      </c>
      <c r="L15" s="1485">
        <v>1.89</v>
      </c>
      <c r="N15" s="1486">
        <f t="shared" si="46"/>
        <v>1.6299999999999999E-2</v>
      </c>
      <c r="O15" s="1487">
        <f t="shared" si="41"/>
        <v>1.11E-2</v>
      </c>
      <c r="P15" s="1487">
        <f t="shared" si="41"/>
        <v>1.77E-2</v>
      </c>
      <c r="Q15" s="1487">
        <f t="shared" si="41"/>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47">B15/(1+N15)</f>
        <v>327.65915576109415</v>
      </c>
      <c r="C16" s="1479">
        <f t="shared" si="47"/>
        <v>273.95905449510434</v>
      </c>
      <c r="D16" s="1479">
        <f t="shared" si="44"/>
        <v>273.95905449510434</v>
      </c>
      <c r="E16" s="1479">
        <f t="shared" ref="E16:F18" si="48">E15/(1+P15)</f>
        <v>451.01699911565294</v>
      </c>
      <c r="F16" s="1479">
        <f t="shared" si="48"/>
        <v>244.38119540681129</v>
      </c>
      <c r="G16" s="3328"/>
      <c r="H16" s="1489">
        <v>3</v>
      </c>
      <c r="I16" s="1489">
        <v>1.65</v>
      </c>
      <c r="J16" s="1489">
        <v>0.92</v>
      </c>
      <c r="K16" s="1489">
        <v>1.88</v>
      </c>
      <c r="L16" s="1490">
        <v>1.26</v>
      </c>
      <c r="N16" s="1474">
        <f t="shared" si="46"/>
        <v>1.6500000000000001E-2</v>
      </c>
      <c r="O16" s="1491">
        <f t="shared" si="41"/>
        <v>9.1999999999999998E-3</v>
      </c>
      <c r="P16" s="1491">
        <f t="shared" si="41"/>
        <v>1.8799999999999997E-2</v>
      </c>
      <c r="Q16" s="1491">
        <f t="shared" si="41"/>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47"/>
        <v>322.34053690220776</v>
      </c>
      <c r="C17" s="1479">
        <f t="shared" si="47"/>
        <v>271.46160770422546</v>
      </c>
      <c r="D17" s="1479">
        <f t="shared" si="44"/>
        <v>271.46160770422546</v>
      </c>
      <c r="E17" s="1479">
        <f t="shared" si="48"/>
        <v>442.69434542172456</v>
      </c>
      <c r="F17" s="1479">
        <f t="shared" si="48"/>
        <v>241.34030753190925</v>
      </c>
      <c r="G17" s="3328"/>
      <c r="H17" s="1467">
        <v>2</v>
      </c>
      <c r="I17" s="1467">
        <v>0.77</v>
      </c>
      <c r="J17" s="1467">
        <v>0.69</v>
      </c>
      <c r="K17" s="1467">
        <v>0.8</v>
      </c>
      <c r="L17" s="1481">
        <v>0.88</v>
      </c>
      <c r="N17" s="1474">
        <f t="shared" si="46"/>
        <v>7.7000000000000002E-3</v>
      </c>
      <c r="O17" s="1491">
        <f t="shared" si="41"/>
        <v>6.8999999999999999E-3</v>
      </c>
      <c r="P17" s="1491">
        <f t="shared" si="41"/>
        <v>8.0000000000000002E-3</v>
      </c>
      <c r="Q17" s="1491">
        <f t="shared" si="41"/>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47"/>
        <v>319.87748030386797</v>
      </c>
      <c r="C18" s="1479">
        <f t="shared" si="47"/>
        <v>269.60135833173649</v>
      </c>
      <c r="D18" s="1479">
        <f t="shared" si="44"/>
        <v>269.60135833173649</v>
      </c>
      <c r="E18" s="1479">
        <f t="shared" si="48"/>
        <v>439.18089823583784</v>
      </c>
      <c r="F18" s="1479">
        <f t="shared" si="48"/>
        <v>239.23503918706311</v>
      </c>
      <c r="G18" s="3329"/>
      <c r="H18" s="1466">
        <v>1</v>
      </c>
      <c r="I18" s="1466">
        <v>0.51</v>
      </c>
      <c r="J18" s="1466">
        <v>0.54</v>
      </c>
      <c r="K18" s="1466">
        <v>0.48</v>
      </c>
      <c r="L18" s="1480">
        <v>0.93</v>
      </c>
      <c r="N18" s="1482">
        <f t="shared" si="46"/>
        <v>5.1000000000000004E-3</v>
      </c>
      <c r="O18" s="1483">
        <f t="shared" si="41"/>
        <v>5.4000000000000003E-3</v>
      </c>
      <c r="P18" s="1483">
        <f t="shared" si="41"/>
        <v>4.7999999999999996E-3</v>
      </c>
      <c r="Q18" s="1483">
        <f t="shared" si="41"/>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4"/>
        <v>268</v>
      </c>
      <c r="E19" s="1492">
        <v>437</v>
      </c>
      <c r="F19" s="1493">
        <v>237</v>
      </c>
      <c r="G19" s="3327">
        <v>2014</v>
      </c>
      <c r="H19" s="1484">
        <v>4</v>
      </c>
      <c r="I19" s="1484">
        <v>0.21</v>
      </c>
      <c r="J19" s="1484">
        <v>0.41</v>
      </c>
      <c r="K19" s="1484">
        <v>0.12</v>
      </c>
      <c r="L19" s="1485">
        <v>0.89</v>
      </c>
      <c r="N19" s="1474">
        <f t="shared" si="46"/>
        <v>2.0999999999999999E-3</v>
      </c>
      <c r="O19" s="1475">
        <f t="shared" si="41"/>
        <v>4.0999999999999995E-3</v>
      </c>
      <c r="P19" s="1475">
        <f t="shared" si="41"/>
        <v>1.1999999999999999E-3</v>
      </c>
      <c r="Q19" s="1475">
        <f t="shared" si="41"/>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49">B19/(1+N19)</f>
        <v>317.33359944117353</v>
      </c>
      <c r="C20" s="1479">
        <f t="shared" si="49"/>
        <v>266.90568668459315</v>
      </c>
      <c r="D20" s="1479">
        <f t="shared" si="44"/>
        <v>266.90568668459315</v>
      </c>
      <c r="E20" s="1479">
        <f t="shared" ref="E20:F22" si="50">E19/(1+P19)</f>
        <v>436.47622852576905</v>
      </c>
      <c r="F20" s="1479">
        <f t="shared" si="50"/>
        <v>234.90930716622066</v>
      </c>
      <c r="G20" s="3328"/>
      <c r="H20" s="1494">
        <v>3</v>
      </c>
      <c r="I20" s="1494">
        <v>0.83</v>
      </c>
      <c r="J20" s="1494">
        <v>1.47</v>
      </c>
      <c r="K20" s="1494">
        <v>0.65</v>
      </c>
      <c r="L20" s="1495">
        <v>0.72</v>
      </c>
      <c r="N20" s="1474">
        <f t="shared" si="46"/>
        <v>8.3000000000000001E-3</v>
      </c>
      <c r="O20" s="1475">
        <f t="shared" si="41"/>
        <v>1.47E-2</v>
      </c>
      <c r="P20" s="1475">
        <f t="shared" si="41"/>
        <v>6.5000000000000006E-3</v>
      </c>
      <c r="Q20" s="1475">
        <f t="shared" si="41"/>
        <v>7.1999999999999998E-3</v>
      </c>
      <c r="R20" s="1476"/>
      <c r="S20" s="1474"/>
      <c r="T20" s="1475"/>
      <c r="U20" s="1475"/>
      <c r="V20" s="1475"/>
      <c r="X20" s="1461">
        <f>ROUND(SUMPRODUCT(PRODUCT(1+N20:N$21)),4)</f>
        <v>1.0325</v>
      </c>
      <c r="Y20" s="1461">
        <f>ROUND(SUMPRODUCT(PRODUCT(1+O20:O$21)),4)</f>
        <v>1.0353000000000001</v>
      </c>
      <c r="Z20" s="1461">
        <f t="shared" ref="Z20:Z21" si="51">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49"/>
        <v>314.72141172386546</v>
      </c>
      <c r="C21" s="1479">
        <f t="shared" si="49"/>
        <v>263.03901319069001</v>
      </c>
      <c r="D21" s="1479">
        <f t="shared" si="44"/>
        <v>263.03901319069001</v>
      </c>
      <c r="E21" s="1479">
        <f t="shared" si="50"/>
        <v>433.65745506782821</v>
      </c>
      <c r="F21" s="1479">
        <f t="shared" si="50"/>
        <v>233.23005080045735</v>
      </c>
      <c r="G21" s="3328"/>
      <c r="H21" s="1484">
        <v>2</v>
      </c>
      <c r="I21" s="1484">
        <v>2.4</v>
      </c>
      <c r="J21" s="1484">
        <v>2.0299999999999998</v>
      </c>
      <c r="K21" s="1484">
        <v>2.59</v>
      </c>
      <c r="L21" s="1485">
        <v>1.52</v>
      </c>
      <c r="N21" s="1474">
        <f t="shared" si="46"/>
        <v>2.4E-2</v>
      </c>
      <c r="O21" s="1475">
        <f t="shared" si="41"/>
        <v>2.0299999999999999E-2</v>
      </c>
      <c r="P21" s="1475">
        <f t="shared" si="41"/>
        <v>2.5899999999999999E-2</v>
      </c>
      <c r="Q21" s="1475">
        <f t="shared" si="41"/>
        <v>1.52E-2</v>
      </c>
      <c r="R21" s="1476"/>
      <c r="S21" s="1474"/>
      <c r="T21" s="1475"/>
      <c r="U21" s="1475"/>
      <c r="V21" s="1475"/>
      <c r="X21" s="1461">
        <f>1+N21</f>
        <v>1.024</v>
      </c>
      <c r="Y21" s="1461">
        <f>1+O21</f>
        <v>1.0203</v>
      </c>
      <c r="Z21" s="1461">
        <f t="shared" si="51"/>
        <v>1.0203</v>
      </c>
      <c r="AA21" s="1461">
        <f>1+P21</f>
        <v>1.0259</v>
      </c>
      <c r="AB21" s="1461">
        <f>1+Q21</f>
        <v>1.0152000000000001</v>
      </c>
      <c r="AD21" s="1462">
        <f>ROUND(AVERAGE(I21:I$22)/100,4)</f>
        <v>2.69E-2</v>
      </c>
      <c r="AE21" s="1462">
        <f>ROUND(AVERAGE(J21:J$22)/100,4)</f>
        <v>2.1899999999999999E-2</v>
      </c>
      <c r="AF21" s="1462">
        <f t="shared" ref="AF21" si="52">AE21</f>
        <v>2.1899999999999999E-2</v>
      </c>
      <c r="AG21" s="1462">
        <f>ROUND(AVERAGE(K21:K$22)/100,4)</f>
        <v>2.9399999999999999E-2</v>
      </c>
      <c r="AH21" s="1462">
        <f>ROUND(AVERAGE(L21:L$22)/100,4)</f>
        <v>1.44E-2</v>
      </c>
    </row>
    <row r="22" spans="1:34" s="1500" customFormat="1" ht="13.5" thickBot="1">
      <c r="A22" s="1496" t="s">
        <v>144</v>
      </c>
      <c r="B22" s="1497">
        <f t="shared" si="49"/>
        <v>307.34512863658733</v>
      </c>
      <c r="C22" s="1497">
        <f t="shared" si="49"/>
        <v>257.80556031626975</v>
      </c>
      <c r="D22" s="1497">
        <f t="shared" si="44"/>
        <v>257.80556031626975</v>
      </c>
      <c r="E22" s="1497">
        <f t="shared" si="50"/>
        <v>422.70928459677179</v>
      </c>
      <c r="F22" s="1497">
        <f t="shared" si="50"/>
        <v>229.73803270336617</v>
      </c>
      <c r="G22" s="3329"/>
      <c r="H22" s="1498">
        <v>1</v>
      </c>
      <c r="I22" s="1498">
        <v>2.97</v>
      </c>
      <c r="J22" s="1498">
        <v>2.34</v>
      </c>
      <c r="K22" s="1498">
        <v>3.28</v>
      </c>
      <c r="L22" s="1499">
        <v>1.36</v>
      </c>
      <c r="N22" s="1501">
        <f t="shared" si="46"/>
        <v>2.9700000000000001E-2</v>
      </c>
      <c r="O22" s="1502">
        <f t="shared" si="41"/>
        <v>2.3399999999999997E-2</v>
      </c>
      <c r="P22" s="1502">
        <f t="shared" si="41"/>
        <v>3.2799999999999996E-2</v>
      </c>
      <c r="Q22" s="1502">
        <f t="shared" si="41"/>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4"/>
        <v>252</v>
      </c>
      <c r="E23" s="1471">
        <v>409</v>
      </c>
      <c r="F23" s="1472">
        <v>227</v>
      </c>
      <c r="G23" s="3334">
        <v>2013</v>
      </c>
      <c r="H23" s="1508">
        <v>4</v>
      </c>
      <c r="I23" s="1508">
        <v>1.83</v>
      </c>
      <c r="J23" s="1508">
        <v>1.68</v>
      </c>
      <c r="K23" s="1508">
        <v>1.97</v>
      </c>
      <c r="L23" s="1509">
        <v>0.87</v>
      </c>
      <c r="N23" s="1486">
        <f t="shared" si="46"/>
        <v>1.83E-2</v>
      </c>
      <c r="O23" s="1487">
        <f t="shared" si="41"/>
        <v>1.6799999999999999E-2</v>
      </c>
      <c r="P23" s="1487">
        <f t="shared" si="41"/>
        <v>1.9699999999999999E-2</v>
      </c>
      <c r="Q23" s="1487">
        <f t="shared" si="41"/>
        <v>8.6999999999999994E-3</v>
      </c>
      <c r="R23" s="1476"/>
      <c r="S23" s="1477"/>
      <c r="T23" s="1478"/>
      <c r="U23" s="1478"/>
      <c r="V23" s="1478"/>
      <c r="X23" s="1478"/>
      <c r="Y23" s="1478"/>
      <c r="Z23" s="1478"/>
    </row>
    <row r="24" spans="1:34">
      <c r="A24" s="1463" t="s">
        <v>1164</v>
      </c>
      <c r="B24" s="1479">
        <f t="shared" ref="B24:C26" si="53">B23/(1+N23)</f>
        <v>293.62663262299913</v>
      </c>
      <c r="C24" s="1479">
        <f t="shared" si="53"/>
        <v>247.83634933123525</v>
      </c>
      <c r="D24" s="1479">
        <f t="shared" si="44"/>
        <v>247.83634933123525</v>
      </c>
      <c r="E24" s="1479">
        <f t="shared" ref="E24:F26" si="54">E23/(1+P23)</f>
        <v>401.09836226341076</v>
      </c>
      <c r="F24" s="1479">
        <f t="shared" si="54"/>
        <v>225.04213343908003</v>
      </c>
      <c r="G24" s="3335"/>
      <c r="H24" s="1489">
        <v>3</v>
      </c>
      <c r="I24" s="1489">
        <v>1.86</v>
      </c>
      <c r="J24" s="1489">
        <v>1.72</v>
      </c>
      <c r="K24" s="1489">
        <v>1.98</v>
      </c>
      <c r="L24" s="1490">
        <v>0.88</v>
      </c>
      <c r="N24" s="1474">
        <f t="shared" si="46"/>
        <v>1.8600000000000002E-2</v>
      </c>
      <c r="O24" s="1491">
        <f t="shared" si="41"/>
        <v>1.72E-2</v>
      </c>
      <c r="P24" s="1491">
        <f t="shared" si="41"/>
        <v>1.9799999999999998E-2</v>
      </c>
      <c r="Q24" s="1491">
        <f t="shared" si="41"/>
        <v>8.8000000000000005E-3</v>
      </c>
      <c r="R24" s="1476"/>
      <c r="S24" s="1474"/>
      <c r="T24" s="1475"/>
      <c r="U24" s="1475"/>
      <c r="V24" s="1475"/>
    </row>
    <row r="25" spans="1:34">
      <c r="A25" s="1463" t="s">
        <v>1165</v>
      </c>
      <c r="B25" s="1479">
        <f t="shared" si="53"/>
        <v>288.2649053828776</v>
      </c>
      <c r="C25" s="1479">
        <f t="shared" si="53"/>
        <v>243.64564425013293</v>
      </c>
      <c r="D25" s="1479">
        <f t="shared" si="44"/>
        <v>243.64564425013293</v>
      </c>
      <c r="E25" s="1479">
        <f t="shared" si="54"/>
        <v>393.31080825986544</v>
      </c>
      <c r="F25" s="1479">
        <f t="shared" si="54"/>
        <v>223.07903790551154</v>
      </c>
      <c r="G25" s="3335"/>
      <c r="H25" s="1467">
        <v>2</v>
      </c>
      <c r="I25" s="1467">
        <v>2.04</v>
      </c>
      <c r="J25" s="1467">
        <v>2.33</v>
      </c>
      <c r="K25" s="1467">
        <v>2.0699999999999998</v>
      </c>
      <c r="L25" s="1481">
        <v>0.69</v>
      </c>
      <c r="N25" s="1474">
        <f t="shared" si="46"/>
        <v>2.0400000000000001E-2</v>
      </c>
      <c r="O25" s="1491">
        <f t="shared" si="41"/>
        <v>2.3300000000000001E-2</v>
      </c>
      <c r="P25" s="1491">
        <f t="shared" si="41"/>
        <v>2.07E-2</v>
      </c>
      <c r="Q25" s="1491">
        <f t="shared" si="41"/>
        <v>6.8999999999999999E-3</v>
      </c>
      <c r="R25" s="1476"/>
      <c r="S25" s="1474"/>
      <c r="T25" s="1475"/>
      <c r="U25" s="1475"/>
      <c r="V25" s="1475"/>
      <c r="X25" s="1510"/>
      <c r="Y25" s="1511"/>
    </row>
    <row r="26" spans="1:34">
      <c r="A26" s="1463" t="s">
        <v>1166</v>
      </c>
      <c r="B26" s="1479">
        <f t="shared" si="53"/>
        <v>282.50186729015837</v>
      </c>
      <c r="C26" s="1479">
        <f t="shared" si="53"/>
        <v>238.09796174155468</v>
      </c>
      <c r="D26" s="1479">
        <f t="shared" si="44"/>
        <v>238.09796174155468</v>
      </c>
      <c r="E26" s="1479">
        <f t="shared" si="54"/>
        <v>385.33438646014054</v>
      </c>
      <c r="F26" s="1479">
        <f t="shared" si="54"/>
        <v>221.55034055567739</v>
      </c>
      <c r="G26" s="3336"/>
      <c r="H26" s="1466">
        <v>1</v>
      </c>
      <c r="I26" s="1466">
        <v>1.67</v>
      </c>
      <c r="J26" s="1466">
        <v>1.31</v>
      </c>
      <c r="K26" s="1466">
        <v>1.85</v>
      </c>
      <c r="L26" s="1480">
        <v>0.96</v>
      </c>
      <c r="N26" s="1482">
        <f t="shared" si="46"/>
        <v>1.67E-2</v>
      </c>
      <c r="O26" s="1483">
        <f t="shared" si="46"/>
        <v>1.3100000000000001E-2</v>
      </c>
      <c r="P26" s="1483">
        <f t="shared" si="46"/>
        <v>1.8500000000000003E-2</v>
      </c>
      <c r="Q26" s="1483">
        <f t="shared" si="46"/>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4"/>
        <v>234</v>
      </c>
      <c r="E27" s="1513">
        <v>379</v>
      </c>
      <c r="F27" s="1514">
        <v>220</v>
      </c>
      <c r="G27" s="3327">
        <v>2012</v>
      </c>
      <c r="H27" s="1484">
        <v>4</v>
      </c>
      <c r="I27" s="1484">
        <v>0.91</v>
      </c>
      <c r="J27" s="1484">
        <v>0.68</v>
      </c>
      <c r="K27" s="1484">
        <v>0.98</v>
      </c>
      <c r="L27" s="1485">
        <v>0.9</v>
      </c>
      <c r="N27" s="1474">
        <f t="shared" si="46"/>
        <v>9.1000000000000004E-3</v>
      </c>
      <c r="O27" s="1475">
        <f t="shared" si="46"/>
        <v>6.8000000000000005E-3</v>
      </c>
      <c r="P27" s="1475">
        <f t="shared" si="46"/>
        <v>9.7999999999999997E-3</v>
      </c>
      <c r="Q27" s="1475">
        <f t="shared" si="46"/>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4"/>
        <v>232.41954707985698</v>
      </c>
      <c r="E28" s="1479">
        <f t="shared" ref="E28:F30" si="55">E27/(1+P27)</f>
        <v>375.32184591008121</v>
      </c>
      <c r="F28" s="1479">
        <f t="shared" si="55"/>
        <v>218.03766105054513</v>
      </c>
      <c r="G28" s="3328"/>
      <c r="H28" s="1489">
        <v>3</v>
      </c>
      <c r="I28" s="1489">
        <v>0.09</v>
      </c>
      <c r="J28" s="1489">
        <v>0.28999999999999998</v>
      </c>
      <c r="K28" s="1489">
        <v>-0.01</v>
      </c>
      <c r="L28" s="1490">
        <v>0.57999999999999996</v>
      </c>
      <c r="N28" s="1474">
        <f t="shared" si="46"/>
        <v>8.9999999999999998E-4</v>
      </c>
      <c r="O28" s="1475">
        <f t="shared" si="46"/>
        <v>2.8999999999999998E-3</v>
      </c>
      <c r="P28" s="1475">
        <f t="shared" si="46"/>
        <v>-1E-4</v>
      </c>
      <c r="Q28" s="1475">
        <f t="shared" si="46"/>
        <v>5.7999999999999996E-3</v>
      </c>
      <c r="R28" s="1476"/>
      <c r="S28" s="1474"/>
      <c r="T28" s="1475"/>
      <c r="U28" s="1475"/>
      <c r="V28" s="1475"/>
    </row>
    <row r="29" spans="1:34">
      <c r="A29" s="1463" t="s">
        <v>1169</v>
      </c>
      <c r="B29" s="1479">
        <f>B28/(1+N28)</f>
        <v>275.24529281292263</v>
      </c>
      <c r="C29" s="1479">
        <f>C28/(1+O28)</f>
        <v>231.74747938962707</v>
      </c>
      <c r="D29" s="1479">
        <f t="shared" si="44"/>
        <v>231.74747938962707</v>
      </c>
      <c r="E29" s="1479">
        <f t="shared" si="55"/>
        <v>375.35938184826603</v>
      </c>
      <c r="F29" s="1479">
        <f t="shared" si="55"/>
        <v>216.78033510692495</v>
      </c>
      <c r="G29" s="3328"/>
      <c r="H29" s="1467">
        <v>2</v>
      </c>
      <c r="I29" s="1467">
        <v>0.02</v>
      </c>
      <c r="J29" s="1467">
        <v>0.12</v>
      </c>
      <c r="K29" s="1467">
        <v>-0.08</v>
      </c>
      <c r="L29" s="1481">
        <v>1.24</v>
      </c>
      <c r="N29" s="1474">
        <f t="shared" si="46"/>
        <v>2.0000000000000001E-4</v>
      </c>
      <c r="O29" s="1475">
        <f t="shared" si="46"/>
        <v>1.1999999999999999E-3</v>
      </c>
      <c r="P29" s="1475">
        <f t="shared" si="46"/>
        <v>-8.0000000000000004E-4</v>
      </c>
      <c r="Q29" s="1475">
        <f t="shared" si="46"/>
        <v>1.24E-2</v>
      </c>
      <c r="R29" s="1476"/>
      <c r="S29" s="1474"/>
      <c r="T29" s="1475"/>
      <c r="U29" s="1475"/>
      <c r="V29" s="1475"/>
    </row>
    <row r="30" spans="1:34" ht="13.5" thickBot="1">
      <c r="A30" s="1463" t="s">
        <v>1170</v>
      </c>
      <c r="B30" s="1479">
        <f>B29/(1+N29)</f>
        <v>275.19025476197027</v>
      </c>
      <c r="C30" s="1515">
        <v>232</v>
      </c>
      <c r="D30" s="1515">
        <f t="shared" si="44"/>
        <v>232</v>
      </c>
      <c r="E30" s="1479">
        <f t="shared" si="55"/>
        <v>375.65990977608692</v>
      </c>
      <c r="F30" s="1479">
        <f t="shared" si="55"/>
        <v>214.12518283971252</v>
      </c>
      <c r="G30" s="3329"/>
      <c r="H30" s="1466">
        <v>1</v>
      </c>
      <c r="I30" s="1466">
        <v>0.02</v>
      </c>
      <c r="J30" s="1466">
        <v>0.13</v>
      </c>
      <c r="K30" s="1466">
        <v>-0.04</v>
      </c>
      <c r="L30" s="1480">
        <v>0.46</v>
      </c>
      <c r="N30" s="1474">
        <f t="shared" si="46"/>
        <v>2.0000000000000001E-4</v>
      </c>
      <c r="O30" s="1475">
        <f t="shared" si="46"/>
        <v>1.2999999999999999E-3</v>
      </c>
      <c r="P30" s="1475">
        <f t="shared" si="46"/>
        <v>-4.0000000000000002E-4</v>
      </c>
      <c r="Q30" s="1475">
        <f t="shared" si="46"/>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4"/>
        <v>232</v>
      </c>
      <c r="E31" s="1471">
        <v>376</v>
      </c>
      <c r="F31" s="1472">
        <v>213</v>
      </c>
      <c r="G31" s="3327">
        <v>2011</v>
      </c>
      <c r="H31" s="1484">
        <v>4</v>
      </c>
      <c r="I31" s="1484">
        <v>-0.2</v>
      </c>
      <c r="J31" s="1484">
        <v>0.04</v>
      </c>
      <c r="K31" s="1484">
        <v>-0.34</v>
      </c>
      <c r="L31" s="1485">
        <v>0.46</v>
      </c>
      <c r="N31" s="1486">
        <f t="shared" si="46"/>
        <v>-2E-3</v>
      </c>
      <c r="O31" s="1487">
        <f t="shared" si="46"/>
        <v>4.0000000000000002E-4</v>
      </c>
      <c r="P31" s="1487">
        <f t="shared" si="46"/>
        <v>-3.4000000000000002E-3</v>
      </c>
      <c r="Q31" s="1487">
        <f t="shared" si="46"/>
        <v>4.5999999999999999E-3</v>
      </c>
      <c r="R31" s="1476"/>
      <c r="S31" s="1477"/>
      <c r="T31" s="1478"/>
      <c r="U31" s="1478"/>
      <c r="V31" s="1478"/>
      <c r="X31" s="1478"/>
      <c r="Y31" s="1478"/>
      <c r="Z31" s="1478"/>
    </row>
    <row r="32" spans="1:34">
      <c r="A32" s="1463" t="s">
        <v>1172</v>
      </c>
      <c r="B32" s="1479">
        <f t="shared" ref="B32:C34" si="56">B31/(1+N31)</f>
        <v>275.55110220440883</v>
      </c>
      <c r="C32" s="1479">
        <f t="shared" si="56"/>
        <v>231.90723710515795</v>
      </c>
      <c r="D32" s="1479">
        <f t="shared" si="44"/>
        <v>231.90723710515795</v>
      </c>
      <c r="E32" s="1479">
        <f t="shared" ref="E32:F34" si="57">E31/(1+P31)</f>
        <v>377.28276138872161</v>
      </c>
      <c r="F32" s="1479">
        <f t="shared" si="57"/>
        <v>212.02468644236512</v>
      </c>
      <c r="G32" s="3328">
        <v>2011</v>
      </c>
      <c r="H32" s="1489">
        <v>3</v>
      </c>
      <c r="I32" s="1489">
        <v>0.13</v>
      </c>
      <c r="J32" s="1489">
        <v>0.75</v>
      </c>
      <c r="K32" s="1489">
        <v>-0.08</v>
      </c>
      <c r="L32" s="1490">
        <v>0.53</v>
      </c>
      <c r="N32" s="1474">
        <f t="shared" si="46"/>
        <v>1.2999999999999999E-3</v>
      </c>
      <c r="O32" s="1491">
        <f t="shared" si="46"/>
        <v>7.4999999999999997E-3</v>
      </c>
      <c r="P32" s="1491">
        <f t="shared" si="46"/>
        <v>-8.0000000000000004E-4</v>
      </c>
      <c r="Q32" s="1491">
        <f t="shared" si="46"/>
        <v>5.3E-3</v>
      </c>
      <c r="R32" s="1476"/>
      <c r="S32" s="1474"/>
      <c r="T32" s="1475"/>
      <c r="U32" s="1475"/>
      <c r="V32" s="1475"/>
    </row>
    <row r="33" spans="1:26">
      <c r="A33" s="1463" t="s">
        <v>1173</v>
      </c>
      <c r="B33" s="1479">
        <f t="shared" si="56"/>
        <v>275.19335084830601</v>
      </c>
      <c r="C33" s="1479">
        <f t="shared" si="56"/>
        <v>230.18088050139744</v>
      </c>
      <c r="D33" s="1479">
        <f t="shared" si="44"/>
        <v>230.18088050139744</v>
      </c>
      <c r="E33" s="1479">
        <f t="shared" si="57"/>
        <v>377.58482925212331</v>
      </c>
      <c r="F33" s="1479">
        <f t="shared" si="57"/>
        <v>210.90687997847917</v>
      </c>
      <c r="G33" s="3328">
        <v>2011</v>
      </c>
      <c r="H33" s="1467">
        <v>2</v>
      </c>
      <c r="I33" s="1467">
        <v>-0.4</v>
      </c>
      <c r="J33" s="1467">
        <v>0.17</v>
      </c>
      <c r="K33" s="1467">
        <v>-0.57999999999999996</v>
      </c>
      <c r="L33" s="1481">
        <v>-0.2</v>
      </c>
      <c r="N33" s="1474">
        <f t="shared" si="46"/>
        <v>-4.0000000000000001E-3</v>
      </c>
      <c r="O33" s="1491">
        <f t="shared" si="46"/>
        <v>1.7000000000000001E-3</v>
      </c>
      <c r="P33" s="1491">
        <f t="shared" si="46"/>
        <v>-5.7999999999999996E-3</v>
      </c>
      <c r="Q33" s="1491">
        <f t="shared" si="46"/>
        <v>-2E-3</v>
      </c>
      <c r="R33" s="1476"/>
      <c r="S33" s="1474"/>
      <c r="T33" s="1475"/>
      <c r="U33" s="1475"/>
      <c r="V33" s="1475"/>
    </row>
    <row r="34" spans="1:26" ht="13.5" thickBot="1">
      <c r="A34" s="1463" t="s">
        <v>1174</v>
      </c>
      <c r="B34" s="1479">
        <f t="shared" si="56"/>
        <v>276.29854502841971</v>
      </c>
      <c r="C34" s="1479">
        <f t="shared" si="56"/>
        <v>229.79023709833027</v>
      </c>
      <c r="D34" s="1479">
        <f t="shared" si="44"/>
        <v>229.79023709833027</v>
      </c>
      <c r="E34" s="1479">
        <f t="shared" si="57"/>
        <v>379.78759731655936</v>
      </c>
      <c r="F34" s="1479">
        <f t="shared" si="57"/>
        <v>211.32953905659235</v>
      </c>
      <c r="G34" s="3329">
        <v>2011</v>
      </c>
      <c r="H34" s="1466">
        <v>1</v>
      </c>
      <c r="I34" s="1466">
        <v>2.65</v>
      </c>
      <c r="J34" s="1466">
        <v>3.76</v>
      </c>
      <c r="K34" s="1466">
        <v>1.89</v>
      </c>
      <c r="L34" s="1480">
        <v>7.95</v>
      </c>
      <c r="N34" s="1482">
        <f t="shared" si="46"/>
        <v>2.6499999999999999E-2</v>
      </c>
      <c r="O34" s="1483">
        <f t="shared" si="46"/>
        <v>3.7599999999999995E-2</v>
      </c>
      <c r="P34" s="1483">
        <f t="shared" si="46"/>
        <v>1.89E-2</v>
      </c>
      <c r="Q34" s="1483">
        <f t="shared" si="46"/>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4"/>
        <v>221</v>
      </c>
      <c r="E35" s="1471">
        <v>373</v>
      </c>
      <c r="F35" s="1472">
        <v>196</v>
      </c>
      <c r="G35" s="3327">
        <v>2010</v>
      </c>
      <c r="H35" s="1484">
        <v>4</v>
      </c>
      <c r="I35" s="1484">
        <v>5.72</v>
      </c>
      <c r="J35" s="1484">
        <v>6.57</v>
      </c>
      <c r="K35" s="1484">
        <v>5.72</v>
      </c>
      <c r="L35" s="1485">
        <v>2.72</v>
      </c>
      <c r="N35" s="1474">
        <f t="shared" si="46"/>
        <v>5.7200000000000001E-2</v>
      </c>
      <c r="O35" s="1475">
        <f t="shared" si="46"/>
        <v>6.5700000000000008E-2</v>
      </c>
      <c r="P35" s="1475">
        <f t="shared" si="46"/>
        <v>5.7200000000000001E-2</v>
      </c>
      <c r="Q35" s="1475">
        <f t="shared" si="46"/>
        <v>2.7200000000000002E-2</v>
      </c>
      <c r="R35" s="1476"/>
      <c r="S35" s="1477"/>
      <c r="T35" s="1478"/>
      <c r="U35" s="1478"/>
      <c r="V35" s="1478"/>
      <c r="X35" s="1478"/>
      <c r="Y35" s="1478"/>
      <c r="Z35" s="1478"/>
    </row>
    <row r="36" spans="1:26">
      <c r="A36" s="1463" t="s">
        <v>1176</v>
      </c>
      <c r="B36" s="1479">
        <f t="shared" ref="B36:C38" si="58">B35/(1+N35)</f>
        <v>254.44570563753314</v>
      </c>
      <c r="C36" s="1479">
        <f t="shared" si="58"/>
        <v>207.37543398705074</v>
      </c>
      <c r="D36" s="1479">
        <f t="shared" si="44"/>
        <v>207.37543398705074</v>
      </c>
      <c r="E36" s="1479">
        <f t="shared" ref="E36:F38" si="59">E35/(1+P35)</f>
        <v>352.81876655315932</v>
      </c>
      <c r="F36" s="1479">
        <f t="shared" si="59"/>
        <v>190.809968847352</v>
      </c>
      <c r="G36" s="3328">
        <v>2010</v>
      </c>
      <c r="H36" s="1489">
        <v>3</v>
      </c>
      <c r="I36" s="1489">
        <v>4.7300000000000004</v>
      </c>
      <c r="J36" s="1489">
        <v>3.9</v>
      </c>
      <c r="K36" s="1489">
        <v>5.03</v>
      </c>
      <c r="L36" s="1490">
        <v>4.21</v>
      </c>
      <c r="N36" s="1474">
        <f t="shared" si="46"/>
        <v>4.7300000000000002E-2</v>
      </c>
      <c r="O36" s="1475">
        <f t="shared" si="46"/>
        <v>3.9E-2</v>
      </c>
      <c r="P36" s="1475">
        <f t="shared" si="46"/>
        <v>5.0300000000000004E-2</v>
      </c>
      <c r="Q36" s="1475">
        <f t="shared" si="46"/>
        <v>4.2099999999999999E-2</v>
      </c>
      <c r="R36" s="1476"/>
      <c r="S36" s="1474"/>
      <c r="T36" s="1475"/>
      <c r="U36" s="1475"/>
      <c r="V36" s="1475"/>
    </row>
    <row r="37" spans="1:26">
      <c r="A37" s="1463" t="s">
        <v>1177</v>
      </c>
      <c r="B37" s="1479">
        <f t="shared" si="58"/>
        <v>242.95398227588385</v>
      </c>
      <c r="C37" s="1479">
        <f t="shared" si="58"/>
        <v>199.59137053614126</v>
      </c>
      <c r="D37" s="1479">
        <f t="shared" si="44"/>
        <v>199.59137053614126</v>
      </c>
      <c r="E37" s="1479">
        <f t="shared" si="59"/>
        <v>335.92189522342125</v>
      </c>
      <c r="F37" s="1479">
        <f t="shared" si="59"/>
        <v>183.10139991109489</v>
      </c>
      <c r="G37" s="3328">
        <v>2010</v>
      </c>
      <c r="H37" s="1467">
        <v>2</v>
      </c>
      <c r="I37" s="1467">
        <v>4.6900000000000004</v>
      </c>
      <c r="J37" s="1467">
        <v>3.55</v>
      </c>
      <c r="K37" s="1467">
        <v>5.07</v>
      </c>
      <c r="L37" s="1481">
        <v>4.2300000000000004</v>
      </c>
      <c r="N37" s="1474">
        <f t="shared" si="46"/>
        <v>4.6900000000000004E-2</v>
      </c>
      <c r="O37" s="1475">
        <f t="shared" si="46"/>
        <v>3.5499999999999997E-2</v>
      </c>
      <c r="P37" s="1475">
        <f t="shared" si="46"/>
        <v>5.0700000000000002E-2</v>
      </c>
      <c r="Q37" s="1475">
        <f t="shared" si="46"/>
        <v>4.2300000000000004E-2</v>
      </c>
      <c r="R37" s="1476"/>
      <c r="S37" s="1474"/>
      <c r="T37" s="1475"/>
      <c r="U37" s="1475"/>
      <c r="V37" s="1475"/>
    </row>
    <row r="38" spans="1:26" ht="13.5" thickBot="1">
      <c r="A38" s="1463" t="s">
        <v>1178</v>
      </c>
      <c r="B38" s="1479">
        <f t="shared" si="58"/>
        <v>232.06990378821649</v>
      </c>
      <c r="C38" s="1479">
        <f t="shared" si="58"/>
        <v>192.74878854286936</v>
      </c>
      <c r="D38" s="1479">
        <f t="shared" si="44"/>
        <v>192.74878854286936</v>
      </c>
      <c r="E38" s="1479">
        <f t="shared" si="59"/>
        <v>319.71247284992984</v>
      </c>
      <c r="F38" s="1479">
        <f t="shared" si="59"/>
        <v>175.67053622862409</v>
      </c>
      <c r="G38" s="3329">
        <v>2010</v>
      </c>
      <c r="H38" s="1466">
        <v>1</v>
      </c>
      <c r="I38" s="1466">
        <v>5.4</v>
      </c>
      <c r="J38" s="1466">
        <v>3.2</v>
      </c>
      <c r="K38" s="1466">
        <v>6.16</v>
      </c>
      <c r="L38" s="1480">
        <v>4.51</v>
      </c>
      <c r="N38" s="1474">
        <f t="shared" si="46"/>
        <v>5.4000000000000006E-2</v>
      </c>
      <c r="O38" s="1475">
        <f t="shared" si="46"/>
        <v>3.2000000000000001E-2</v>
      </c>
      <c r="P38" s="1475">
        <f t="shared" si="46"/>
        <v>6.1600000000000002E-2</v>
      </c>
      <c r="Q38" s="1475">
        <f t="shared" si="46"/>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4"/>
        <v>187</v>
      </c>
      <c r="E39" s="1471">
        <v>301</v>
      </c>
      <c r="F39" s="1472">
        <v>168</v>
      </c>
      <c r="G39" s="3327">
        <v>2009</v>
      </c>
      <c r="H39" s="1484">
        <v>4</v>
      </c>
      <c r="I39" s="1484">
        <v>2.2999999999999998</v>
      </c>
      <c r="J39" s="1484">
        <v>1.04</v>
      </c>
      <c r="K39" s="1484">
        <v>2.84</v>
      </c>
      <c r="L39" s="1485">
        <v>0.67</v>
      </c>
      <c r="N39" s="1486">
        <f t="shared" si="46"/>
        <v>2.3E-2</v>
      </c>
      <c r="O39" s="1487">
        <f t="shared" si="46"/>
        <v>1.04E-2</v>
      </c>
      <c r="P39" s="1487">
        <f t="shared" si="46"/>
        <v>2.8399999999999998E-2</v>
      </c>
      <c r="Q39" s="1487">
        <f t="shared" si="46"/>
        <v>6.7000000000000002E-3</v>
      </c>
      <c r="R39" s="1476"/>
      <c r="S39" s="1477"/>
      <c r="T39" s="1478"/>
      <c r="U39" s="1478"/>
      <c r="V39" s="1478"/>
      <c r="X39" s="1478"/>
      <c r="Y39" s="1478"/>
      <c r="Z39" s="1478"/>
    </row>
    <row r="40" spans="1:26">
      <c r="A40" s="1463" t="s">
        <v>1180</v>
      </c>
      <c r="B40" s="1479">
        <f t="shared" ref="B40:C42" si="60">B39/(1+N39)</f>
        <v>215.05376344086022</v>
      </c>
      <c r="C40" s="1479">
        <f t="shared" si="60"/>
        <v>185.0752177355503</v>
      </c>
      <c r="D40" s="1479">
        <f t="shared" si="44"/>
        <v>185.0752177355503</v>
      </c>
      <c r="E40" s="1479">
        <f t="shared" ref="E40:F42" si="61">E39/(1+P39)</f>
        <v>292.68767016725008</v>
      </c>
      <c r="F40" s="1479">
        <f t="shared" si="61"/>
        <v>166.88189132810174</v>
      </c>
      <c r="G40" s="3328">
        <v>2009</v>
      </c>
      <c r="H40" s="1489">
        <v>3</v>
      </c>
      <c r="I40" s="1489">
        <v>2.1</v>
      </c>
      <c r="J40" s="1489">
        <v>1.86</v>
      </c>
      <c r="K40" s="1489">
        <v>2.29</v>
      </c>
      <c r="L40" s="1490">
        <v>0.85</v>
      </c>
      <c r="N40" s="1474">
        <f t="shared" si="46"/>
        <v>2.1000000000000001E-2</v>
      </c>
      <c r="O40" s="1491">
        <f t="shared" si="46"/>
        <v>1.8600000000000002E-2</v>
      </c>
      <c r="P40" s="1491">
        <f t="shared" si="46"/>
        <v>2.29E-2</v>
      </c>
      <c r="Q40" s="1491">
        <f t="shared" si="46"/>
        <v>8.5000000000000006E-3</v>
      </c>
      <c r="R40" s="1476"/>
      <c r="S40" s="1474"/>
      <c r="T40" s="1475"/>
      <c r="U40" s="1475"/>
      <c r="V40" s="1475"/>
    </row>
    <row r="41" spans="1:26">
      <c r="A41" s="1463" t="s">
        <v>1181</v>
      </c>
      <c r="B41" s="1479">
        <f t="shared" si="60"/>
        <v>210.630522469011</v>
      </c>
      <c r="C41" s="1479">
        <f t="shared" si="60"/>
        <v>181.69567812247232</v>
      </c>
      <c r="D41" s="1479">
        <f t="shared" si="44"/>
        <v>181.69567812247232</v>
      </c>
      <c r="E41" s="1479">
        <f t="shared" si="61"/>
        <v>286.13517466736738</v>
      </c>
      <c r="F41" s="1479">
        <f t="shared" si="61"/>
        <v>165.47535084591149</v>
      </c>
      <c r="G41" s="3328">
        <v>2009</v>
      </c>
      <c r="H41" s="1467">
        <v>2</v>
      </c>
      <c r="I41" s="1467">
        <v>0.86</v>
      </c>
      <c r="J41" s="1467">
        <v>-1.1299999999999999</v>
      </c>
      <c r="K41" s="1467">
        <v>1.79</v>
      </c>
      <c r="L41" s="1481">
        <v>-2.0699999999999998</v>
      </c>
      <c r="N41" s="1474">
        <f t="shared" si="46"/>
        <v>8.6E-3</v>
      </c>
      <c r="O41" s="1491">
        <f t="shared" si="46"/>
        <v>-1.1299999999999999E-2</v>
      </c>
      <c r="P41" s="1491">
        <f t="shared" si="46"/>
        <v>1.7899999999999999E-2</v>
      </c>
      <c r="Q41" s="1491">
        <f t="shared" si="46"/>
        <v>-2.07E-2</v>
      </c>
      <c r="R41" s="1476"/>
      <c r="S41" s="1474"/>
      <c r="T41" s="1475"/>
      <c r="U41" s="1475"/>
      <c r="V41" s="1475"/>
    </row>
    <row r="42" spans="1:26">
      <c r="A42" s="1463" t="s">
        <v>1182</v>
      </c>
      <c r="B42" s="1479">
        <f t="shared" si="60"/>
        <v>208.83454537875372</v>
      </c>
      <c r="C42" s="1479">
        <f t="shared" si="60"/>
        <v>183.77230517090351</v>
      </c>
      <c r="D42" s="1479">
        <f t="shared" si="44"/>
        <v>183.77230517090351</v>
      </c>
      <c r="E42" s="1479">
        <f t="shared" si="61"/>
        <v>281.10342338870947</v>
      </c>
      <c r="F42" s="1479">
        <f t="shared" si="61"/>
        <v>168.97309388942256</v>
      </c>
      <c r="G42" s="3329">
        <v>2009</v>
      </c>
      <c r="H42" s="1466">
        <v>1</v>
      </c>
      <c r="I42" s="1466">
        <v>-2.64</v>
      </c>
      <c r="J42" s="1466">
        <v>-2.5299999999999998</v>
      </c>
      <c r="K42" s="1466">
        <v>-3.02</v>
      </c>
      <c r="L42" s="1480">
        <v>1.52</v>
      </c>
      <c r="N42" s="1482">
        <f t="shared" si="46"/>
        <v>-2.64E-2</v>
      </c>
      <c r="O42" s="1483">
        <f t="shared" si="46"/>
        <v>-2.53E-2</v>
      </c>
      <c r="P42" s="1483">
        <f t="shared" si="46"/>
        <v>-3.0200000000000001E-2</v>
      </c>
      <c r="Q42" s="1483">
        <f t="shared" si="46"/>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4"/>
        <v>188</v>
      </c>
      <c r="E43" s="1513">
        <v>289</v>
      </c>
      <c r="F43" s="1514">
        <v>166</v>
      </c>
      <c r="G43" s="3327">
        <v>2008</v>
      </c>
      <c r="H43" s="1484">
        <v>4</v>
      </c>
      <c r="I43" s="1484">
        <v>1.73</v>
      </c>
      <c r="J43" s="1484">
        <v>0.03</v>
      </c>
      <c r="K43" s="1484">
        <v>2.59</v>
      </c>
      <c r="L43" s="1485">
        <v>-1.66</v>
      </c>
      <c r="N43" s="1474">
        <f t="shared" si="46"/>
        <v>1.7299999999999999E-2</v>
      </c>
      <c r="O43" s="1475">
        <f t="shared" si="46"/>
        <v>2.9999999999999997E-4</v>
      </c>
      <c r="P43" s="1475">
        <f t="shared" si="46"/>
        <v>2.5899999999999999E-2</v>
      </c>
      <c r="Q43" s="1475">
        <f t="shared" si="46"/>
        <v>-1.66E-2</v>
      </c>
      <c r="R43" s="1476"/>
      <c r="S43" s="1477"/>
      <c r="T43" s="1478"/>
      <c r="U43" s="1478"/>
      <c r="V43" s="1478"/>
      <c r="X43" s="1478"/>
      <c r="Y43" s="1478"/>
      <c r="Z43" s="1478"/>
    </row>
    <row r="44" spans="1:26">
      <c r="A44" s="1463" t="s">
        <v>1184</v>
      </c>
      <c r="B44" s="1479">
        <f t="shared" ref="B44:C46" si="62">B43/(1+N43)</f>
        <v>210.36075887152265</v>
      </c>
      <c r="C44" s="1479">
        <f t="shared" si="62"/>
        <v>187.94361691492554</v>
      </c>
      <c r="D44" s="1479">
        <f t="shared" si="44"/>
        <v>187.94361691492554</v>
      </c>
      <c r="E44" s="1479">
        <f t="shared" ref="E44:F46" si="63">E43/(1+P43)</f>
        <v>281.70386977288234</v>
      </c>
      <c r="F44" s="1479">
        <f t="shared" si="63"/>
        <v>168.80211511083994</v>
      </c>
      <c r="G44" s="3328">
        <v>2008</v>
      </c>
      <c r="H44" s="1489">
        <v>3</v>
      </c>
      <c r="I44" s="1489">
        <v>1.96</v>
      </c>
      <c r="J44" s="1489">
        <v>2.36</v>
      </c>
      <c r="K44" s="1489">
        <v>1.82</v>
      </c>
      <c r="L44" s="1490">
        <v>2.2200000000000002</v>
      </c>
      <c r="N44" s="1474">
        <f t="shared" si="46"/>
        <v>1.9599999999999999E-2</v>
      </c>
      <c r="O44" s="1475">
        <f t="shared" si="46"/>
        <v>2.3599999999999999E-2</v>
      </c>
      <c r="P44" s="1475">
        <f t="shared" si="46"/>
        <v>1.8200000000000001E-2</v>
      </c>
      <c r="Q44" s="1475">
        <f t="shared" si="46"/>
        <v>2.2200000000000001E-2</v>
      </c>
      <c r="R44" s="1476"/>
      <c r="S44" s="1474"/>
      <c r="T44" s="1475"/>
      <c r="U44" s="1475"/>
      <c r="V44" s="1475"/>
    </row>
    <row r="45" spans="1:26">
      <c r="A45" s="1463" t="s">
        <v>1185</v>
      </c>
      <c r="B45" s="1479">
        <f t="shared" si="62"/>
        <v>206.31694671589116</v>
      </c>
      <c r="C45" s="1479">
        <f t="shared" si="62"/>
        <v>183.61041121036101</v>
      </c>
      <c r="D45" s="1479">
        <f t="shared" si="44"/>
        <v>183.61041121036101</v>
      </c>
      <c r="E45" s="1479">
        <f t="shared" si="63"/>
        <v>276.66850301795557</v>
      </c>
      <c r="F45" s="1479">
        <f t="shared" si="63"/>
        <v>165.1360938278614</v>
      </c>
      <c r="G45" s="3328">
        <v>2008</v>
      </c>
      <c r="H45" s="1467">
        <v>2</v>
      </c>
      <c r="I45" s="1467">
        <v>4.93</v>
      </c>
      <c r="J45" s="1467">
        <v>7.38</v>
      </c>
      <c r="K45" s="1467">
        <v>3.98</v>
      </c>
      <c r="L45" s="1481">
        <v>6.86</v>
      </c>
      <c r="N45" s="1474">
        <f t="shared" si="46"/>
        <v>4.9299999999999997E-2</v>
      </c>
      <c r="O45" s="1475">
        <f t="shared" si="46"/>
        <v>7.3800000000000004E-2</v>
      </c>
      <c r="P45" s="1475">
        <f t="shared" si="46"/>
        <v>3.9800000000000002E-2</v>
      </c>
      <c r="Q45" s="1475">
        <f t="shared" si="46"/>
        <v>6.8600000000000008E-2</v>
      </c>
      <c r="R45" s="1476"/>
      <c r="S45" s="1474"/>
      <c r="T45" s="1475"/>
      <c r="U45" s="1475"/>
      <c r="V45" s="1475"/>
    </row>
    <row r="46" spans="1:26" s="1519" customFormat="1" ht="13.5" thickBot="1">
      <c r="A46" s="1463" t="s">
        <v>1186</v>
      </c>
      <c r="B46" s="1516">
        <f t="shared" si="62"/>
        <v>196.62341248059772</v>
      </c>
      <c r="C46" s="1516">
        <f t="shared" si="62"/>
        <v>170.99125648199012</v>
      </c>
      <c r="D46" s="1516">
        <f t="shared" si="44"/>
        <v>170.99125648199012</v>
      </c>
      <c r="E46" s="1516">
        <f t="shared" si="63"/>
        <v>266.07857570490052</v>
      </c>
      <c r="F46" s="1516">
        <f t="shared" si="63"/>
        <v>154.53499328828505</v>
      </c>
      <c r="G46" s="3329">
        <v>2008</v>
      </c>
      <c r="H46" s="1517">
        <v>1</v>
      </c>
      <c r="I46" s="1517">
        <v>4.1399999999999997</v>
      </c>
      <c r="J46" s="1517">
        <v>3.45</v>
      </c>
      <c r="K46" s="1517">
        <v>4.95</v>
      </c>
      <c r="L46" s="1518">
        <v>4.82</v>
      </c>
      <c r="N46" s="1520">
        <f t="shared" si="46"/>
        <v>4.1399999999999999E-2</v>
      </c>
      <c r="O46" s="1521">
        <f t="shared" si="46"/>
        <v>3.4500000000000003E-2</v>
      </c>
      <c r="P46" s="1521">
        <f t="shared" si="46"/>
        <v>4.9500000000000002E-2</v>
      </c>
      <c r="Q46" s="1521">
        <f t="shared" si="46"/>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4"/>
        <v>165</v>
      </c>
      <c r="E47" s="1471">
        <v>254</v>
      </c>
      <c r="F47" s="1472">
        <v>148</v>
      </c>
      <c r="G47" s="3327">
        <v>2007</v>
      </c>
      <c r="H47" s="1524">
        <v>4</v>
      </c>
      <c r="I47" s="1524">
        <v>5.51</v>
      </c>
      <c r="J47" s="1524">
        <v>4.8899999999999997</v>
      </c>
      <c r="K47" s="1524">
        <v>6.43</v>
      </c>
      <c r="L47" s="1525">
        <v>5.36</v>
      </c>
      <c r="N47" s="1526">
        <f t="shared" ref="N47:O50" si="64">B47/B48-1</f>
        <v>4.1339718365245526E-2</v>
      </c>
      <c r="O47" s="1527">
        <f t="shared" si="64"/>
        <v>4.0324492593776018E-2</v>
      </c>
      <c r="P47" s="1527">
        <f t="shared" ref="P47:Q50" si="65">E47/E48-1</f>
        <v>6.1625555347990968E-2</v>
      </c>
      <c r="Q47" s="1527">
        <f t="shared" si="65"/>
        <v>4.6757569250590603E-2</v>
      </c>
      <c r="R47" s="1476"/>
      <c r="S47" s="1477"/>
      <c r="T47" s="1478"/>
      <c r="U47" s="1478"/>
      <c r="V47" s="1478"/>
      <c r="X47" s="1478"/>
      <c r="Y47" s="1478"/>
      <c r="Z47" s="1478"/>
    </row>
    <row r="48" spans="1:26">
      <c r="A48" s="1463" t="s">
        <v>1188</v>
      </c>
      <c r="B48" s="1479">
        <f t="shared" ref="B48:C50" si="66">B49+(B$47-B$51)*I48/SUM(I$47:I$50)</f>
        <v>180.5366651097618</v>
      </c>
      <c r="C48" s="1479">
        <f t="shared" si="66"/>
        <v>158.60435967302453</v>
      </c>
      <c r="D48" s="1479">
        <f t="shared" si="44"/>
        <v>158.60435967302453</v>
      </c>
      <c r="E48" s="1479">
        <f t="shared" ref="E48:F50" si="67">E49+(E$47-E$51)*K48/SUM(K$47:K$50)</f>
        <v>239.25573260785075</v>
      </c>
      <c r="F48" s="1479">
        <f t="shared" si="67"/>
        <v>141.38899430740037</v>
      </c>
      <c r="G48" s="3328">
        <v>2007</v>
      </c>
      <c r="H48" s="1489">
        <v>3</v>
      </c>
      <c r="I48" s="1489">
        <v>8.65</v>
      </c>
      <c r="J48" s="1489">
        <v>8.06</v>
      </c>
      <c r="K48" s="1489">
        <v>9.94</v>
      </c>
      <c r="L48" s="1490">
        <v>5.8</v>
      </c>
      <c r="N48" s="1526">
        <f t="shared" si="64"/>
        <v>6.940217571740015E-2</v>
      </c>
      <c r="O48" s="1527">
        <f t="shared" si="64"/>
        <v>7.1197482471153428E-2</v>
      </c>
      <c r="P48" s="1527">
        <f t="shared" si="65"/>
        <v>0.10529679922579582</v>
      </c>
      <c r="Q48" s="1527">
        <f t="shared" si="65"/>
        <v>5.3292245059512133E-2</v>
      </c>
      <c r="R48" s="1476"/>
      <c r="S48" s="1474"/>
      <c r="T48" s="1475"/>
      <c r="U48" s="1475"/>
      <c r="V48" s="1475"/>
      <c r="X48" s="1528"/>
      <c r="Y48" s="1528"/>
      <c r="Z48" s="1528"/>
    </row>
    <row r="49" spans="1:26">
      <c r="A49" s="1463" t="s">
        <v>1189</v>
      </c>
      <c r="B49" s="1479">
        <f t="shared" si="66"/>
        <v>168.82017748715555</v>
      </c>
      <c r="C49" s="1479">
        <f t="shared" si="66"/>
        <v>148.06267029972753</v>
      </c>
      <c r="D49" s="1479">
        <f t="shared" si="44"/>
        <v>148.06267029972753</v>
      </c>
      <c r="E49" s="1479">
        <f t="shared" si="67"/>
        <v>216.46288379323747</v>
      </c>
      <c r="F49" s="1479">
        <f t="shared" si="67"/>
        <v>134.23529411764704</v>
      </c>
      <c r="G49" s="3328">
        <v>2007</v>
      </c>
      <c r="H49" s="1467">
        <v>2</v>
      </c>
      <c r="I49" s="1467">
        <v>3.67</v>
      </c>
      <c r="J49" s="1467">
        <v>2.3199999999999998</v>
      </c>
      <c r="K49" s="1467">
        <v>5.0199999999999996</v>
      </c>
      <c r="L49" s="1481">
        <v>6.71</v>
      </c>
      <c r="N49" s="1526">
        <f t="shared" si="64"/>
        <v>3.0339138143848032E-2</v>
      </c>
      <c r="O49" s="1527">
        <f t="shared" si="64"/>
        <v>2.0922341588790472E-2</v>
      </c>
      <c r="P49" s="1527">
        <f t="shared" si="65"/>
        <v>5.6164796592717003E-2</v>
      </c>
      <c r="Q49" s="1527">
        <f t="shared" si="65"/>
        <v>6.5704536723887319E-2</v>
      </c>
      <c r="R49" s="1476"/>
      <c r="S49" s="1474"/>
      <c r="T49" s="1475"/>
      <c r="U49" s="1475"/>
      <c r="V49" s="1475"/>
      <c r="X49" s="1528"/>
      <c r="Y49" s="1528"/>
      <c r="Z49" s="1528"/>
    </row>
    <row r="50" spans="1:26">
      <c r="A50" s="1463" t="s">
        <v>1190</v>
      </c>
      <c r="B50" s="1479">
        <f t="shared" si="66"/>
        <v>163.84913591779542</v>
      </c>
      <c r="C50" s="1479">
        <f t="shared" si="66"/>
        <v>145.0283378746594</v>
      </c>
      <c r="D50" s="1479">
        <f t="shared" si="44"/>
        <v>145.0283378746594</v>
      </c>
      <c r="E50" s="1479">
        <f t="shared" si="67"/>
        <v>204.95180722891567</v>
      </c>
      <c r="F50" s="1479">
        <f t="shared" si="67"/>
        <v>125.95920303605313</v>
      </c>
      <c r="G50" s="3329">
        <v>2007</v>
      </c>
      <c r="H50" s="1466">
        <v>1</v>
      </c>
      <c r="I50" s="1466">
        <v>3.58</v>
      </c>
      <c r="J50" s="1466">
        <v>3.08</v>
      </c>
      <c r="K50" s="1466">
        <v>4.34</v>
      </c>
      <c r="L50" s="1480">
        <v>3.21</v>
      </c>
      <c r="N50" s="1529">
        <f t="shared" si="64"/>
        <v>3.0497710174814063E-2</v>
      </c>
      <c r="O50" s="1530">
        <f t="shared" si="64"/>
        <v>2.8569772160704998E-2</v>
      </c>
      <c r="P50" s="1530">
        <f t="shared" si="65"/>
        <v>5.1034908866234296E-2</v>
      </c>
      <c r="Q50" s="1530">
        <f t="shared" si="65"/>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4"/>
        <v>141</v>
      </c>
      <c r="E51" s="1492">
        <v>195</v>
      </c>
      <c r="F51" s="1493">
        <v>122</v>
      </c>
      <c r="G51" s="3327">
        <v>2006</v>
      </c>
      <c r="H51" s="1484">
        <v>4</v>
      </c>
      <c r="I51" s="1484">
        <v>3.79</v>
      </c>
      <c r="J51" s="1484">
        <v>2.21</v>
      </c>
      <c r="K51" s="1484">
        <v>5.65</v>
      </c>
      <c r="L51" s="1485">
        <v>5.41</v>
      </c>
      <c r="N51" s="1526">
        <f t="shared" ref="N51:O54" si="68">I51/SUM(I$51:I$54)*(B$51/B$55-1)</f>
        <v>7.245466462748526E-2</v>
      </c>
      <c r="O51" s="1527">
        <f t="shared" si="68"/>
        <v>2.3237230038062766E-2</v>
      </c>
      <c r="P51" s="1527">
        <f t="shared" ref="P51:Q54" si="69">K51/SUM(K$51:K$54)*(E$51/E$55-1)</f>
        <v>0.16146893866323722</v>
      </c>
      <c r="Q51" s="1527">
        <f t="shared" si="69"/>
        <v>5.0755230321793784E-2</v>
      </c>
      <c r="R51" s="1476"/>
      <c r="S51" s="1477"/>
      <c r="T51" s="1478"/>
      <c r="U51" s="1478"/>
      <c r="V51" s="1478"/>
      <c r="X51" s="1528"/>
      <c r="Y51" s="1528"/>
      <c r="Z51" s="1528"/>
    </row>
    <row r="52" spans="1:26">
      <c r="A52" s="1463" t="s">
        <v>1192</v>
      </c>
      <c r="B52" s="1479">
        <f t="shared" ref="B52:C54" si="70">B53+(B$51-B$55)*I52/SUM(I$51:I$54)</f>
        <v>149.00125628140702</v>
      </c>
      <c r="C52" s="1479">
        <f t="shared" si="70"/>
        <v>137.95592286501378</v>
      </c>
      <c r="D52" s="1479">
        <f t="shared" si="44"/>
        <v>137.95592286501378</v>
      </c>
      <c r="E52" s="1479">
        <f t="shared" ref="E52:F54" si="71">E53+(E$51-E$55)*K52/SUM(K$51:K$54)</f>
        <v>169.97231450719823</v>
      </c>
      <c r="F52" s="1479">
        <f t="shared" si="71"/>
        <v>116.21390374331551</v>
      </c>
      <c r="G52" s="3328">
        <v>2006</v>
      </c>
      <c r="H52" s="1489">
        <v>3</v>
      </c>
      <c r="I52" s="1489">
        <v>0.92</v>
      </c>
      <c r="J52" s="1489">
        <v>1.08</v>
      </c>
      <c r="K52" s="1489">
        <v>0.73</v>
      </c>
      <c r="L52" s="1490">
        <v>1.08</v>
      </c>
      <c r="N52" s="1526">
        <f t="shared" si="68"/>
        <v>1.7587939698492462E-2</v>
      </c>
      <c r="O52" s="1527">
        <f t="shared" si="68"/>
        <v>1.1355750425840628E-2</v>
      </c>
      <c r="P52" s="1527">
        <f t="shared" si="69"/>
        <v>2.0862358446754544E-2</v>
      </c>
      <c r="Q52" s="1527">
        <f t="shared" si="69"/>
        <v>1.0132282578103011E-2</v>
      </c>
      <c r="R52" s="1476"/>
      <c r="S52" s="1474"/>
      <c r="T52" s="1475"/>
      <c r="U52" s="1475"/>
      <c r="V52" s="1475"/>
      <c r="X52" s="1528"/>
      <c r="Y52" s="1528"/>
      <c r="Z52" s="1528"/>
    </row>
    <row r="53" spans="1:26">
      <c r="A53" s="1463" t="s">
        <v>1193</v>
      </c>
      <c r="B53" s="1479">
        <f t="shared" si="70"/>
        <v>146.57412060301507</v>
      </c>
      <c r="C53" s="1479">
        <f t="shared" si="70"/>
        <v>136.46831955922866</v>
      </c>
      <c r="D53" s="1479">
        <f t="shared" si="44"/>
        <v>136.46831955922866</v>
      </c>
      <c r="E53" s="1479">
        <f t="shared" si="71"/>
        <v>166.73864894795128</v>
      </c>
      <c r="F53" s="1479">
        <f t="shared" si="71"/>
        <v>115.05882352941177</v>
      </c>
      <c r="G53" s="3328">
        <v>2006</v>
      </c>
      <c r="H53" s="1467">
        <v>2</v>
      </c>
      <c r="I53" s="1467">
        <v>0.96</v>
      </c>
      <c r="J53" s="1467">
        <v>0.25</v>
      </c>
      <c r="K53" s="1467">
        <v>1.9</v>
      </c>
      <c r="L53" s="1481">
        <v>0.95</v>
      </c>
      <c r="N53" s="1526">
        <f t="shared" si="68"/>
        <v>1.8352632728861701E-2</v>
      </c>
      <c r="O53" s="1527">
        <f t="shared" si="68"/>
        <v>2.6286459319075526E-3</v>
      </c>
      <c r="P53" s="1527">
        <f t="shared" si="69"/>
        <v>5.4299289107991269E-2</v>
      </c>
      <c r="Q53" s="1527">
        <f t="shared" si="69"/>
        <v>8.9126559714794995E-3</v>
      </c>
      <c r="R53" s="1476"/>
      <c r="S53" s="1474"/>
      <c r="T53" s="1475"/>
      <c r="U53" s="1475"/>
      <c r="V53" s="1475"/>
      <c r="X53" s="1528"/>
      <c r="Y53" s="1528"/>
      <c r="Z53" s="1528"/>
    </row>
    <row r="54" spans="1:26">
      <c r="A54" s="1463" t="s">
        <v>1194</v>
      </c>
      <c r="B54" s="1479">
        <f t="shared" si="70"/>
        <v>144.04145728643215</v>
      </c>
      <c r="C54" s="1479">
        <f t="shared" si="70"/>
        <v>136.12396694214877</v>
      </c>
      <c r="D54" s="1479">
        <f t="shared" si="44"/>
        <v>136.12396694214877</v>
      </c>
      <c r="E54" s="1479">
        <f t="shared" si="71"/>
        <v>158.32225913621264</v>
      </c>
      <c r="F54" s="1479">
        <f t="shared" si="71"/>
        <v>114.04278074866311</v>
      </c>
      <c r="G54" s="3329">
        <v>2006</v>
      </c>
      <c r="H54" s="1466">
        <v>1</v>
      </c>
      <c r="I54" s="1466">
        <v>2.29</v>
      </c>
      <c r="J54" s="1466">
        <v>3.72</v>
      </c>
      <c r="K54" s="1466">
        <v>0.75</v>
      </c>
      <c r="L54" s="1480">
        <v>0.04</v>
      </c>
      <c r="N54" s="1529">
        <f t="shared" si="68"/>
        <v>4.3778675988638847E-2</v>
      </c>
      <c r="O54" s="1530">
        <f t="shared" si="68"/>
        <v>3.9114251466784385E-2</v>
      </c>
      <c r="P54" s="1530">
        <f t="shared" si="69"/>
        <v>2.1433929911049188E-2</v>
      </c>
      <c r="Q54" s="1530">
        <f t="shared" si="69"/>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4"/>
        <v>131</v>
      </c>
      <c r="E55" s="1492">
        <v>155</v>
      </c>
      <c r="F55" s="1493">
        <v>114</v>
      </c>
      <c r="G55" s="3327">
        <v>2005</v>
      </c>
      <c r="H55" s="1484">
        <v>4</v>
      </c>
      <c r="I55" s="1484">
        <v>3.29</v>
      </c>
      <c r="J55" s="1484">
        <v>1.44</v>
      </c>
      <c r="K55" s="1484">
        <v>0.66</v>
      </c>
      <c r="L55" s="1485">
        <v>7.78</v>
      </c>
      <c r="N55" s="1526">
        <f t="shared" ref="N55:O58" si="72">I55/SUM(I$55:I$58)*(B$55/B$59-1)</f>
        <v>9.9404603216919935E-2</v>
      </c>
      <c r="O55" s="1527">
        <f t="shared" si="72"/>
        <v>4.7636550760861554E-2</v>
      </c>
      <c r="P55" s="1527">
        <f t="shared" ref="P55:Q58" si="73">K55/SUM(K$55:K$58)*(E$55/E$59-1)</f>
        <v>8.3756345177664976E-2</v>
      </c>
      <c r="Q55" s="1527">
        <f t="shared" si="73"/>
        <v>5.2148766661559584E-2</v>
      </c>
      <c r="R55" s="1476"/>
      <c r="S55" s="1477"/>
      <c r="T55" s="1478"/>
      <c r="U55" s="1478"/>
      <c r="V55" s="1478"/>
      <c r="X55" s="1528"/>
      <c r="Y55" s="1528"/>
      <c r="Z55" s="1528"/>
    </row>
    <row r="56" spans="1:26">
      <c r="A56" s="1463" t="s">
        <v>1196</v>
      </c>
      <c r="B56" s="1479">
        <f t="shared" ref="B56:C58" si="74">B57+(B$55-B$59)*I56/SUM(I$55:I$58)</f>
        <v>125.9720430107527</v>
      </c>
      <c r="C56" s="1479">
        <f t="shared" si="74"/>
        <v>125.1883408071749</v>
      </c>
      <c r="D56" s="1479">
        <f t="shared" si="44"/>
        <v>125.1883408071749</v>
      </c>
      <c r="E56" s="1479">
        <f t="shared" ref="E56:F58" si="75">E57+(E$55-E$59)*K56/SUM(K$55:K$58)</f>
        <v>144.61421319796952</v>
      </c>
      <c r="F56" s="1479">
        <f t="shared" si="75"/>
        <v>108.42008196721311</v>
      </c>
      <c r="G56" s="3328">
        <v>2005</v>
      </c>
      <c r="H56" s="1489">
        <v>3</v>
      </c>
      <c r="I56" s="1489">
        <v>0.46</v>
      </c>
      <c r="J56" s="1489">
        <v>0.32</v>
      </c>
      <c r="K56" s="1489">
        <v>0.42</v>
      </c>
      <c r="L56" s="1490">
        <v>0.64</v>
      </c>
      <c r="N56" s="1526">
        <f t="shared" si="72"/>
        <v>1.3898515951301874E-2</v>
      </c>
      <c r="O56" s="1527">
        <f t="shared" si="72"/>
        <v>1.0585900169080346E-2</v>
      </c>
      <c r="P56" s="1527">
        <f t="shared" si="73"/>
        <v>5.3299492385786795E-2</v>
      </c>
      <c r="Q56" s="1527">
        <f t="shared" si="73"/>
        <v>4.2898728359123568E-3</v>
      </c>
      <c r="R56" s="1476"/>
      <c r="S56" s="1474"/>
      <c r="T56" s="1475"/>
      <c r="U56" s="1475"/>
      <c r="V56" s="1475"/>
      <c r="X56" s="1528"/>
      <c r="Y56" s="1528"/>
      <c r="Z56" s="1528"/>
    </row>
    <row r="57" spans="1:26">
      <c r="A57" s="1463" t="s">
        <v>1197</v>
      </c>
      <c r="B57" s="1479">
        <f t="shared" si="74"/>
        <v>124.29032258064517</v>
      </c>
      <c r="C57" s="1479">
        <f t="shared" si="74"/>
        <v>123.8968609865471</v>
      </c>
      <c r="D57" s="1479">
        <f t="shared" si="44"/>
        <v>123.8968609865471</v>
      </c>
      <c r="E57" s="1479">
        <f t="shared" si="75"/>
        <v>138.00507614213197</v>
      </c>
      <c r="F57" s="1479">
        <f t="shared" si="75"/>
        <v>107.96106557377048</v>
      </c>
      <c r="G57" s="3328">
        <v>2005</v>
      </c>
      <c r="H57" s="1467">
        <v>2</v>
      </c>
      <c r="I57" s="1467">
        <v>0.47</v>
      </c>
      <c r="J57" s="1467">
        <v>0.1</v>
      </c>
      <c r="K57" s="1467">
        <v>0.52</v>
      </c>
      <c r="L57" s="1481">
        <v>0.79</v>
      </c>
      <c r="N57" s="1526">
        <f t="shared" si="72"/>
        <v>1.420065760241713E-2</v>
      </c>
      <c r="O57" s="1527">
        <f t="shared" si="72"/>
        <v>3.3080938028376083E-3</v>
      </c>
      <c r="P57" s="1527">
        <f t="shared" si="73"/>
        <v>6.598984771573603E-2</v>
      </c>
      <c r="Q57" s="1527">
        <f t="shared" si="73"/>
        <v>5.2953117818293153E-3</v>
      </c>
      <c r="R57" s="1476"/>
      <c r="S57" s="1474"/>
      <c r="T57" s="1475"/>
      <c r="U57" s="1475"/>
      <c r="V57" s="1475"/>
      <c r="X57" s="1528"/>
      <c r="Y57" s="1528"/>
      <c r="Z57" s="1528"/>
    </row>
    <row r="58" spans="1:26">
      <c r="A58" s="1463" t="s">
        <v>1198</v>
      </c>
      <c r="B58" s="1479">
        <f t="shared" si="74"/>
        <v>122.57204301075269</v>
      </c>
      <c r="C58" s="1479">
        <f t="shared" si="74"/>
        <v>123.4932735426009</v>
      </c>
      <c r="D58" s="1479">
        <f t="shared" si="44"/>
        <v>123.4932735426009</v>
      </c>
      <c r="E58" s="1479">
        <f t="shared" si="75"/>
        <v>129.82233502538071</v>
      </c>
      <c r="F58" s="1479">
        <f t="shared" si="75"/>
        <v>107.39446721311475</v>
      </c>
      <c r="G58" s="3329">
        <v>2005</v>
      </c>
      <c r="H58" s="1466">
        <v>1</v>
      </c>
      <c r="I58" s="1466">
        <v>0.43</v>
      </c>
      <c r="J58" s="1466">
        <v>0.37</v>
      </c>
      <c r="K58" s="1466">
        <v>0.37</v>
      </c>
      <c r="L58" s="1480">
        <v>0.55000000000000004</v>
      </c>
      <c r="N58" s="1529">
        <f t="shared" si="72"/>
        <v>1.2992090997956099E-2</v>
      </c>
      <c r="O58" s="1530">
        <f t="shared" si="72"/>
        <v>1.2239947070499151E-2</v>
      </c>
      <c r="P58" s="1530">
        <f t="shared" si="73"/>
        <v>4.6954314720812178E-2</v>
      </c>
      <c r="Q58" s="1530">
        <f t="shared" si="73"/>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4"/>
        <v>122</v>
      </c>
      <c r="E59" s="1513">
        <v>124</v>
      </c>
      <c r="F59" s="1514">
        <v>107</v>
      </c>
      <c r="G59" s="3327">
        <v>2004</v>
      </c>
      <c r="H59" s="1484">
        <v>4</v>
      </c>
      <c r="I59" s="1484">
        <v>0.33</v>
      </c>
      <c r="J59" s="1484">
        <v>0.5</v>
      </c>
      <c r="K59" s="1484">
        <v>0.5</v>
      </c>
      <c r="L59" s="1485">
        <v>0</v>
      </c>
      <c r="N59" s="1526">
        <f t="shared" ref="N59:O62" si="76">I59/SUM(I$59:I$62)*(B$59/B$63-1)</f>
        <v>1.3391770148526898E-2</v>
      </c>
      <c r="O59" s="1527">
        <f t="shared" si="76"/>
        <v>1.063264221158958E-2</v>
      </c>
      <c r="P59" s="1527">
        <f t="shared" ref="P59:Q62" si="77">K59/SUM(K$59:K$62)*(E$59/E$63-1)</f>
        <v>2.2244466688911134E-2</v>
      </c>
      <c r="Q59" s="1527">
        <f t="shared" si="77"/>
        <v>0</v>
      </c>
      <c r="R59" s="1476"/>
      <c r="S59" s="1477"/>
      <c r="T59" s="1478"/>
      <c r="U59" s="1478"/>
      <c r="V59" s="1478"/>
      <c r="X59" s="1528"/>
      <c r="Y59" s="1528"/>
      <c r="Z59" s="1528"/>
    </row>
    <row r="60" spans="1:26">
      <c r="A60" s="1463" t="s">
        <v>1200</v>
      </c>
      <c r="B60" s="1479">
        <f t="shared" ref="B60:C62" si="78">B61+(B$59-B$63)*I60/SUM(I$59:I$62)</f>
        <v>119.51351351351352</v>
      </c>
      <c r="C60" s="1479">
        <f t="shared" si="78"/>
        <v>120.7878787878788</v>
      </c>
      <c r="D60" s="1479">
        <f t="shared" si="44"/>
        <v>120.7878787878788</v>
      </c>
      <c r="E60" s="1479">
        <f t="shared" ref="E60:F62" si="79">E61+(E$59-E$63)*K60/SUM(K$59:K$62)</f>
        <v>121.5975975975976</v>
      </c>
      <c r="F60" s="1479">
        <f t="shared" si="79"/>
        <v>107</v>
      </c>
      <c r="G60" s="3328">
        <v>2004</v>
      </c>
      <c r="H60" s="1489">
        <v>3</v>
      </c>
      <c r="I60" s="1489">
        <v>0.56000000000000005</v>
      </c>
      <c r="J60" s="1489">
        <v>0.8</v>
      </c>
      <c r="K60" s="1489">
        <v>0.83</v>
      </c>
      <c r="L60" s="1490">
        <v>0.06</v>
      </c>
      <c r="N60" s="1526">
        <f t="shared" si="76"/>
        <v>2.2725428130833527E-2</v>
      </c>
      <c r="O60" s="1527">
        <f t="shared" si="76"/>
        <v>1.7012227538543329E-2</v>
      </c>
      <c r="P60" s="1527">
        <f t="shared" si="77"/>
        <v>3.6925814703592477E-2</v>
      </c>
      <c r="Q60" s="1527">
        <f t="shared" si="77"/>
        <v>2.8846153846153744E-2</v>
      </c>
      <c r="R60" s="1476"/>
      <c r="S60" s="1474"/>
      <c r="T60" s="1475"/>
      <c r="U60" s="1475"/>
      <c r="V60" s="1475"/>
      <c r="X60" s="1528"/>
      <c r="Y60" s="1528"/>
      <c r="Z60" s="1528"/>
    </row>
    <row r="61" spans="1:26">
      <c r="A61" s="1463" t="s">
        <v>1201</v>
      </c>
      <c r="B61" s="1479">
        <f t="shared" si="78"/>
        <v>116.99099099099099</v>
      </c>
      <c r="C61" s="1479">
        <f t="shared" si="78"/>
        <v>118.84848484848486</v>
      </c>
      <c r="D61" s="1479">
        <f t="shared" si="44"/>
        <v>118.84848484848486</v>
      </c>
      <c r="E61" s="1479">
        <f t="shared" si="79"/>
        <v>117.60960960960961</v>
      </c>
      <c r="F61" s="1479">
        <f t="shared" si="79"/>
        <v>104</v>
      </c>
      <c r="G61" s="3328">
        <v>2004</v>
      </c>
      <c r="H61" s="1467">
        <v>2</v>
      </c>
      <c r="I61" s="1467">
        <v>1</v>
      </c>
      <c r="J61" s="1467">
        <v>1.5</v>
      </c>
      <c r="K61" s="1467">
        <v>1.5</v>
      </c>
      <c r="L61" s="1481">
        <v>0</v>
      </c>
      <c r="N61" s="1526">
        <f t="shared" si="76"/>
        <v>4.0581121662202721E-2</v>
      </c>
      <c r="O61" s="1527">
        <f t="shared" si="76"/>
        <v>3.1897926634768738E-2</v>
      </c>
      <c r="P61" s="1527">
        <f t="shared" si="77"/>
        <v>6.6733400066733395E-2</v>
      </c>
      <c r="Q61" s="1527">
        <f t="shared" si="77"/>
        <v>0</v>
      </c>
      <c r="R61" s="1476"/>
      <c r="S61" s="1474"/>
      <c r="T61" s="1475"/>
      <c r="U61" s="1475"/>
      <c r="V61" s="1475"/>
      <c r="X61" s="1528"/>
      <c r="Y61" s="1528"/>
      <c r="Z61" s="1528"/>
    </row>
    <row r="62" spans="1:26" s="1519" customFormat="1" ht="13.5" thickBot="1">
      <c r="A62" s="1463" t="s">
        <v>1202</v>
      </c>
      <c r="B62" s="1516">
        <f t="shared" si="78"/>
        <v>112.48648648648648</v>
      </c>
      <c r="C62" s="1516">
        <f t="shared" si="78"/>
        <v>115.21212121212122</v>
      </c>
      <c r="D62" s="1516">
        <f t="shared" si="44"/>
        <v>115.21212121212122</v>
      </c>
      <c r="E62" s="1516">
        <f t="shared" si="79"/>
        <v>110.4024024024024</v>
      </c>
      <c r="F62" s="1516">
        <f t="shared" si="79"/>
        <v>104</v>
      </c>
      <c r="G62" s="3329">
        <v>2004</v>
      </c>
      <c r="H62" s="1517">
        <v>1</v>
      </c>
      <c r="I62" s="1517">
        <v>0.33</v>
      </c>
      <c r="J62" s="1517">
        <v>0.5</v>
      </c>
      <c r="K62" s="1517">
        <v>0.5</v>
      </c>
      <c r="L62" s="1518">
        <v>0</v>
      </c>
      <c r="N62" s="1531">
        <f t="shared" si="76"/>
        <v>1.3391770148526898E-2</v>
      </c>
      <c r="O62" s="1532">
        <f t="shared" si="76"/>
        <v>1.063264221158958E-2</v>
      </c>
      <c r="P62" s="1532">
        <f t="shared" si="77"/>
        <v>2.2244466688911134E-2</v>
      </c>
      <c r="Q62" s="1532">
        <f t="shared" si="77"/>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4"/>
        <v>114</v>
      </c>
      <c r="E63" s="1534">
        <v>108</v>
      </c>
      <c r="F63" s="1535">
        <v>104</v>
      </c>
      <c r="G63" s="3327">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0">B65+(B$63-B$67)/4</f>
        <v>109.75</v>
      </c>
      <c r="C64" s="1538">
        <f t="shared" si="80"/>
        <v>112.25</v>
      </c>
      <c r="D64" s="1538">
        <f t="shared" si="44"/>
        <v>112.25</v>
      </c>
      <c r="E64" s="1538">
        <f t="shared" ref="E64:F66" si="81">E65+(E$63-E$67)/4</f>
        <v>107.25</v>
      </c>
      <c r="F64" s="1538">
        <f t="shared" si="81"/>
        <v>103.5</v>
      </c>
      <c r="G64" s="3328">
        <v>2003</v>
      </c>
      <c r="H64" s="1489">
        <v>3</v>
      </c>
      <c r="I64" s="1536"/>
      <c r="J64" s="1536"/>
      <c r="K64" s="1536"/>
      <c r="L64" s="1536"/>
      <c r="X64" s="1528"/>
      <c r="Y64" s="1528"/>
      <c r="Z64" s="1528"/>
    </row>
    <row r="65" spans="1:26">
      <c r="A65" s="1463" t="s">
        <v>1205</v>
      </c>
      <c r="B65" s="1538">
        <f t="shared" si="80"/>
        <v>108.5</v>
      </c>
      <c r="C65" s="1538">
        <f t="shared" si="80"/>
        <v>110.5</v>
      </c>
      <c r="D65" s="1538">
        <f t="shared" si="44"/>
        <v>110.5</v>
      </c>
      <c r="E65" s="1538">
        <f t="shared" si="81"/>
        <v>106.5</v>
      </c>
      <c r="F65" s="1538">
        <f t="shared" si="81"/>
        <v>103</v>
      </c>
      <c r="G65" s="3328">
        <v>2003</v>
      </c>
      <c r="H65" s="1467">
        <v>2</v>
      </c>
      <c r="I65" s="1536"/>
      <c r="J65" s="1536"/>
      <c r="K65" s="1536"/>
      <c r="L65" s="1536"/>
      <c r="X65" s="1528"/>
      <c r="Y65" s="1528"/>
      <c r="Z65" s="1528"/>
    </row>
    <row r="66" spans="1:26" ht="13.5" thickBot="1">
      <c r="A66" s="1463" t="s">
        <v>1206</v>
      </c>
      <c r="B66" s="1538">
        <f t="shared" si="80"/>
        <v>107.25</v>
      </c>
      <c r="C66" s="1538">
        <f t="shared" si="80"/>
        <v>108.75</v>
      </c>
      <c r="D66" s="1538">
        <f t="shared" si="44"/>
        <v>108.75</v>
      </c>
      <c r="E66" s="1538">
        <f t="shared" si="81"/>
        <v>105.75</v>
      </c>
      <c r="F66" s="1538">
        <f t="shared" si="81"/>
        <v>102.5</v>
      </c>
      <c r="G66" s="3329">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4"/>
        <v>107</v>
      </c>
      <c r="E67" s="1540">
        <v>105</v>
      </c>
      <c r="F67" s="1541">
        <v>102</v>
      </c>
      <c r="G67" s="3327">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2">B69+(B$67-B$71)/4</f>
        <v>105</v>
      </c>
      <c r="C68" s="1538">
        <f t="shared" si="82"/>
        <v>106</v>
      </c>
      <c r="D68" s="1538">
        <f t="shared" si="44"/>
        <v>106</v>
      </c>
      <c r="E68" s="1538">
        <f t="shared" ref="E68:F70" si="83">E69+(E$67-E$71)/4</f>
        <v>104.5</v>
      </c>
      <c r="F68" s="1538">
        <f t="shared" si="83"/>
        <v>101.5</v>
      </c>
      <c r="G68" s="3328">
        <v>2002</v>
      </c>
      <c r="H68" s="1489">
        <v>3</v>
      </c>
      <c r="I68" s="1536"/>
      <c r="J68" s="1536"/>
      <c r="K68" s="1536"/>
      <c r="L68" s="1536"/>
      <c r="X68" s="1528"/>
      <c r="Y68" s="1528"/>
      <c r="Z68" s="1528"/>
    </row>
    <row r="69" spans="1:26">
      <c r="A69" s="1463" t="s">
        <v>1209</v>
      </c>
      <c r="B69" s="1538">
        <f t="shared" si="82"/>
        <v>104</v>
      </c>
      <c r="C69" s="1538">
        <f t="shared" si="82"/>
        <v>105</v>
      </c>
      <c r="D69" s="1538">
        <f t="shared" si="44"/>
        <v>105</v>
      </c>
      <c r="E69" s="1538">
        <f t="shared" si="83"/>
        <v>104</v>
      </c>
      <c r="F69" s="1538">
        <f t="shared" si="83"/>
        <v>101</v>
      </c>
      <c r="G69" s="3328">
        <v>2002</v>
      </c>
      <c r="H69" s="1467">
        <v>2</v>
      </c>
      <c r="I69" s="1536"/>
      <c r="J69" s="1536"/>
      <c r="K69" s="1536"/>
      <c r="L69" s="1536"/>
      <c r="X69" s="1528"/>
      <c r="Y69" s="1528"/>
      <c r="Z69" s="1528"/>
    </row>
    <row r="70" spans="1:26" s="1500" customFormat="1" ht="13.5" thickBot="1">
      <c r="A70" s="1496" t="s">
        <v>1210</v>
      </c>
      <c r="B70" s="1542">
        <f t="shared" si="82"/>
        <v>103</v>
      </c>
      <c r="C70" s="1542">
        <f t="shared" si="82"/>
        <v>104</v>
      </c>
      <c r="D70" s="1542">
        <f t="shared" si="44"/>
        <v>104</v>
      </c>
      <c r="E70" s="1542">
        <f t="shared" si="83"/>
        <v>103.5</v>
      </c>
      <c r="F70" s="1542">
        <f t="shared" si="83"/>
        <v>100.5</v>
      </c>
      <c r="G70" s="3329">
        <v>2002</v>
      </c>
      <c r="H70" s="1543">
        <v>1</v>
      </c>
      <c r="I70" s="1544"/>
      <c r="J70" s="1544"/>
      <c r="K70" s="1544"/>
      <c r="L70" s="1544"/>
      <c r="N70" s="1545"/>
      <c r="S70" s="1545"/>
      <c r="X70" s="1546"/>
      <c r="Y70" s="1546"/>
      <c r="Z70" s="1546"/>
    </row>
    <row r="71" spans="1:26" ht="13.5" thickBot="1">
      <c r="B71" s="1547">
        <v>102</v>
      </c>
      <c r="C71" s="1548">
        <v>103</v>
      </c>
      <c r="D71" s="1548">
        <f t="shared" si="44"/>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2994</v>
      </c>
      <c r="C1" s="3338" t="s">
        <v>2995</v>
      </c>
      <c r="D1" s="3339"/>
      <c r="E1" s="3339"/>
      <c r="F1" s="3339"/>
      <c r="G1" s="3339"/>
      <c r="H1" s="3339"/>
      <c r="I1" s="3339"/>
      <c r="J1" s="3339"/>
      <c r="K1" s="3339"/>
      <c r="L1" s="3339"/>
      <c r="M1" s="3339"/>
      <c r="N1" s="3339"/>
      <c r="O1" s="3339"/>
      <c r="P1" s="3339"/>
      <c r="Q1" s="3339"/>
      <c r="R1" s="3339"/>
      <c r="S1" s="3340"/>
      <c r="T1" s="1206" t="s">
        <v>2996</v>
      </c>
    </row>
    <row r="2" spans="1:45" s="706" customFormat="1">
      <c r="A2" s="1207"/>
      <c r="B2" s="702" t="s">
        <v>2997</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2998</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2999</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3000</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3001</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3002</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3003</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4" t="s">
        <v>3004</v>
      </c>
      <c r="B17" s="2915" t="s">
        <v>3005</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16" t="s">
        <v>3006</v>
      </c>
      <c r="E19" s="1794"/>
      <c r="F19" s="1794"/>
      <c r="G19" s="1794"/>
      <c r="H19" s="1282"/>
      <c r="I19" s="167"/>
      <c r="J19" s="167"/>
      <c r="K19" s="167"/>
      <c r="L19" s="167"/>
      <c r="M19" s="167"/>
      <c r="N19" s="167"/>
      <c r="O19" s="167"/>
      <c r="P19" s="167"/>
      <c r="Q19" s="167"/>
      <c r="R19" s="787"/>
      <c r="S19" s="137"/>
    </row>
    <row r="20" spans="1:45" ht="16.5" thickBot="1">
      <c r="A20" s="714" t="s">
        <v>3007</v>
      </c>
      <c r="B20" s="337" t="e">
        <f ca="1">IF(D20="——",S22,S22-F20)</f>
        <v>#REF!</v>
      </c>
      <c r="C20" s="167"/>
      <c r="D20" s="2917" t="s">
        <v>3008</v>
      </c>
      <c r="E20" s="1795"/>
      <c r="F20" s="1206" t="e">
        <f ca="1">SUMIF(INDIRECT("'"&amp;H20&amp;"'"&amp;"!A:A"),"承租人权益价值",INDIRECT("'"&amp;H20&amp;"'"&amp;"!c:c"))</f>
        <v>#REF!</v>
      </c>
      <c r="G20" s="1206" t="s">
        <v>3009</v>
      </c>
      <c r="H20" s="2918"/>
      <c r="I20" s="167"/>
      <c r="J20" s="167"/>
      <c r="K20" s="167"/>
      <c r="L20" s="167"/>
      <c r="M20" s="167"/>
      <c r="N20" s="167"/>
      <c r="O20" s="167"/>
      <c r="P20" s="167"/>
      <c r="Q20" s="167"/>
      <c r="R20" s="787"/>
      <c r="S20" s="137"/>
    </row>
    <row r="21" spans="1:45" ht="15.75">
      <c r="A21" s="714" t="s">
        <v>3010</v>
      </c>
      <c r="B21" s="337">
        <f>R22</f>
        <v>10000</v>
      </c>
      <c r="C21" s="167"/>
      <c r="D21" s="167"/>
      <c r="E21" s="167"/>
      <c r="F21" s="167"/>
      <c r="G21" s="167"/>
      <c r="H21" s="167"/>
      <c r="I21" s="167"/>
      <c r="J21" s="167"/>
      <c r="K21" s="167"/>
      <c r="L21" s="167"/>
      <c r="M21" s="167"/>
      <c r="N21" s="167"/>
      <c r="O21" s="167"/>
      <c r="P21" s="167"/>
      <c r="Q21" s="167"/>
      <c r="R21" s="787"/>
      <c r="S21" s="137"/>
    </row>
    <row r="22" spans="1:45">
      <c r="A22" s="360" t="s">
        <v>3011</v>
      </c>
      <c r="B22" s="24">
        <f>SUM(B24:B10000)</f>
        <v>100</v>
      </c>
      <c r="C22" s="3196" t="s">
        <v>33</v>
      </c>
      <c r="D22" s="3197"/>
      <c r="E22" s="3197"/>
      <c r="F22" s="3197"/>
      <c r="G22" s="3197"/>
      <c r="H22" s="3197"/>
      <c r="I22" s="3197"/>
      <c r="J22" s="3197"/>
      <c r="K22" s="3197"/>
      <c r="L22" s="3197"/>
      <c r="M22" s="3197"/>
      <c r="N22" s="3197"/>
      <c r="O22" s="3197"/>
      <c r="P22" s="3197"/>
      <c r="Q22" s="3337"/>
      <c r="R22" s="715">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6" t="s">
        <v>3015</v>
      </c>
      <c r="S23" s="11" t="s">
        <v>3016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3017</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142275</v>
      </c>
      <c r="C2" s="2" t="s">
        <v>133</v>
      </c>
      <c r="D2" s="242"/>
      <c r="E2" s="242"/>
      <c r="F2" s="242"/>
      <c r="G2" s="242"/>
    </row>
    <row r="3" spans="1:7" s="243" customFormat="1" ht="18" customHeight="1" thickBot="1">
      <c r="A3" s="246" t="s">
        <v>85</v>
      </c>
      <c r="B3" s="247">
        <f ca="1">ROUND(B2*10000/'数据-汇总表'!E3,0)</f>
        <v>7965</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714</v>
      </c>
      <c r="D10" s="1034">
        <f>'数据-汇总表'!E6</f>
        <v>178615</v>
      </c>
      <c r="E10" s="268">
        <f>'数据-取费表'!B28</f>
        <v>40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3572</v>
      </c>
      <c r="D19" s="1038">
        <f>'数据-汇总表'!E3</f>
        <v>178615</v>
      </c>
      <c r="E19" s="254">
        <f>'数据-取费表'!B31</f>
        <v>200</v>
      </c>
      <c r="F19" s="274"/>
      <c r="G19" s="1" t="s">
        <v>1074</v>
      </c>
    </row>
    <row r="20" spans="1:7" s="257" customFormat="1" ht="13.5" customHeight="1">
      <c r="A20" s="950" t="s">
        <v>1057</v>
      </c>
      <c r="B20" s="253" t="s">
        <v>104</v>
      </c>
      <c r="C20" s="275">
        <f>ROUND((C5+C19)*F20,0)</f>
        <v>363</v>
      </c>
      <c r="D20" s="275"/>
      <c r="E20" s="275"/>
      <c r="F20" s="276">
        <f>'数据-取费表'!B37</f>
        <v>1.4999999999999999E-2</v>
      </c>
      <c r="G20" s="1291"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2245</v>
      </c>
      <c r="D22" s="278">
        <f ca="1">C26</f>
        <v>8.9999999999999998E-4</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1900</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329</v>
      </c>
      <c r="D24" s="281"/>
      <c r="E24" s="281"/>
      <c r="F24" s="282"/>
      <c r="G24" s="283" t="s">
        <v>109</v>
      </c>
    </row>
    <row r="25" spans="1:7" s="257" customFormat="1" ht="24">
      <c r="A25" s="953" t="s">
        <v>793</v>
      </c>
      <c r="B25" s="258" t="s">
        <v>1058</v>
      </c>
      <c r="C25" s="1357">
        <f ca="1">ROUND(IF('数据-取费表'!B22&lt;=1,C20*F22*'数据-取费表'!B23/2,C20*(POWER((1+F22),'数据-取费表'!B23/2)-1)),0)</f>
        <v>16</v>
      </c>
      <c r="D25" s="281"/>
      <c r="E25" s="284"/>
      <c r="F25" s="282"/>
      <c r="G25" s="285" t="s">
        <v>110</v>
      </c>
    </row>
    <row r="26" spans="1:7" s="257" customFormat="1">
      <c r="A26" s="953" t="s">
        <v>795</v>
      </c>
      <c r="B26" s="258" t="s">
        <v>1060</v>
      </c>
      <c r="C26" s="281">
        <f ca="1">ROUND(IF('数据-取费表'!B22&lt;=1,F21*F22*'数据-取费表'!B23/2,F21*(POWER((1+F22),'数据-取费表'!B23/2)-1)),4)</f>
        <v>8.9999999999999998E-4</v>
      </c>
      <c r="D26" s="281"/>
      <c r="E26" s="284"/>
      <c r="F26" s="282"/>
      <c r="G26" s="286"/>
    </row>
    <row r="27" spans="1:7" s="257" customFormat="1" ht="24.75">
      <c r="A27" s="950" t="s">
        <v>787</v>
      </c>
      <c r="B27" s="287" t="s">
        <v>112</v>
      </c>
      <c r="C27" s="288">
        <f>C28</f>
        <v>1865</v>
      </c>
      <c r="D27" s="278">
        <f>C29</f>
        <v>1.5E-3</v>
      </c>
      <c r="E27" s="279" t="s">
        <v>126</v>
      </c>
      <c r="F27" s="289">
        <f>'数据-取费表'!Q16</f>
        <v>0.08</v>
      </c>
      <c r="G27" s="290" t="s">
        <v>1069</v>
      </c>
    </row>
    <row r="28" spans="1:7" s="257" customFormat="1" ht="13.5" customHeight="1">
      <c r="A28" s="953" t="s">
        <v>794</v>
      </c>
      <c r="B28" s="291" t="s">
        <v>1062</v>
      </c>
      <c r="C28" s="292">
        <f>ROUND((C5+C19+C20)*F27*'数据-取费表'!B21/'数据-取费表'!B20,0)</f>
        <v>1865</v>
      </c>
      <c r="D28" s="278"/>
      <c r="E28" s="279"/>
      <c r="F28" s="289"/>
      <c r="G28" s="290"/>
    </row>
    <row r="29" spans="1:7" s="257" customFormat="1" ht="13.5" customHeight="1">
      <c r="A29" s="953" t="s">
        <v>792</v>
      </c>
      <c r="B29" s="291" t="s">
        <v>1063</v>
      </c>
      <c r="C29" s="281">
        <f>ROUND(C21*F27*'数据-取费表'!B21/'数据-取费表'!B20,4)</f>
        <v>1.5E-3</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31003</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90051</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82925</v>
      </c>
      <c r="D34" s="260"/>
      <c r="E34" s="263"/>
      <c r="F34" s="300">
        <f>IF('数据-取费表'!B24=0,1,'数据-取费表'!N16)</f>
        <v>0.95</v>
      </c>
      <c r="G34" s="262" t="s">
        <v>116</v>
      </c>
    </row>
    <row r="35" spans="1:7" ht="13.5" customHeight="1">
      <c r="A35" s="953" t="s">
        <v>796</v>
      </c>
      <c r="B35" s="258" t="s">
        <v>60</v>
      </c>
      <c r="C35" s="263">
        <f>ROUND(C34*F35,0)</f>
        <v>2488</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3394</v>
      </c>
      <c r="D37" s="260">
        <f>'数据-汇总表'!E3</f>
        <v>178615</v>
      </c>
      <c r="E37" s="292">
        <f>'数据-取费表'!B35</f>
        <v>200</v>
      </c>
      <c r="F37" s="302"/>
      <c r="G37" s="304" t="s">
        <v>119</v>
      </c>
    </row>
    <row r="38" spans="1:7" ht="13.5" customHeight="1">
      <c r="A38" s="953" t="s">
        <v>799</v>
      </c>
      <c r="B38" s="258" t="s">
        <v>63</v>
      </c>
      <c r="C38" s="263">
        <f>ROUND(C34*F38,0)</f>
        <v>1244</v>
      </c>
      <c r="D38" s="263"/>
      <c r="E38" s="263"/>
      <c r="F38" s="302">
        <f>'数据-取费表'!B36</f>
        <v>1.4999999999999999E-2</v>
      </c>
      <c r="G38" s="262" t="s">
        <v>117</v>
      </c>
    </row>
    <row r="39" spans="1:7" s="257" customFormat="1" ht="13.5" customHeight="1">
      <c r="A39" s="950" t="s">
        <v>783</v>
      </c>
      <c r="B39" s="253" t="s">
        <v>104</v>
      </c>
      <c r="C39" s="275">
        <f>ROUND(C33*F20,0)</f>
        <v>1351</v>
      </c>
      <c r="D39" s="275"/>
      <c r="E39" s="275"/>
      <c r="F39" s="276"/>
      <c r="G39" s="1291"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4120</v>
      </c>
      <c r="D41" s="278">
        <f ca="1">C44</f>
        <v>8.9999999999999998E-4</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4059</v>
      </c>
      <c r="D42" s="281"/>
      <c r="E42" s="281"/>
      <c r="F42" s="282"/>
      <c r="G42" s="3201" t="s">
        <v>121</v>
      </c>
    </row>
    <row r="43" spans="1:7" ht="13.5" customHeight="1">
      <c r="A43" s="953" t="s">
        <v>792</v>
      </c>
      <c r="B43" s="258" t="s">
        <v>1064</v>
      </c>
      <c r="C43" s="281">
        <f ca="1">ROUND(IF('数据-取费表'!B22&lt;=1,C39*F22*'数据-取费表'!B21/2,C39*(POWER((1+F22),'数据-取费表'!B21/2)-1)),0)</f>
        <v>61</v>
      </c>
      <c r="D43" s="281"/>
      <c r="E43" s="281"/>
      <c r="F43" s="282"/>
      <c r="G43" s="3202"/>
    </row>
    <row r="44" spans="1:7" ht="13.5" customHeight="1">
      <c r="A44" s="953" t="s">
        <v>793</v>
      </c>
      <c r="B44" s="258" t="s">
        <v>1066</v>
      </c>
      <c r="C44" s="281">
        <f ca="1">ROUND(IF('数据-取费表'!B22&lt;=1,C40*F22*'数据-取费表'!B21/2,C40*(POWER((1+F22),'数据-取费表'!B21/2)-1)),4)</f>
        <v>8.9999999999999998E-4</v>
      </c>
      <c r="D44" s="281"/>
      <c r="E44" s="281"/>
      <c r="F44" s="282"/>
      <c r="G44" s="3203"/>
    </row>
    <row r="45" spans="1:7" s="257" customFormat="1" ht="13.5" customHeight="1">
      <c r="A45" s="950" t="s">
        <v>786</v>
      </c>
      <c r="B45" s="287" t="s">
        <v>112</v>
      </c>
      <c r="C45" s="288">
        <f>C46</f>
        <v>7312</v>
      </c>
      <c r="D45" s="278">
        <f>C47</f>
        <v>1.6000000000000001E-3</v>
      </c>
      <c r="E45" s="279" t="s">
        <v>129</v>
      </c>
      <c r="F45" s="289"/>
      <c r="G45" s="290" t="s">
        <v>1072</v>
      </c>
    </row>
    <row r="46" spans="1:7" s="257" customFormat="1" ht="13.5" customHeight="1">
      <c r="A46" s="953" t="s">
        <v>794</v>
      </c>
      <c r="B46" s="291" t="s">
        <v>1065</v>
      </c>
      <c r="C46" s="292">
        <f>ROUND((C33+C39)*F27,0)</f>
        <v>7312</v>
      </c>
      <c r="D46" s="306"/>
      <c r="E46" s="279"/>
      <c r="F46" s="289"/>
      <c r="G46" s="290"/>
    </row>
    <row r="47" spans="1:7" s="257" customFormat="1" ht="13.5" customHeight="1">
      <c r="A47" s="953" t="s">
        <v>792</v>
      </c>
      <c r="B47" s="291" t="s">
        <v>1067</v>
      </c>
      <c r="C47" s="281">
        <f>ROUND(C40*F27,4)</f>
        <v>1.6000000000000001E-3</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111272</v>
      </c>
      <c r="D49" s="275"/>
      <c r="E49" s="275"/>
      <c r="F49" s="307"/>
      <c r="G49" s="277" t="s">
        <v>1073</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111272</v>
      </c>
      <c r="D51" s="275"/>
      <c r="E51" s="275"/>
      <c r="F51" s="307"/>
      <c r="G51" s="277" t="s">
        <v>64</v>
      </c>
    </row>
    <row r="52" spans="1:7" s="251" customFormat="1" ht="16.5" thickBot="1">
      <c r="A52" s="308" t="s">
        <v>65</v>
      </c>
      <c r="B52" s="309"/>
      <c r="C52" s="310">
        <f ca="1">C31+C51</f>
        <v>142275</v>
      </c>
      <c r="D52" s="309"/>
      <c r="E52" s="309"/>
      <c r="F52" s="309"/>
      <c r="G52" s="311"/>
    </row>
    <row r="55" spans="1:7" ht="15">
      <c r="B55" s="313" t="s">
        <v>66</v>
      </c>
      <c r="C55" s="314"/>
    </row>
    <row r="56" spans="1:7">
      <c r="B56" s="316" t="s">
        <v>67</v>
      </c>
      <c r="C56" s="317">
        <f ca="1">ROUND(C51/C52,3)</f>
        <v>0.78200000000000003</v>
      </c>
    </row>
    <row r="57" spans="1:7">
      <c r="B57" s="316" t="s">
        <v>68</v>
      </c>
      <c r="C57" s="318">
        <f ca="1">1-C56</f>
        <v>0.21799999999999997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41" t="s">
        <v>156</v>
      </c>
      <c r="B1" s="3341"/>
      <c r="C1" s="3341"/>
      <c r="D1" s="3341"/>
      <c r="E1" s="3341"/>
      <c r="F1" s="334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42" t="s">
        <v>169</v>
      </c>
      <c r="B2" s="3342"/>
      <c r="C2" s="3342"/>
      <c r="D2" s="3342"/>
      <c r="E2" s="3342"/>
      <c r="F2" s="334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4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4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41" t="s">
        <v>871</v>
      </c>
      <c r="B1" s="3341"/>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43248</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129"/>
  <sheetViews>
    <sheetView topLeftCell="A61" workbookViewId="0">
      <selection activeCell="P83" sqref="A74:P83"/>
    </sheetView>
  </sheetViews>
  <sheetFormatPr defaultRowHeight="13.5"/>
  <sheetData>
    <row r="2" spans="18:18">
      <c r="R2" s="2974"/>
    </row>
    <row r="122" spans="1:4" ht="42.75">
      <c r="A122" s="2959" t="s">
        <v>3086</v>
      </c>
    </row>
    <row r="123" spans="1:4" ht="17.25" thickBot="1">
      <c r="A123" s="2960" t="s">
        <v>3087</v>
      </c>
      <c r="B123" s="2961" t="s">
        <v>3088</v>
      </c>
      <c r="C123" s="2961" t="s">
        <v>3089</v>
      </c>
      <c r="D123" s="2961" t="s">
        <v>3090</v>
      </c>
    </row>
    <row r="124" spans="1:4" ht="16.5">
      <c r="A124" s="2962">
        <v>2017.1</v>
      </c>
      <c r="B124" s="2963">
        <v>9308</v>
      </c>
      <c r="C124" s="2963">
        <v>0.92</v>
      </c>
      <c r="D124" s="2963"/>
    </row>
    <row r="125" spans="1:4" ht="16.5">
      <c r="A125" s="2964">
        <v>2017.2</v>
      </c>
      <c r="B125" s="2965">
        <v>9409</v>
      </c>
      <c r="C125" s="2965">
        <v>1.0900000000000001</v>
      </c>
      <c r="D125" s="2965"/>
    </row>
    <row r="126" spans="1:4" ht="16.5">
      <c r="A126" s="2962">
        <v>2017.3</v>
      </c>
      <c r="B126" s="2963">
        <v>9525</v>
      </c>
      <c r="C126" s="2963">
        <v>1.23</v>
      </c>
      <c r="D126" s="2963"/>
    </row>
    <row r="127" spans="1:4" ht="16.5">
      <c r="A127" s="2964">
        <v>2017.4</v>
      </c>
      <c r="B127" s="2965">
        <v>9636</v>
      </c>
      <c r="C127" s="2965">
        <v>1.17</v>
      </c>
      <c r="D127" s="2965"/>
    </row>
    <row r="128" spans="1:4" ht="16.5">
      <c r="A128" s="2966">
        <v>2018.1</v>
      </c>
      <c r="B128" s="2967">
        <v>9701</v>
      </c>
      <c r="C128" s="2967">
        <v>0.67</v>
      </c>
    </row>
    <row r="129" spans="3:3">
      <c r="C129">
        <f>AVERAGE(C124:C128)</f>
        <v>1.016</v>
      </c>
    </row>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312"/>
  <sheetViews>
    <sheetView workbookViewId="0">
      <selection activeCell="J10" sqref="J10"/>
    </sheetView>
  </sheetViews>
  <sheetFormatPr defaultRowHeight="14.25"/>
  <cols>
    <col min="1" max="1" width="4.5" style="2975" customWidth="1"/>
    <col min="2" max="2" width="42" style="2975" customWidth="1"/>
    <col min="3" max="3" width="22.125" style="2975" hidden="1" customWidth="1"/>
    <col min="4" max="4" width="21.25" style="2975" customWidth="1"/>
    <col min="5" max="5" width="20.625" style="2975" customWidth="1"/>
    <col min="6" max="6" width="34.5" style="2975" customWidth="1"/>
    <col min="7" max="7" width="17.75" style="2975" hidden="1" customWidth="1"/>
    <col min="8" max="8" width="13.875" style="2976" bestFit="1" customWidth="1"/>
    <col min="9" max="116" width="9" style="2976"/>
    <col min="117" max="256" width="9" style="2975"/>
    <col min="257" max="257" width="4.5" style="2975" customWidth="1"/>
    <col min="258" max="258" width="39.375" style="2975" customWidth="1"/>
    <col min="259" max="259" width="0" style="2975" hidden="1" customWidth="1"/>
    <col min="260" max="260" width="21.25" style="2975" customWidth="1"/>
    <col min="261" max="261" width="20.625" style="2975" customWidth="1"/>
    <col min="262" max="262" width="34.5" style="2975" customWidth="1"/>
    <col min="263" max="263" width="0" style="2975" hidden="1" customWidth="1"/>
    <col min="264" max="264" width="13.875" style="2975" bestFit="1" customWidth="1"/>
    <col min="265" max="512" width="9" style="2975"/>
    <col min="513" max="513" width="4.5" style="2975" customWidth="1"/>
    <col min="514" max="514" width="39.375" style="2975" customWidth="1"/>
    <col min="515" max="515" width="0" style="2975" hidden="1" customWidth="1"/>
    <col min="516" max="516" width="21.25" style="2975" customWidth="1"/>
    <col min="517" max="517" width="20.625" style="2975" customWidth="1"/>
    <col min="518" max="518" width="34.5" style="2975" customWidth="1"/>
    <col min="519" max="519" width="0" style="2975" hidden="1" customWidth="1"/>
    <col min="520" max="520" width="13.875" style="2975" bestFit="1" customWidth="1"/>
    <col min="521" max="768" width="9" style="2975"/>
    <col min="769" max="769" width="4.5" style="2975" customWidth="1"/>
    <col min="770" max="770" width="39.375" style="2975" customWidth="1"/>
    <col min="771" max="771" width="0" style="2975" hidden="1" customWidth="1"/>
    <col min="772" max="772" width="21.25" style="2975" customWidth="1"/>
    <col min="773" max="773" width="20.625" style="2975" customWidth="1"/>
    <col min="774" max="774" width="34.5" style="2975" customWidth="1"/>
    <col min="775" max="775" width="0" style="2975" hidden="1" customWidth="1"/>
    <col min="776" max="776" width="13.875" style="2975" bestFit="1" customWidth="1"/>
    <col min="777" max="1024" width="9" style="2975"/>
    <col min="1025" max="1025" width="4.5" style="2975" customWidth="1"/>
    <col min="1026" max="1026" width="39.375" style="2975" customWidth="1"/>
    <col min="1027" max="1027" width="0" style="2975" hidden="1" customWidth="1"/>
    <col min="1028" max="1028" width="21.25" style="2975" customWidth="1"/>
    <col min="1029" max="1029" width="20.625" style="2975" customWidth="1"/>
    <col min="1030" max="1030" width="34.5" style="2975" customWidth="1"/>
    <col min="1031" max="1031" width="0" style="2975" hidden="1" customWidth="1"/>
    <col min="1032" max="1032" width="13.875" style="2975" bestFit="1" customWidth="1"/>
    <col min="1033" max="1280" width="9" style="2975"/>
    <col min="1281" max="1281" width="4.5" style="2975" customWidth="1"/>
    <col min="1282" max="1282" width="39.375" style="2975" customWidth="1"/>
    <col min="1283" max="1283" width="0" style="2975" hidden="1" customWidth="1"/>
    <col min="1284" max="1284" width="21.25" style="2975" customWidth="1"/>
    <col min="1285" max="1285" width="20.625" style="2975" customWidth="1"/>
    <col min="1286" max="1286" width="34.5" style="2975" customWidth="1"/>
    <col min="1287" max="1287" width="0" style="2975" hidden="1" customWidth="1"/>
    <col min="1288" max="1288" width="13.875" style="2975" bestFit="1" customWidth="1"/>
    <col min="1289" max="1536" width="9" style="2975"/>
    <col min="1537" max="1537" width="4.5" style="2975" customWidth="1"/>
    <col min="1538" max="1538" width="39.375" style="2975" customWidth="1"/>
    <col min="1539" max="1539" width="0" style="2975" hidden="1" customWidth="1"/>
    <col min="1540" max="1540" width="21.25" style="2975" customWidth="1"/>
    <col min="1541" max="1541" width="20.625" style="2975" customWidth="1"/>
    <col min="1542" max="1542" width="34.5" style="2975" customWidth="1"/>
    <col min="1543" max="1543" width="0" style="2975" hidden="1" customWidth="1"/>
    <col min="1544" max="1544" width="13.875" style="2975" bestFit="1" customWidth="1"/>
    <col min="1545" max="1792" width="9" style="2975"/>
    <col min="1793" max="1793" width="4.5" style="2975" customWidth="1"/>
    <col min="1794" max="1794" width="39.375" style="2975" customWidth="1"/>
    <col min="1795" max="1795" width="0" style="2975" hidden="1" customWidth="1"/>
    <col min="1796" max="1796" width="21.25" style="2975" customWidth="1"/>
    <col min="1797" max="1797" width="20.625" style="2975" customWidth="1"/>
    <col min="1798" max="1798" width="34.5" style="2975" customWidth="1"/>
    <col min="1799" max="1799" width="0" style="2975" hidden="1" customWidth="1"/>
    <col min="1800" max="1800" width="13.875" style="2975" bestFit="1" customWidth="1"/>
    <col min="1801" max="2048" width="9" style="2975"/>
    <col min="2049" max="2049" width="4.5" style="2975" customWidth="1"/>
    <col min="2050" max="2050" width="39.375" style="2975" customWidth="1"/>
    <col min="2051" max="2051" width="0" style="2975" hidden="1" customWidth="1"/>
    <col min="2052" max="2052" width="21.25" style="2975" customWidth="1"/>
    <col min="2053" max="2053" width="20.625" style="2975" customWidth="1"/>
    <col min="2054" max="2054" width="34.5" style="2975" customWidth="1"/>
    <col min="2055" max="2055" width="0" style="2975" hidden="1" customWidth="1"/>
    <col min="2056" max="2056" width="13.875" style="2975" bestFit="1" customWidth="1"/>
    <col min="2057" max="2304" width="9" style="2975"/>
    <col min="2305" max="2305" width="4.5" style="2975" customWidth="1"/>
    <col min="2306" max="2306" width="39.375" style="2975" customWidth="1"/>
    <col min="2307" max="2307" width="0" style="2975" hidden="1" customWidth="1"/>
    <col min="2308" max="2308" width="21.25" style="2975" customWidth="1"/>
    <col min="2309" max="2309" width="20.625" style="2975" customWidth="1"/>
    <col min="2310" max="2310" width="34.5" style="2975" customWidth="1"/>
    <col min="2311" max="2311" width="0" style="2975" hidden="1" customWidth="1"/>
    <col min="2312" max="2312" width="13.875" style="2975" bestFit="1" customWidth="1"/>
    <col min="2313" max="2560" width="9" style="2975"/>
    <col min="2561" max="2561" width="4.5" style="2975" customWidth="1"/>
    <col min="2562" max="2562" width="39.375" style="2975" customWidth="1"/>
    <col min="2563" max="2563" width="0" style="2975" hidden="1" customWidth="1"/>
    <col min="2564" max="2564" width="21.25" style="2975" customWidth="1"/>
    <col min="2565" max="2565" width="20.625" style="2975" customWidth="1"/>
    <col min="2566" max="2566" width="34.5" style="2975" customWidth="1"/>
    <col min="2567" max="2567" width="0" style="2975" hidden="1" customWidth="1"/>
    <col min="2568" max="2568" width="13.875" style="2975" bestFit="1" customWidth="1"/>
    <col min="2569" max="2816" width="9" style="2975"/>
    <col min="2817" max="2817" width="4.5" style="2975" customWidth="1"/>
    <col min="2818" max="2818" width="39.375" style="2975" customWidth="1"/>
    <col min="2819" max="2819" width="0" style="2975" hidden="1" customWidth="1"/>
    <col min="2820" max="2820" width="21.25" style="2975" customWidth="1"/>
    <col min="2821" max="2821" width="20.625" style="2975" customWidth="1"/>
    <col min="2822" max="2822" width="34.5" style="2975" customWidth="1"/>
    <col min="2823" max="2823" width="0" style="2975" hidden="1" customWidth="1"/>
    <col min="2824" max="2824" width="13.875" style="2975" bestFit="1" customWidth="1"/>
    <col min="2825" max="3072" width="9" style="2975"/>
    <col min="3073" max="3073" width="4.5" style="2975" customWidth="1"/>
    <col min="3074" max="3074" width="39.375" style="2975" customWidth="1"/>
    <col min="3075" max="3075" width="0" style="2975" hidden="1" customWidth="1"/>
    <col min="3076" max="3076" width="21.25" style="2975" customWidth="1"/>
    <col min="3077" max="3077" width="20.625" style="2975" customWidth="1"/>
    <col min="3078" max="3078" width="34.5" style="2975" customWidth="1"/>
    <col min="3079" max="3079" width="0" style="2975" hidden="1" customWidth="1"/>
    <col min="3080" max="3080" width="13.875" style="2975" bestFit="1" customWidth="1"/>
    <col min="3081" max="3328" width="9" style="2975"/>
    <col min="3329" max="3329" width="4.5" style="2975" customWidth="1"/>
    <col min="3330" max="3330" width="39.375" style="2975" customWidth="1"/>
    <col min="3331" max="3331" width="0" style="2975" hidden="1" customWidth="1"/>
    <col min="3332" max="3332" width="21.25" style="2975" customWidth="1"/>
    <col min="3333" max="3333" width="20.625" style="2975" customWidth="1"/>
    <col min="3334" max="3334" width="34.5" style="2975" customWidth="1"/>
    <col min="3335" max="3335" width="0" style="2975" hidden="1" customWidth="1"/>
    <col min="3336" max="3336" width="13.875" style="2975" bestFit="1" customWidth="1"/>
    <col min="3337" max="3584" width="9" style="2975"/>
    <col min="3585" max="3585" width="4.5" style="2975" customWidth="1"/>
    <col min="3586" max="3586" width="39.375" style="2975" customWidth="1"/>
    <col min="3587" max="3587" width="0" style="2975" hidden="1" customWidth="1"/>
    <col min="3588" max="3588" width="21.25" style="2975" customWidth="1"/>
    <col min="3589" max="3589" width="20.625" style="2975" customWidth="1"/>
    <col min="3590" max="3590" width="34.5" style="2975" customWidth="1"/>
    <col min="3591" max="3591" width="0" style="2975" hidden="1" customWidth="1"/>
    <col min="3592" max="3592" width="13.875" style="2975" bestFit="1" customWidth="1"/>
    <col min="3593" max="3840" width="9" style="2975"/>
    <col min="3841" max="3841" width="4.5" style="2975" customWidth="1"/>
    <col min="3842" max="3842" width="39.375" style="2975" customWidth="1"/>
    <col min="3843" max="3843" width="0" style="2975" hidden="1" customWidth="1"/>
    <col min="3844" max="3844" width="21.25" style="2975" customWidth="1"/>
    <col min="3845" max="3845" width="20.625" style="2975" customWidth="1"/>
    <col min="3846" max="3846" width="34.5" style="2975" customWidth="1"/>
    <col min="3847" max="3847" width="0" style="2975" hidden="1" customWidth="1"/>
    <col min="3848" max="3848" width="13.875" style="2975" bestFit="1" customWidth="1"/>
    <col min="3849" max="4096" width="9" style="2975"/>
    <col min="4097" max="4097" width="4.5" style="2975" customWidth="1"/>
    <col min="4098" max="4098" width="39.375" style="2975" customWidth="1"/>
    <col min="4099" max="4099" width="0" style="2975" hidden="1" customWidth="1"/>
    <col min="4100" max="4100" width="21.25" style="2975" customWidth="1"/>
    <col min="4101" max="4101" width="20.625" style="2975" customWidth="1"/>
    <col min="4102" max="4102" width="34.5" style="2975" customWidth="1"/>
    <col min="4103" max="4103" width="0" style="2975" hidden="1" customWidth="1"/>
    <col min="4104" max="4104" width="13.875" style="2975" bestFit="1" customWidth="1"/>
    <col min="4105" max="4352" width="9" style="2975"/>
    <col min="4353" max="4353" width="4.5" style="2975" customWidth="1"/>
    <col min="4354" max="4354" width="39.375" style="2975" customWidth="1"/>
    <col min="4355" max="4355" width="0" style="2975" hidden="1" customWidth="1"/>
    <col min="4356" max="4356" width="21.25" style="2975" customWidth="1"/>
    <col min="4357" max="4357" width="20.625" style="2975" customWidth="1"/>
    <col min="4358" max="4358" width="34.5" style="2975" customWidth="1"/>
    <col min="4359" max="4359" width="0" style="2975" hidden="1" customWidth="1"/>
    <col min="4360" max="4360" width="13.875" style="2975" bestFit="1" customWidth="1"/>
    <col min="4361" max="4608" width="9" style="2975"/>
    <col min="4609" max="4609" width="4.5" style="2975" customWidth="1"/>
    <col min="4610" max="4610" width="39.375" style="2975" customWidth="1"/>
    <col min="4611" max="4611" width="0" style="2975" hidden="1" customWidth="1"/>
    <col min="4612" max="4612" width="21.25" style="2975" customWidth="1"/>
    <col min="4613" max="4613" width="20.625" style="2975" customWidth="1"/>
    <col min="4614" max="4614" width="34.5" style="2975" customWidth="1"/>
    <col min="4615" max="4615" width="0" style="2975" hidden="1" customWidth="1"/>
    <col min="4616" max="4616" width="13.875" style="2975" bestFit="1" customWidth="1"/>
    <col min="4617" max="4864" width="9" style="2975"/>
    <col min="4865" max="4865" width="4.5" style="2975" customWidth="1"/>
    <col min="4866" max="4866" width="39.375" style="2975" customWidth="1"/>
    <col min="4867" max="4867" width="0" style="2975" hidden="1" customWidth="1"/>
    <col min="4868" max="4868" width="21.25" style="2975" customWidth="1"/>
    <col min="4869" max="4869" width="20.625" style="2975" customWidth="1"/>
    <col min="4870" max="4870" width="34.5" style="2975" customWidth="1"/>
    <col min="4871" max="4871" width="0" style="2975" hidden="1" customWidth="1"/>
    <col min="4872" max="4872" width="13.875" style="2975" bestFit="1" customWidth="1"/>
    <col min="4873" max="5120" width="9" style="2975"/>
    <col min="5121" max="5121" width="4.5" style="2975" customWidth="1"/>
    <col min="5122" max="5122" width="39.375" style="2975" customWidth="1"/>
    <col min="5123" max="5123" width="0" style="2975" hidden="1" customWidth="1"/>
    <col min="5124" max="5124" width="21.25" style="2975" customWidth="1"/>
    <col min="5125" max="5125" width="20.625" style="2975" customWidth="1"/>
    <col min="5126" max="5126" width="34.5" style="2975" customWidth="1"/>
    <col min="5127" max="5127" width="0" style="2975" hidden="1" customWidth="1"/>
    <col min="5128" max="5128" width="13.875" style="2975" bestFit="1" customWidth="1"/>
    <col min="5129" max="5376" width="9" style="2975"/>
    <col min="5377" max="5377" width="4.5" style="2975" customWidth="1"/>
    <col min="5378" max="5378" width="39.375" style="2975" customWidth="1"/>
    <col min="5379" max="5379" width="0" style="2975" hidden="1" customWidth="1"/>
    <col min="5380" max="5380" width="21.25" style="2975" customWidth="1"/>
    <col min="5381" max="5381" width="20.625" style="2975" customWidth="1"/>
    <col min="5382" max="5382" width="34.5" style="2975" customWidth="1"/>
    <col min="5383" max="5383" width="0" style="2975" hidden="1" customWidth="1"/>
    <col min="5384" max="5384" width="13.875" style="2975" bestFit="1" customWidth="1"/>
    <col min="5385" max="5632" width="9" style="2975"/>
    <col min="5633" max="5633" width="4.5" style="2975" customWidth="1"/>
    <col min="5634" max="5634" width="39.375" style="2975" customWidth="1"/>
    <col min="5635" max="5635" width="0" style="2975" hidden="1" customWidth="1"/>
    <col min="5636" max="5636" width="21.25" style="2975" customWidth="1"/>
    <col min="5637" max="5637" width="20.625" style="2975" customWidth="1"/>
    <col min="5638" max="5638" width="34.5" style="2975" customWidth="1"/>
    <col min="5639" max="5639" width="0" style="2975" hidden="1" customWidth="1"/>
    <col min="5640" max="5640" width="13.875" style="2975" bestFit="1" customWidth="1"/>
    <col min="5641" max="5888" width="9" style="2975"/>
    <col min="5889" max="5889" width="4.5" style="2975" customWidth="1"/>
    <col min="5890" max="5890" width="39.375" style="2975" customWidth="1"/>
    <col min="5891" max="5891" width="0" style="2975" hidden="1" customWidth="1"/>
    <col min="5892" max="5892" width="21.25" style="2975" customWidth="1"/>
    <col min="5893" max="5893" width="20.625" style="2975" customWidth="1"/>
    <col min="5894" max="5894" width="34.5" style="2975" customWidth="1"/>
    <col min="5895" max="5895" width="0" style="2975" hidden="1" customWidth="1"/>
    <col min="5896" max="5896" width="13.875" style="2975" bestFit="1" customWidth="1"/>
    <col min="5897" max="6144" width="9" style="2975"/>
    <col min="6145" max="6145" width="4.5" style="2975" customWidth="1"/>
    <col min="6146" max="6146" width="39.375" style="2975" customWidth="1"/>
    <col min="6147" max="6147" width="0" style="2975" hidden="1" customWidth="1"/>
    <col min="6148" max="6148" width="21.25" style="2975" customWidth="1"/>
    <col min="6149" max="6149" width="20.625" style="2975" customWidth="1"/>
    <col min="6150" max="6150" width="34.5" style="2975" customWidth="1"/>
    <col min="6151" max="6151" width="0" style="2975" hidden="1" customWidth="1"/>
    <col min="6152" max="6152" width="13.875" style="2975" bestFit="1" customWidth="1"/>
    <col min="6153" max="6400" width="9" style="2975"/>
    <col min="6401" max="6401" width="4.5" style="2975" customWidth="1"/>
    <col min="6402" max="6402" width="39.375" style="2975" customWidth="1"/>
    <col min="6403" max="6403" width="0" style="2975" hidden="1" customWidth="1"/>
    <col min="6404" max="6404" width="21.25" style="2975" customWidth="1"/>
    <col min="6405" max="6405" width="20.625" style="2975" customWidth="1"/>
    <col min="6406" max="6406" width="34.5" style="2975" customWidth="1"/>
    <col min="6407" max="6407" width="0" style="2975" hidden="1" customWidth="1"/>
    <col min="6408" max="6408" width="13.875" style="2975" bestFit="1" customWidth="1"/>
    <col min="6409" max="6656" width="9" style="2975"/>
    <col min="6657" max="6657" width="4.5" style="2975" customWidth="1"/>
    <col min="6658" max="6658" width="39.375" style="2975" customWidth="1"/>
    <col min="6659" max="6659" width="0" style="2975" hidden="1" customWidth="1"/>
    <col min="6660" max="6660" width="21.25" style="2975" customWidth="1"/>
    <col min="6661" max="6661" width="20.625" style="2975" customWidth="1"/>
    <col min="6662" max="6662" width="34.5" style="2975" customWidth="1"/>
    <col min="6663" max="6663" width="0" style="2975" hidden="1" customWidth="1"/>
    <col min="6664" max="6664" width="13.875" style="2975" bestFit="1" customWidth="1"/>
    <col min="6665" max="6912" width="9" style="2975"/>
    <col min="6913" max="6913" width="4.5" style="2975" customWidth="1"/>
    <col min="6914" max="6914" width="39.375" style="2975" customWidth="1"/>
    <col min="6915" max="6915" width="0" style="2975" hidden="1" customWidth="1"/>
    <col min="6916" max="6916" width="21.25" style="2975" customWidth="1"/>
    <col min="6917" max="6917" width="20.625" style="2975" customWidth="1"/>
    <col min="6918" max="6918" width="34.5" style="2975" customWidth="1"/>
    <col min="6919" max="6919" width="0" style="2975" hidden="1" customWidth="1"/>
    <col min="6920" max="6920" width="13.875" style="2975" bestFit="1" customWidth="1"/>
    <col min="6921" max="7168" width="9" style="2975"/>
    <col min="7169" max="7169" width="4.5" style="2975" customWidth="1"/>
    <col min="7170" max="7170" width="39.375" style="2975" customWidth="1"/>
    <col min="7171" max="7171" width="0" style="2975" hidden="1" customWidth="1"/>
    <col min="7172" max="7172" width="21.25" style="2975" customWidth="1"/>
    <col min="7173" max="7173" width="20.625" style="2975" customWidth="1"/>
    <col min="7174" max="7174" width="34.5" style="2975" customWidth="1"/>
    <col min="7175" max="7175" width="0" style="2975" hidden="1" customWidth="1"/>
    <col min="7176" max="7176" width="13.875" style="2975" bestFit="1" customWidth="1"/>
    <col min="7177" max="7424" width="9" style="2975"/>
    <col min="7425" max="7425" width="4.5" style="2975" customWidth="1"/>
    <col min="7426" max="7426" width="39.375" style="2975" customWidth="1"/>
    <col min="7427" max="7427" width="0" style="2975" hidden="1" customWidth="1"/>
    <col min="7428" max="7428" width="21.25" style="2975" customWidth="1"/>
    <col min="7429" max="7429" width="20.625" style="2975" customWidth="1"/>
    <col min="7430" max="7430" width="34.5" style="2975" customWidth="1"/>
    <col min="7431" max="7431" width="0" style="2975" hidden="1" customWidth="1"/>
    <col min="7432" max="7432" width="13.875" style="2975" bestFit="1" customWidth="1"/>
    <col min="7433" max="7680" width="9" style="2975"/>
    <col min="7681" max="7681" width="4.5" style="2975" customWidth="1"/>
    <col min="7682" max="7682" width="39.375" style="2975" customWidth="1"/>
    <col min="7683" max="7683" width="0" style="2975" hidden="1" customWidth="1"/>
    <col min="7684" max="7684" width="21.25" style="2975" customWidth="1"/>
    <col min="7685" max="7685" width="20.625" style="2975" customWidth="1"/>
    <col min="7686" max="7686" width="34.5" style="2975" customWidth="1"/>
    <col min="7687" max="7687" width="0" style="2975" hidden="1" customWidth="1"/>
    <col min="7688" max="7688" width="13.875" style="2975" bestFit="1" customWidth="1"/>
    <col min="7689" max="7936" width="9" style="2975"/>
    <col min="7937" max="7937" width="4.5" style="2975" customWidth="1"/>
    <col min="7938" max="7938" width="39.375" style="2975" customWidth="1"/>
    <col min="7939" max="7939" width="0" style="2975" hidden="1" customWidth="1"/>
    <col min="7940" max="7940" width="21.25" style="2975" customWidth="1"/>
    <col min="7941" max="7941" width="20.625" style="2975" customWidth="1"/>
    <col min="7942" max="7942" width="34.5" style="2975" customWidth="1"/>
    <col min="7943" max="7943" width="0" style="2975" hidden="1" customWidth="1"/>
    <col min="7944" max="7944" width="13.875" style="2975" bestFit="1" customWidth="1"/>
    <col min="7945" max="8192" width="9" style="2975"/>
    <col min="8193" max="8193" width="4.5" style="2975" customWidth="1"/>
    <col min="8194" max="8194" width="39.375" style="2975" customWidth="1"/>
    <col min="8195" max="8195" width="0" style="2975" hidden="1" customWidth="1"/>
    <col min="8196" max="8196" width="21.25" style="2975" customWidth="1"/>
    <col min="8197" max="8197" width="20.625" style="2975" customWidth="1"/>
    <col min="8198" max="8198" width="34.5" style="2975" customWidth="1"/>
    <col min="8199" max="8199" width="0" style="2975" hidden="1" customWidth="1"/>
    <col min="8200" max="8200" width="13.875" style="2975" bestFit="1" customWidth="1"/>
    <col min="8201" max="8448" width="9" style="2975"/>
    <col min="8449" max="8449" width="4.5" style="2975" customWidth="1"/>
    <col min="8450" max="8450" width="39.375" style="2975" customWidth="1"/>
    <col min="8451" max="8451" width="0" style="2975" hidden="1" customWidth="1"/>
    <col min="8452" max="8452" width="21.25" style="2975" customWidth="1"/>
    <col min="8453" max="8453" width="20.625" style="2975" customWidth="1"/>
    <col min="8454" max="8454" width="34.5" style="2975" customWidth="1"/>
    <col min="8455" max="8455" width="0" style="2975" hidden="1" customWidth="1"/>
    <col min="8456" max="8456" width="13.875" style="2975" bestFit="1" customWidth="1"/>
    <col min="8457" max="8704" width="9" style="2975"/>
    <col min="8705" max="8705" width="4.5" style="2975" customWidth="1"/>
    <col min="8706" max="8706" width="39.375" style="2975" customWidth="1"/>
    <col min="8707" max="8707" width="0" style="2975" hidden="1" customWidth="1"/>
    <col min="8708" max="8708" width="21.25" style="2975" customWidth="1"/>
    <col min="8709" max="8709" width="20.625" style="2975" customWidth="1"/>
    <col min="8710" max="8710" width="34.5" style="2975" customWidth="1"/>
    <col min="8711" max="8711" width="0" style="2975" hidden="1" customWidth="1"/>
    <col min="8712" max="8712" width="13.875" style="2975" bestFit="1" customWidth="1"/>
    <col min="8713" max="8960" width="9" style="2975"/>
    <col min="8961" max="8961" width="4.5" style="2975" customWidth="1"/>
    <col min="8962" max="8962" width="39.375" style="2975" customWidth="1"/>
    <col min="8963" max="8963" width="0" style="2975" hidden="1" customWidth="1"/>
    <col min="8964" max="8964" width="21.25" style="2975" customWidth="1"/>
    <col min="8965" max="8965" width="20.625" style="2975" customWidth="1"/>
    <col min="8966" max="8966" width="34.5" style="2975" customWidth="1"/>
    <col min="8967" max="8967" width="0" style="2975" hidden="1" customWidth="1"/>
    <col min="8968" max="8968" width="13.875" style="2975" bestFit="1" customWidth="1"/>
    <col min="8969" max="9216" width="9" style="2975"/>
    <col min="9217" max="9217" width="4.5" style="2975" customWidth="1"/>
    <col min="9218" max="9218" width="39.375" style="2975" customWidth="1"/>
    <col min="9219" max="9219" width="0" style="2975" hidden="1" customWidth="1"/>
    <col min="9220" max="9220" width="21.25" style="2975" customWidth="1"/>
    <col min="9221" max="9221" width="20.625" style="2975" customWidth="1"/>
    <col min="9222" max="9222" width="34.5" style="2975" customWidth="1"/>
    <col min="9223" max="9223" width="0" style="2975" hidden="1" customWidth="1"/>
    <col min="9224" max="9224" width="13.875" style="2975" bestFit="1" customWidth="1"/>
    <col min="9225" max="9472" width="9" style="2975"/>
    <col min="9473" max="9473" width="4.5" style="2975" customWidth="1"/>
    <col min="9474" max="9474" width="39.375" style="2975" customWidth="1"/>
    <col min="9475" max="9475" width="0" style="2975" hidden="1" customWidth="1"/>
    <col min="9476" max="9476" width="21.25" style="2975" customWidth="1"/>
    <col min="9477" max="9477" width="20.625" style="2975" customWidth="1"/>
    <col min="9478" max="9478" width="34.5" style="2975" customWidth="1"/>
    <col min="9479" max="9479" width="0" style="2975" hidden="1" customWidth="1"/>
    <col min="9480" max="9480" width="13.875" style="2975" bestFit="1" customWidth="1"/>
    <col min="9481" max="9728" width="9" style="2975"/>
    <col min="9729" max="9729" width="4.5" style="2975" customWidth="1"/>
    <col min="9730" max="9730" width="39.375" style="2975" customWidth="1"/>
    <col min="9731" max="9731" width="0" style="2975" hidden="1" customWidth="1"/>
    <col min="9732" max="9732" width="21.25" style="2975" customWidth="1"/>
    <col min="9733" max="9733" width="20.625" style="2975" customWidth="1"/>
    <col min="9734" max="9734" width="34.5" style="2975" customWidth="1"/>
    <col min="9735" max="9735" width="0" style="2975" hidden="1" customWidth="1"/>
    <col min="9736" max="9736" width="13.875" style="2975" bestFit="1" customWidth="1"/>
    <col min="9737" max="9984" width="9" style="2975"/>
    <col min="9985" max="9985" width="4.5" style="2975" customWidth="1"/>
    <col min="9986" max="9986" width="39.375" style="2975" customWidth="1"/>
    <col min="9987" max="9987" width="0" style="2975" hidden="1" customWidth="1"/>
    <col min="9988" max="9988" width="21.25" style="2975" customWidth="1"/>
    <col min="9989" max="9989" width="20.625" style="2975" customWidth="1"/>
    <col min="9990" max="9990" width="34.5" style="2975" customWidth="1"/>
    <col min="9991" max="9991" width="0" style="2975" hidden="1" customWidth="1"/>
    <col min="9992" max="9992" width="13.875" style="2975" bestFit="1" customWidth="1"/>
    <col min="9993" max="10240" width="9" style="2975"/>
    <col min="10241" max="10241" width="4.5" style="2975" customWidth="1"/>
    <col min="10242" max="10242" width="39.375" style="2975" customWidth="1"/>
    <col min="10243" max="10243" width="0" style="2975" hidden="1" customWidth="1"/>
    <col min="10244" max="10244" width="21.25" style="2975" customWidth="1"/>
    <col min="10245" max="10245" width="20.625" style="2975" customWidth="1"/>
    <col min="10246" max="10246" width="34.5" style="2975" customWidth="1"/>
    <col min="10247" max="10247" width="0" style="2975" hidden="1" customWidth="1"/>
    <col min="10248" max="10248" width="13.875" style="2975" bestFit="1" customWidth="1"/>
    <col min="10249" max="10496" width="9" style="2975"/>
    <col min="10497" max="10497" width="4.5" style="2975" customWidth="1"/>
    <col min="10498" max="10498" width="39.375" style="2975" customWidth="1"/>
    <col min="10499" max="10499" width="0" style="2975" hidden="1" customWidth="1"/>
    <col min="10500" max="10500" width="21.25" style="2975" customWidth="1"/>
    <col min="10501" max="10501" width="20.625" style="2975" customWidth="1"/>
    <col min="10502" max="10502" width="34.5" style="2975" customWidth="1"/>
    <col min="10503" max="10503" width="0" style="2975" hidden="1" customWidth="1"/>
    <col min="10504" max="10504" width="13.875" style="2975" bestFit="1" customWidth="1"/>
    <col min="10505" max="10752" width="9" style="2975"/>
    <col min="10753" max="10753" width="4.5" style="2975" customWidth="1"/>
    <col min="10754" max="10754" width="39.375" style="2975" customWidth="1"/>
    <col min="10755" max="10755" width="0" style="2975" hidden="1" customWidth="1"/>
    <col min="10756" max="10756" width="21.25" style="2975" customWidth="1"/>
    <col min="10757" max="10757" width="20.625" style="2975" customWidth="1"/>
    <col min="10758" max="10758" width="34.5" style="2975" customWidth="1"/>
    <col min="10759" max="10759" width="0" style="2975" hidden="1" customWidth="1"/>
    <col min="10760" max="10760" width="13.875" style="2975" bestFit="1" customWidth="1"/>
    <col min="10761" max="11008" width="9" style="2975"/>
    <col min="11009" max="11009" width="4.5" style="2975" customWidth="1"/>
    <col min="11010" max="11010" width="39.375" style="2975" customWidth="1"/>
    <col min="11011" max="11011" width="0" style="2975" hidden="1" customWidth="1"/>
    <col min="11012" max="11012" width="21.25" style="2975" customWidth="1"/>
    <col min="11013" max="11013" width="20.625" style="2975" customWidth="1"/>
    <col min="11014" max="11014" width="34.5" style="2975" customWidth="1"/>
    <col min="11015" max="11015" width="0" style="2975" hidden="1" customWidth="1"/>
    <col min="11016" max="11016" width="13.875" style="2975" bestFit="1" customWidth="1"/>
    <col min="11017" max="11264" width="9" style="2975"/>
    <col min="11265" max="11265" width="4.5" style="2975" customWidth="1"/>
    <col min="11266" max="11266" width="39.375" style="2975" customWidth="1"/>
    <col min="11267" max="11267" width="0" style="2975" hidden="1" customWidth="1"/>
    <col min="11268" max="11268" width="21.25" style="2975" customWidth="1"/>
    <col min="11269" max="11269" width="20.625" style="2975" customWidth="1"/>
    <col min="11270" max="11270" width="34.5" style="2975" customWidth="1"/>
    <col min="11271" max="11271" width="0" style="2975" hidden="1" customWidth="1"/>
    <col min="11272" max="11272" width="13.875" style="2975" bestFit="1" customWidth="1"/>
    <col min="11273" max="11520" width="9" style="2975"/>
    <col min="11521" max="11521" width="4.5" style="2975" customWidth="1"/>
    <col min="11522" max="11522" width="39.375" style="2975" customWidth="1"/>
    <col min="11523" max="11523" width="0" style="2975" hidden="1" customWidth="1"/>
    <col min="11524" max="11524" width="21.25" style="2975" customWidth="1"/>
    <col min="11525" max="11525" width="20.625" style="2975" customWidth="1"/>
    <col min="11526" max="11526" width="34.5" style="2975" customWidth="1"/>
    <col min="11527" max="11527" width="0" style="2975" hidden="1" customWidth="1"/>
    <col min="11528" max="11528" width="13.875" style="2975" bestFit="1" customWidth="1"/>
    <col min="11529" max="11776" width="9" style="2975"/>
    <col min="11777" max="11777" width="4.5" style="2975" customWidth="1"/>
    <col min="11778" max="11778" width="39.375" style="2975" customWidth="1"/>
    <col min="11779" max="11779" width="0" style="2975" hidden="1" customWidth="1"/>
    <col min="11780" max="11780" width="21.25" style="2975" customWidth="1"/>
    <col min="11781" max="11781" width="20.625" style="2975" customWidth="1"/>
    <col min="11782" max="11782" width="34.5" style="2975" customWidth="1"/>
    <col min="11783" max="11783" width="0" style="2975" hidden="1" customWidth="1"/>
    <col min="11784" max="11784" width="13.875" style="2975" bestFit="1" customWidth="1"/>
    <col min="11785" max="12032" width="9" style="2975"/>
    <col min="12033" max="12033" width="4.5" style="2975" customWidth="1"/>
    <col min="12034" max="12034" width="39.375" style="2975" customWidth="1"/>
    <col min="12035" max="12035" width="0" style="2975" hidden="1" customWidth="1"/>
    <col min="12036" max="12036" width="21.25" style="2975" customWidth="1"/>
    <col min="12037" max="12037" width="20.625" style="2975" customWidth="1"/>
    <col min="12038" max="12038" width="34.5" style="2975" customWidth="1"/>
    <col min="12039" max="12039" width="0" style="2975" hidden="1" customWidth="1"/>
    <col min="12040" max="12040" width="13.875" style="2975" bestFit="1" customWidth="1"/>
    <col min="12041" max="12288" width="9" style="2975"/>
    <col min="12289" max="12289" width="4.5" style="2975" customWidth="1"/>
    <col min="12290" max="12290" width="39.375" style="2975" customWidth="1"/>
    <col min="12291" max="12291" width="0" style="2975" hidden="1" customWidth="1"/>
    <col min="12292" max="12292" width="21.25" style="2975" customWidth="1"/>
    <col min="12293" max="12293" width="20.625" style="2975" customWidth="1"/>
    <col min="12294" max="12294" width="34.5" style="2975" customWidth="1"/>
    <col min="12295" max="12295" width="0" style="2975" hidden="1" customWidth="1"/>
    <col min="12296" max="12296" width="13.875" style="2975" bestFit="1" customWidth="1"/>
    <col min="12297" max="12544" width="9" style="2975"/>
    <col min="12545" max="12545" width="4.5" style="2975" customWidth="1"/>
    <col min="12546" max="12546" width="39.375" style="2975" customWidth="1"/>
    <col min="12547" max="12547" width="0" style="2975" hidden="1" customWidth="1"/>
    <col min="12548" max="12548" width="21.25" style="2975" customWidth="1"/>
    <col min="12549" max="12549" width="20.625" style="2975" customWidth="1"/>
    <col min="12550" max="12550" width="34.5" style="2975" customWidth="1"/>
    <col min="12551" max="12551" width="0" style="2975" hidden="1" customWidth="1"/>
    <col min="12552" max="12552" width="13.875" style="2975" bestFit="1" customWidth="1"/>
    <col min="12553" max="12800" width="9" style="2975"/>
    <col min="12801" max="12801" width="4.5" style="2975" customWidth="1"/>
    <col min="12802" max="12802" width="39.375" style="2975" customWidth="1"/>
    <col min="12803" max="12803" width="0" style="2975" hidden="1" customWidth="1"/>
    <col min="12804" max="12804" width="21.25" style="2975" customWidth="1"/>
    <col min="12805" max="12805" width="20.625" style="2975" customWidth="1"/>
    <col min="12806" max="12806" width="34.5" style="2975" customWidth="1"/>
    <col min="12807" max="12807" width="0" style="2975" hidden="1" customWidth="1"/>
    <col min="12808" max="12808" width="13.875" style="2975" bestFit="1" customWidth="1"/>
    <col min="12809" max="13056" width="9" style="2975"/>
    <col min="13057" max="13057" width="4.5" style="2975" customWidth="1"/>
    <col min="13058" max="13058" width="39.375" style="2975" customWidth="1"/>
    <col min="13059" max="13059" width="0" style="2975" hidden="1" customWidth="1"/>
    <col min="13060" max="13060" width="21.25" style="2975" customWidth="1"/>
    <col min="13061" max="13061" width="20.625" style="2975" customWidth="1"/>
    <col min="13062" max="13062" width="34.5" style="2975" customWidth="1"/>
    <col min="13063" max="13063" width="0" style="2975" hidden="1" customWidth="1"/>
    <col min="13064" max="13064" width="13.875" style="2975" bestFit="1" customWidth="1"/>
    <col min="13065" max="13312" width="9" style="2975"/>
    <col min="13313" max="13313" width="4.5" style="2975" customWidth="1"/>
    <col min="13314" max="13314" width="39.375" style="2975" customWidth="1"/>
    <col min="13315" max="13315" width="0" style="2975" hidden="1" customWidth="1"/>
    <col min="13316" max="13316" width="21.25" style="2975" customWidth="1"/>
    <col min="13317" max="13317" width="20.625" style="2975" customWidth="1"/>
    <col min="13318" max="13318" width="34.5" style="2975" customWidth="1"/>
    <col min="13319" max="13319" width="0" style="2975" hidden="1" customWidth="1"/>
    <col min="13320" max="13320" width="13.875" style="2975" bestFit="1" customWidth="1"/>
    <col min="13321" max="13568" width="9" style="2975"/>
    <col min="13569" max="13569" width="4.5" style="2975" customWidth="1"/>
    <col min="13570" max="13570" width="39.375" style="2975" customWidth="1"/>
    <col min="13571" max="13571" width="0" style="2975" hidden="1" customWidth="1"/>
    <col min="13572" max="13572" width="21.25" style="2975" customWidth="1"/>
    <col min="13573" max="13573" width="20.625" style="2975" customWidth="1"/>
    <col min="13574" max="13574" width="34.5" style="2975" customWidth="1"/>
    <col min="13575" max="13575" width="0" style="2975" hidden="1" customWidth="1"/>
    <col min="13576" max="13576" width="13.875" style="2975" bestFit="1" customWidth="1"/>
    <col min="13577" max="13824" width="9" style="2975"/>
    <col min="13825" max="13825" width="4.5" style="2975" customWidth="1"/>
    <col min="13826" max="13826" width="39.375" style="2975" customWidth="1"/>
    <col min="13827" max="13827" width="0" style="2975" hidden="1" customWidth="1"/>
    <col min="13828" max="13828" width="21.25" style="2975" customWidth="1"/>
    <col min="13829" max="13829" width="20.625" style="2975" customWidth="1"/>
    <col min="13830" max="13830" width="34.5" style="2975" customWidth="1"/>
    <col min="13831" max="13831" width="0" style="2975" hidden="1" customWidth="1"/>
    <col min="13832" max="13832" width="13.875" style="2975" bestFit="1" customWidth="1"/>
    <col min="13833" max="14080" width="9" style="2975"/>
    <col min="14081" max="14081" width="4.5" style="2975" customWidth="1"/>
    <col min="14082" max="14082" width="39.375" style="2975" customWidth="1"/>
    <col min="14083" max="14083" width="0" style="2975" hidden="1" customWidth="1"/>
    <col min="14084" max="14084" width="21.25" style="2975" customWidth="1"/>
    <col min="14085" max="14085" width="20.625" style="2975" customWidth="1"/>
    <col min="14086" max="14086" width="34.5" style="2975" customWidth="1"/>
    <col min="14087" max="14087" width="0" style="2975" hidden="1" customWidth="1"/>
    <col min="14088" max="14088" width="13.875" style="2975" bestFit="1" customWidth="1"/>
    <col min="14089" max="14336" width="9" style="2975"/>
    <col min="14337" max="14337" width="4.5" style="2975" customWidth="1"/>
    <col min="14338" max="14338" width="39.375" style="2975" customWidth="1"/>
    <col min="14339" max="14339" width="0" style="2975" hidden="1" customWidth="1"/>
    <col min="14340" max="14340" width="21.25" style="2975" customWidth="1"/>
    <col min="14341" max="14341" width="20.625" style="2975" customWidth="1"/>
    <col min="14342" max="14342" width="34.5" style="2975" customWidth="1"/>
    <col min="14343" max="14343" width="0" style="2975" hidden="1" customWidth="1"/>
    <col min="14344" max="14344" width="13.875" style="2975" bestFit="1" customWidth="1"/>
    <col min="14345" max="14592" width="9" style="2975"/>
    <col min="14593" max="14593" width="4.5" style="2975" customWidth="1"/>
    <col min="14594" max="14594" width="39.375" style="2975" customWidth="1"/>
    <col min="14595" max="14595" width="0" style="2975" hidden="1" customWidth="1"/>
    <col min="14596" max="14596" width="21.25" style="2975" customWidth="1"/>
    <col min="14597" max="14597" width="20.625" style="2975" customWidth="1"/>
    <col min="14598" max="14598" width="34.5" style="2975" customWidth="1"/>
    <col min="14599" max="14599" width="0" style="2975" hidden="1" customWidth="1"/>
    <col min="14600" max="14600" width="13.875" style="2975" bestFit="1" customWidth="1"/>
    <col min="14601" max="14848" width="9" style="2975"/>
    <col min="14849" max="14849" width="4.5" style="2975" customWidth="1"/>
    <col min="14850" max="14850" width="39.375" style="2975" customWidth="1"/>
    <col min="14851" max="14851" width="0" style="2975" hidden="1" customWidth="1"/>
    <col min="14852" max="14852" width="21.25" style="2975" customWidth="1"/>
    <col min="14853" max="14853" width="20.625" style="2975" customWidth="1"/>
    <col min="14854" max="14854" width="34.5" style="2975" customWidth="1"/>
    <col min="14855" max="14855" width="0" style="2975" hidden="1" customWidth="1"/>
    <col min="14856" max="14856" width="13.875" style="2975" bestFit="1" customWidth="1"/>
    <col min="14857" max="15104" width="9" style="2975"/>
    <col min="15105" max="15105" width="4.5" style="2975" customWidth="1"/>
    <col min="15106" max="15106" width="39.375" style="2975" customWidth="1"/>
    <col min="15107" max="15107" width="0" style="2975" hidden="1" customWidth="1"/>
    <col min="15108" max="15108" width="21.25" style="2975" customWidth="1"/>
    <col min="15109" max="15109" width="20.625" style="2975" customWidth="1"/>
    <col min="15110" max="15110" width="34.5" style="2975" customWidth="1"/>
    <col min="15111" max="15111" width="0" style="2975" hidden="1" customWidth="1"/>
    <col min="15112" max="15112" width="13.875" style="2975" bestFit="1" customWidth="1"/>
    <col min="15113" max="15360" width="9" style="2975"/>
    <col min="15361" max="15361" width="4.5" style="2975" customWidth="1"/>
    <col min="15362" max="15362" width="39.375" style="2975" customWidth="1"/>
    <col min="15363" max="15363" width="0" style="2975" hidden="1" customWidth="1"/>
    <col min="15364" max="15364" width="21.25" style="2975" customWidth="1"/>
    <col min="15365" max="15365" width="20.625" style="2975" customWidth="1"/>
    <col min="15366" max="15366" width="34.5" style="2975" customWidth="1"/>
    <col min="15367" max="15367" width="0" style="2975" hidden="1" customWidth="1"/>
    <col min="15368" max="15368" width="13.875" style="2975" bestFit="1" customWidth="1"/>
    <col min="15369" max="15616" width="9" style="2975"/>
    <col min="15617" max="15617" width="4.5" style="2975" customWidth="1"/>
    <col min="15618" max="15618" width="39.375" style="2975" customWidth="1"/>
    <col min="15619" max="15619" width="0" style="2975" hidden="1" customWidth="1"/>
    <col min="15620" max="15620" width="21.25" style="2975" customWidth="1"/>
    <col min="15621" max="15621" width="20.625" style="2975" customWidth="1"/>
    <col min="15622" max="15622" width="34.5" style="2975" customWidth="1"/>
    <col min="15623" max="15623" width="0" style="2975" hidden="1" customWidth="1"/>
    <col min="15624" max="15624" width="13.875" style="2975" bestFit="1" customWidth="1"/>
    <col min="15625" max="15872" width="9" style="2975"/>
    <col min="15873" max="15873" width="4.5" style="2975" customWidth="1"/>
    <col min="15874" max="15874" width="39.375" style="2975" customWidth="1"/>
    <col min="15875" max="15875" width="0" style="2975" hidden="1" customWidth="1"/>
    <col min="15876" max="15876" width="21.25" style="2975" customWidth="1"/>
    <col min="15877" max="15877" width="20.625" style="2975" customWidth="1"/>
    <col min="15878" max="15878" width="34.5" style="2975" customWidth="1"/>
    <col min="15879" max="15879" width="0" style="2975" hidden="1" customWidth="1"/>
    <col min="15880" max="15880" width="13.875" style="2975" bestFit="1" customWidth="1"/>
    <col min="15881" max="16128" width="9" style="2975"/>
    <col min="16129" max="16129" width="4.5" style="2975" customWidth="1"/>
    <col min="16130" max="16130" width="39.375" style="2975" customWidth="1"/>
    <col min="16131" max="16131" width="0" style="2975" hidden="1" customWidth="1"/>
    <col min="16132" max="16132" width="21.25" style="2975" customWidth="1"/>
    <col min="16133" max="16133" width="20.625" style="2975" customWidth="1"/>
    <col min="16134" max="16134" width="34.5" style="2975" customWidth="1"/>
    <col min="16135" max="16135" width="0" style="2975" hidden="1" customWidth="1"/>
    <col min="16136" max="16136" width="13.875" style="2975" bestFit="1" customWidth="1"/>
    <col min="16137" max="16384" width="9" style="2975"/>
  </cols>
  <sheetData>
    <row r="1" spans="1:116" ht="46.5" customHeight="1">
      <c r="A1" s="3345" t="s">
        <v>3128</v>
      </c>
      <c r="B1" s="3345"/>
      <c r="C1" s="3345"/>
      <c r="D1" s="3345"/>
      <c r="E1" s="3345"/>
      <c r="F1" s="3345"/>
    </row>
    <row r="2" spans="1:116" s="2981" customFormat="1" ht="63" customHeight="1">
      <c r="A2" s="2977" t="s">
        <v>3129</v>
      </c>
      <c r="B2" s="2977" t="s">
        <v>3130</v>
      </c>
      <c r="C2" s="2977" t="s">
        <v>3131</v>
      </c>
      <c r="D2" s="2978" t="s">
        <v>3132</v>
      </c>
      <c r="E2" s="2979" t="s">
        <v>3133</v>
      </c>
      <c r="F2" s="2978" t="s">
        <v>3134</v>
      </c>
      <c r="G2" s="2980" t="s">
        <v>3135</v>
      </c>
      <c r="H2" s="2976"/>
      <c r="I2" s="2976"/>
      <c r="J2" s="2976"/>
      <c r="K2" s="2976"/>
      <c r="L2" s="2976"/>
      <c r="M2" s="2976"/>
      <c r="N2" s="2976"/>
      <c r="O2" s="2976"/>
      <c r="P2" s="2976"/>
      <c r="Q2" s="2976"/>
      <c r="R2" s="2976"/>
      <c r="S2" s="2976"/>
      <c r="T2" s="2976"/>
      <c r="U2" s="2976"/>
      <c r="V2" s="2976"/>
      <c r="W2" s="2976"/>
      <c r="X2" s="2976"/>
      <c r="Y2" s="2976"/>
      <c r="Z2" s="2976"/>
      <c r="AA2" s="2976"/>
      <c r="AB2" s="2976"/>
      <c r="AC2" s="2976"/>
      <c r="AD2" s="2976"/>
      <c r="AE2" s="2976"/>
      <c r="AF2" s="2976"/>
      <c r="AG2" s="2976"/>
      <c r="AH2" s="2976"/>
      <c r="AI2" s="2976"/>
      <c r="AJ2" s="2976"/>
      <c r="AK2" s="2976"/>
      <c r="AL2" s="2976"/>
      <c r="AM2" s="2976"/>
      <c r="AN2" s="2976"/>
      <c r="AO2" s="2976"/>
      <c r="AP2" s="2976"/>
      <c r="AQ2" s="2976"/>
      <c r="AR2" s="2976"/>
      <c r="AS2" s="2976"/>
      <c r="AT2" s="2976"/>
      <c r="AU2" s="2976"/>
      <c r="AV2" s="2976"/>
      <c r="AW2" s="2976"/>
      <c r="AX2" s="2976"/>
      <c r="AY2" s="2976"/>
      <c r="AZ2" s="2976"/>
      <c r="BA2" s="2976"/>
      <c r="BB2" s="2976"/>
      <c r="BC2" s="2976"/>
      <c r="BD2" s="2976"/>
      <c r="BE2" s="2976"/>
      <c r="BF2" s="2976"/>
      <c r="BG2" s="2976"/>
      <c r="BH2" s="2976"/>
      <c r="BI2" s="2976"/>
      <c r="BJ2" s="2976"/>
      <c r="BK2" s="2976"/>
      <c r="BL2" s="2976"/>
      <c r="BM2" s="2976"/>
      <c r="BN2" s="2976"/>
      <c r="BO2" s="2976"/>
      <c r="BP2" s="2976"/>
      <c r="BQ2" s="2976"/>
      <c r="BR2" s="2976"/>
      <c r="BS2" s="2976"/>
      <c r="BT2" s="2976"/>
      <c r="BU2" s="2976"/>
      <c r="BV2" s="2976"/>
      <c r="BW2" s="2976"/>
      <c r="BX2" s="2976"/>
      <c r="BY2" s="2976"/>
      <c r="BZ2" s="2976"/>
      <c r="CA2" s="2976"/>
      <c r="CB2" s="2976"/>
      <c r="CC2" s="2976"/>
      <c r="CD2" s="2976"/>
      <c r="CE2" s="2976"/>
      <c r="CF2" s="2976"/>
      <c r="CG2" s="2976"/>
      <c r="CH2" s="2976"/>
      <c r="CI2" s="2976"/>
      <c r="CJ2" s="2976"/>
      <c r="CK2" s="2976"/>
      <c r="CL2" s="2976"/>
      <c r="CM2" s="2976"/>
      <c r="CN2" s="2976"/>
      <c r="CO2" s="2976"/>
      <c r="CP2" s="2976"/>
      <c r="CQ2" s="2976"/>
      <c r="CR2" s="2976"/>
      <c r="CS2" s="2976"/>
      <c r="CT2" s="2976"/>
      <c r="CU2" s="2976"/>
      <c r="CV2" s="2976"/>
      <c r="CW2" s="2976"/>
      <c r="CX2" s="2976"/>
      <c r="CY2" s="2976"/>
      <c r="CZ2" s="2976"/>
      <c r="DA2" s="2976"/>
      <c r="DB2" s="2976"/>
      <c r="DC2" s="2976"/>
      <c r="DD2" s="2976"/>
      <c r="DE2" s="2976"/>
      <c r="DF2" s="2976"/>
      <c r="DG2" s="2976"/>
      <c r="DH2" s="2976"/>
      <c r="DI2" s="2976"/>
      <c r="DJ2" s="2976"/>
      <c r="DK2" s="2976"/>
      <c r="DL2" s="2976"/>
    </row>
    <row r="3" spans="1:116" s="2981" customFormat="1" ht="21" customHeight="1">
      <c r="A3" s="3346" t="s">
        <v>3136</v>
      </c>
      <c r="B3" s="3346"/>
      <c r="C3" s="2982"/>
      <c r="D3" s="2978"/>
      <c r="E3" s="2978"/>
      <c r="F3" s="2978"/>
      <c r="G3" s="2980"/>
      <c r="H3" s="2976"/>
      <c r="I3" s="2976"/>
      <c r="J3" s="2976"/>
      <c r="K3" s="2976"/>
      <c r="L3" s="2976"/>
      <c r="M3" s="2976"/>
      <c r="N3" s="2976"/>
      <c r="O3" s="2976"/>
      <c r="P3" s="2976"/>
      <c r="Q3" s="2976"/>
      <c r="R3" s="2976"/>
      <c r="S3" s="2976"/>
      <c r="T3" s="2976"/>
      <c r="U3" s="2976"/>
      <c r="V3" s="2976"/>
      <c r="W3" s="2976"/>
      <c r="X3" s="2976"/>
      <c r="Y3" s="2976"/>
      <c r="Z3" s="2976"/>
      <c r="AA3" s="2976"/>
      <c r="AB3" s="2976"/>
      <c r="AC3" s="2976"/>
      <c r="AD3" s="2976"/>
      <c r="AE3" s="2976"/>
      <c r="AF3" s="2976"/>
      <c r="AG3" s="2976"/>
      <c r="AH3" s="2976"/>
      <c r="AI3" s="2976"/>
      <c r="AJ3" s="2976"/>
      <c r="AK3" s="2976"/>
      <c r="AL3" s="2976"/>
      <c r="AM3" s="2976"/>
      <c r="AN3" s="2976"/>
      <c r="AO3" s="2976"/>
      <c r="AP3" s="2976"/>
      <c r="AQ3" s="2976"/>
      <c r="AR3" s="2976"/>
      <c r="AS3" s="2976"/>
      <c r="AT3" s="2976"/>
      <c r="AU3" s="2976"/>
      <c r="AV3" s="2976"/>
      <c r="AW3" s="2976"/>
      <c r="AX3" s="2976"/>
      <c r="AY3" s="2976"/>
      <c r="AZ3" s="2976"/>
      <c r="BA3" s="2976"/>
      <c r="BB3" s="2976"/>
      <c r="BC3" s="2976"/>
      <c r="BD3" s="2976"/>
      <c r="BE3" s="2976"/>
      <c r="BF3" s="2976"/>
      <c r="BG3" s="2976"/>
      <c r="BH3" s="2976"/>
      <c r="BI3" s="2976"/>
      <c r="BJ3" s="2976"/>
      <c r="BK3" s="2976"/>
      <c r="BL3" s="2976"/>
      <c r="BM3" s="2976"/>
      <c r="BN3" s="2976"/>
      <c r="BO3" s="2976"/>
      <c r="BP3" s="2976"/>
      <c r="BQ3" s="2976"/>
      <c r="BR3" s="2976"/>
      <c r="BS3" s="2976"/>
      <c r="BT3" s="2976"/>
      <c r="BU3" s="2976"/>
      <c r="BV3" s="2976"/>
      <c r="BW3" s="2976"/>
      <c r="BX3" s="2976"/>
      <c r="BY3" s="2976"/>
      <c r="BZ3" s="2976"/>
      <c r="CA3" s="2976"/>
      <c r="CB3" s="2976"/>
      <c r="CC3" s="2976"/>
      <c r="CD3" s="2976"/>
      <c r="CE3" s="2976"/>
      <c r="CF3" s="2976"/>
      <c r="CG3" s="2976"/>
      <c r="CH3" s="2976"/>
      <c r="CI3" s="2976"/>
      <c r="CJ3" s="2976"/>
      <c r="CK3" s="2976"/>
      <c r="CL3" s="2976"/>
      <c r="CM3" s="2976"/>
      <c r="CN3" s="2976"/>
      <c r="CO3" s="2976"/>
      <c r="CP3" s="2976"/>
      <c r="CQ3" s="2976"/>
      <c r="CR3" s="2976"/>
      <c r="CS3" s="2976"/>
      <c r="CT3" s="2976"/>
      <c r="CU3" s="2976"/>
      <c r="CV3" s="2976"/>
      <c r="CW3" s="2976"/>
      <c r="CX3" s="2976"/>
      <c r="CY3" s="2976"/>
      <c r="CZ3" s="2976"/>
      <c r="DA3" s="2976"/>
      <c r="DB3" s="2976"/>
      <c r="DC3" s="2976"/>
      <c r="DD3" s="2976"/>
      <c r="DE3" s="2976"/>
      <c r="DF3" s="2976"/>
      <c r="DG3" s="2976"/>
      <c r="DH3" s="2976"/>
      <c r="DI3" s="2976"/>
      <c r="DJ3" s="2976"/>
      <c r="DK3" s="2976"/>
      <c r="DL3" s="2976"/>
    </row>
    <row r="4" spans="1:116" s="2981" customFormat="1" ht="33" customHeight="1">
      <c r="A4" s="2983">
        <v>1</v>
      </c>
      <c r="B4" s="2984" t="s">
        <v>3137</v>
      </c>
      <c r="C4" s="2984" t="s">
        <v>3138</v>
      </c>
      <c r="D4" s="2985">
        <v>30123.46</v>
      </c>
      <c r="E4" s="2986">
        <f>D4*0.121257658</f>
        <v>3652.70021045668</v>
      </c>
      <c r="F4" s="2984" t="s">
        <v>3139</v>
      </c>
      <c r="G4" s="2980"/>
      <c r="H4" s="2976"/>
      <c r="I4" s="2976"/>
      <c r="J4" s="2976"/>
      <c r="K4" s="2976"/>
      <c r="L4" s="2976"/>
      <c r="M4" s="2976"/>
      <c r="N4" s="2976"/>
      <c r="O4" s="2976"/>
      <c r="P4" s="2976"/>
      <c r="Q4" s="2976"/>
      <c r="R4" s="2976"/>
      <c r="S4" s="2976"/>
      <c r="T4" s="2976"/>
      <c r="U4" s="2976"/>
      <c r="V4" s="2976"/>
      <c r="W4" s="2976"/>
      <c r="X4" s="2976"/>
      <c r="Y4" s="2976"/>
      <c r="Z4" s="2976"/>
      <c r="AA4" s="2976"/>
      <c r="AB4" s="2976"/>
      <c r="AC4" s="2976"/>
      <c r="AD4" s="2976"/>
      <c r="AE4" s="2976"/>
      <c r="AF4" s="2976"/>
      <c r="AG4" s="2976"/>
      <c r="AH4" s="2976"/>
      <c r="AI4" s="2976"/>
      <c r="AJ4" s="2976"/>
      <c r="AK4" s="2976"/>
      <c r="AL4" s="2976"/>
      <c r="AM4" s="2976"/>
      <c r="AN4" s="2976"/>
      <c r="AO4" s="2976"/>
      <c r="AP4" s="2976"/>
      <c r="AQ4" s="2976"/>
      <c r="AR4" s="2976"/>
      <c r="AS4" s="2976"/>
      <c r="AT4" s="2976"/>
      <c r="AU4" s="2976"/>
      <c r="AV4" s="2976"/>
      <c r="AW4" s="2976"/>
      <c r="AX4" s="2976"/>
      <c r="AY4" s="2976"/>
      <c r="AZ4" s="2976"/>
      <c r="BA4" s="2976"/>
      <c r="BB4" s="2976"/>
      <c r="BC4" s="2976"/>
      <c r="BD4" s="2976"/>
      <c r="BE4" s="2976"/>
      <c r="BF4" s="2976"/>
      <c r="BG4" s="2976"/>
      <c r="BH4" s="2976"/>
      <c r="BI4" s="2976"/>
      <c r="BJ4" s="2976"/>
      <c r="BK4" s="2976"/>
      <c r="BL4" s="2976"/>
      <c r="BM4" s="2976"/>
      <c r="BN4" s="2976"/>
      <c r="BO4" s="2976"/>
      <c r="BP4" s="2976"/>
      <c r="BQ4" s="2976"/>
      <c r="BR4" s="2976"/>
      <c r="BS4" s="2976"/>
      <c r="BT4" s="2976"/>
      <c r="BU4" s="2976"/>
      <c r="BV4" s="2976"/>
      <c r="BW4" s="2976"/>
      <c r="BX4" s="2976"/>
      <c r="BY4" s="2976"/>
      <c r="BZ4" s="2976"/>
      <c r="CA4" s="2976"/>
      <c r="CB4" s="2976"/>
      <c r="CC4" s="2976"/>
      <c r="CD4" s="2976"/>
      <c r="CE4" s="2976"/>
      <c r="CF4" s="2976"/>
      <c r="CG4" s="2976"/>
      <c r="CH4" s="2976"/>
      <c r="CI4" s="2976"/>
      <c r="CJ4" s="2976"/>
      <c r="CK4" s="2976"/>
      <c r="CL4" s="2976"/>
      <c r="CM4" s="2976"/>
      <c r="CN4" s="2976"/>
      <c r="CO4" s="2976"/>
      <c r="CP4" s="2976"/>
      <c r="CQ4" s="2976"/>
      <c r="CR4" s="2976"/>
      <c r="CS4" s="2976"/>
      <c r="CT4" s="2976"/>
      <c r="CU4" s="2976"/>
      <c r="CV4" s="2976"/>
      <c r="CW4" s="2976"/>
      <c r="CX4" s="2976"/>
      <c r="CY4" s="2976"/>
      <c r="CZ4" s="2976"/>
      <c r="DA4" s="2976"/>
      <c r="DB4" s="2976"/>
      <c r="DC4" s="2976"/>
      <c r="DD4" s="2976"/>
      <c r="DE4" s="2976"/>
      <c r="DF4" s="2976"/>
      <c r="DG4" s="2976"/>
      <c r="DH4" s="2976"/>
      <c r="DI4" s="2976"/>
      <c r="DJ4" s="2976"/>
      <c r="DK4" s="2976"/>
      <c r="DL4" s="2976"/>
    </row>
    <row r="5" spans="1:116" s="2981" customFormat="1" ht="33" customHeight="1">
      <c r="A5" s="2983">
        <v>2</v>
      </c>
      <c r="B5" s="2984" t="s">
        <v>3140</v>
      </c>
      <c r="C5" s="2984" t="s">
        <v>3141</v>
      </c>
      <c r="D5" s="2986">
        <v>70124.850000000006</v>
      </c>
      <c r="E5" s="2986">
        <f t="shared" ref="E5:E53" si="0">D5*0.12</f>
        <v>8414.982</v>
      </c>
      <c r="F5" s="2984" t="s">
        <v>3142</v>
      </c>
      <c r="G5" s="2980"/>
      <c r="H5" s="2976"/>
      <c r="I5" s="2976"/>
      <c r="J5" s="2976"/>
      <c r="K5" s="2976"/>
      <c r="L5" s="2976"/>
      <c r="M5" s="2976"/>
      <c r="N5" s="2976"/>
      <c r="O5" s="2976"/>
      <c r="P5" s="2976"/>
      <c r="Q5" s="2976"/>
      <c r="R5" s="2976"/>
      <c r="S5" s="2976"/>
      <c r="T5" s="2976"/>
      <c r="U5" s="2976"/>
      <c r="V5" s="2976"/>
      <c r="W5" s="2976"/>
      <c r="X5" s="2976"/>
      <c r="Y5" s="2976"/>
      <c r="Z5" s="2976"/>
      <c r="AA5" s="2976"/>
      <c r="AB5" s="2976"/>
      <c r="AC5" s="2976"/>
      <c r="AD5" s="2976"/>
      <c r="AE5" s="2976"/>
      <c r="AF5" s="2976"/>
      <c r="AG5" s="2976"/>
      <c r="AH5" s="2976"/>
      <c r="AI5" s="2976"/>
      <c r="AJ5" s="2976"/>
      <c r="AK5" s="2976"/>
      <c r="AL5" s="2976"/>
      <c r="AM5" s="2976"/>
      <c r="AN5" s="2976"/>
      <c r="AO5" s="2976"/>
      <c r="AP5" s="2976"/>
      <c r="AQ5" s="2976"/>
      <c r="AR5" s="2976"/>
      <c r="AS5" s="2976"/>
      <c r="AT5" s="2976"/>
      <c r="AU5" s="2976"/>
      <c r="AV5" s="2976"/>
      <c r="AW5" s="2976"/>
      <c r="AX5" s="2976"/>
      <c r="AY5" s="2976"/>
      <c r="AZ5" s="2976"/>
      <c r="BA5" s="2976"/>
      <c r="BB5" s="2976"/>
      <c r="BC5" s="2976"/>
      <c r="BD5" s="2976"/>
      <c r="BE5" s="2976"/>
      <c r="BF5" s="2976"/>
      <c r="BG5" s="2976"/>
      <c r="BH5" s="2976"/>
      <c r="BI5" s="2976"/>
      <c r="BJ5" s="2976"/>
      <c r="BK5" s="2976"/>
      <c r="BL5" s="2976"/>
      <c r="BM5" s="2976"/>
      <c r="BN5" s="2976"/>
      <c r="BO5" s="2976"/>
      <c r="BP5" s="2976"/>
      <c r="BQ5" s="2976"/>
      <c r="BR5" s="2976"/>
      <c r="BS5" s="2976"/>
      <c r="BT5" s="2976"/>
      <c r="BU5" s="2976"/>
      <c r="BV5" s="2976"/>
      <c r="BW5" s="2976"/>
      <c r="BX5" s="2976"/>
      <c r="BY5" s="2976"/>
      <c r="BZ5" s="2976"/>
      <c r="CA5" s="2976"/>
      <c r="CB5" s="2976"/>
      <c r="CC5" s="2976"/>
      <c r="CD5" s="2976"/>
      <c r="CE5" s="2976"/>
      <c r="CF5" s="2976"/>
      <c r="CG5" s="2976"/>
      <c r="CH5" s="2976"/>
      <c r="CI5" s="2976"/>
      <c r="CJ5" s="2976"/>
      <c r="CK5" s="2976"/>
      <c r="CL5" s="2976"/>
      <c r="CM5" s="2976"/>
      <c r="CN5" s="2976"/>
      <c r="CO5" s="2976"/>
      <c r="CP5" s="2976"/>
      <c r="CQ5" s="2976"/>
      <c r="CR5" s="2976"/>
      <c r="CS5" s="2976"/>
      <c r="CT5" s="2976"/>
      <c r="CU5" s="2976"/>
      <c r="CV5" s="2976"/>
      <c r="CW5" s="2976"/>
      <c r="CX5" s="2976"/>
      <c r="CY5" s="2976"/>
      <c r="CZ5" s="2976"/>
      <c r="DA5" s="2976"/>
      <c r="DB5" s="2976"/>
      <c r="DC5" s="2976"/>
      <c r="DD5" s="2976"/>
      <c r="DE5" s="2976"/>
      <c r="DF5" s="2976"/>
      <c r="DG5" s="2976"/>
      <c r="DH5" s="2976"/>
      <c r="DI5" s="2976"/>
      <c r="DJ5" s="2976"/>
      <c r="DK5" s="2976"/>
      <c r="DL5" s="2976"/>
    </row>
    <row r="6" spans="1:116" s="2981" customFormat="1" ht="33" customHeight="1">
      <c r="A6" s="2983">
        <v>3</v>
      </c>
      <c r="B6" s="2984" t="s">
        <v>3143</v>
      </c>
      <c r="C6" s="2984" t="s">
        <v>3144</v>
      </c>
      <c r="D6" s="2986">
        <v>27474.77</v>
      </c>
      <c r="E6" s="2986">
        <f t="shared" si="0"/>
        <v>3296.9724000000001</v>
      </c>
      <c r="F6" s="2984" t="s">
        <v>3145</v>
      </c>
      <c r="G6" s="2980"/>
      <c r="H6" s="2976"/>
      <c r="I6" s="2976"/>
      <c r="J6" s="2976"/>
      <c r="K6" s="2976"/>
      <c r="L6" s="2976"/>
      <c r="M6" s="2976"/>
      <c r="N6" s="2976"/>
      <c r="O6" s="2976"/>
      <c r="P6" s="2976"/>
      <c r="Q6" s="2976"/>
      <c r="R6" s="2976"/>
      <c r="S6" s="2976"/>
      <c r="T6" s="2976"/>
      <c r="U6" s="2976"/>
      <c r="V6" s="2976"/>
      <c r="W6" s="2976"/>
      <c r="X6" s="2976"/>
      <c r="Y6" s="2976"/>
      <c r="Z6" s="2976"/>
      <c r="AA6" s="2976"/>
      <c r="AB6" s="2976"/>
      <c r="AC6" s="2976"/>
      <c r="AD6" s="2976"/>
      <c r="AE6" s="2976"/>
      <c r="AF6" s="2976"/>
      <c r="AG6" s="2976"/>
      <c r="AH6" s="2976"/>
      <c r="AI6" s="2976"/>
      <c r="AJ6" s="2976"/>
      <c r="AK6" s="2976"/>
      <c r="AL6" s="2976"/>
      <c r="AM6" s="2976"/>
      <c r="AN6" s="2976"/>
      <c r="AO6" s="2976"/>
      <c r="AP6" s="2976"/>
      <c r="AQ6" s="2976"/>
      <c r="AR6" s="2976"/>
      <c r="AS6" s="2976"/>
      <c r="AT6" s="2976"/>
      <c r="AU6" s="2976"/>
      <c r="AV6" s="2976"/>
      <c r="AW6" s="2976"/>
      <c r="AX6" s="2976"/>
      <c r="AY6" s="2976"/>
      <c r="AZ6" s="2976"/>
      <c r="BA6" s="2976"/>
      <c r="BB6" s="2976"/>
      <c r="BC6" s="2976"/>
      <c r="BD6" s="2976"/>
      <c r="BE6" s="2976"/>
      <c r="BF6" s="2976"/>
      <c r="BG6" s="2976"/>
      <c r="BH6" s="2976"/>
      <c r="BI6" s="2976"/>
      <c r="BJ6" s="2976"/>
      <c r="BK6" s="2976"/>
      <c r="BL6" s="2976"/>
      <c r="BM6" s="2976"/>
      <c r="BN6" s="2976"/>
      <c r="BO6" s="2976"/>
      <c r="BP6" s="2976"/>
      <c r="BQ6" s="2976"/>
      <c r="BR6" s="2976"/>
      <c r="BS6" s="2976"/>
      <c r="BT6" s="2976"/>
      <c r="BU6" s="2976"/>
      <c r="BV6" s="2976"/>
      <c r="BW6" s="2976"/>
      <c r="BX6" s="2976"/>
      <c r="BY6" s="2976"/>
      <c r="BZ6" s="2976"/>
      <c r="CA6" s="2976"/>
      <c r="CB6" s="2976"/>
      <c r="CC6" s="2976"/>
      <c r="CD6" s="2976"/>
      <c r="CE6" s="2976"/>
      <c r="CF6" s="2976"/>
      <c r="CG6" s="2976"/>
      <c r="CH6" s="2976"/>
      <c r="CI6" s="2976"/>
      <c r="CJ6" s="2976"/>
      <c r="CK6" s="2976"/>
      <c r="CL6" s="2976"/>
      <c r="CM6" s="2976"/>
      <c r="CN6" s="2976"/>
      <c r="CO6" s="2976"/>
      <c r="CP6" s="2976"/>
      <c r="CQ6" s="2976"/>
      <c r="CR6" s="2976"/>
      <c r="CS6" s="2976"/>
      <c r="CT6" s="2976"/>
      <c r="CU6" s="2976"/>
      <c r="CV6" s="2976"/>
      <c r="CW6" s="2976"/>
      <c r="CX6" s="2976"/>
      <c r="CY6" s="2976"/>
      <c r="CZ6" s="2976"/>
      <c r="DA6" s="2976"/>
      <c r="DB6" s="2976"/>
      <c r="DC6" s="2976"/>
      <c r="DD6" s="2976"/>
      <c r="DE6" s="2976"/>
      <c r="DF6" s="2976"/>
      <c r="DG6" s="2976"/>
      <c r="DH6" s="2976"/>
      <c r="DI6" s="2976"/>
      <c r="DJ6" s="2976"/>
      <c r="DK6" s="2976"/>
      <c r="DL6" s="2976"/>
    </row>
    <row r="7" spans="1:116" s="2981" customFormat="1" ht="33" customHeight="1">
      <c r="A7" s="2983">
        <v>4</v>
      </c>
      <c r="B7" s="2984" t="s">
        <v>3146</v>
      </c>
      <c r="C7" s="2984" t="s">
        <v>3147</v>
      </c>
      <c r="D7" s="2986">
        <v>3703.8</v>
      </c>
      <c r="E7" s="2986">
        <f t="shared" si="0"/>
        <v>444.45600000000002</v>
      </c>
      <c r="F7" s="2984" t="s">
        <v>3148</v>
      </c>
      <c r="G7" s="2980"/>
      <c r="H7" s="2976"/>
      <c r="I7" s="2976"/>
      <c r="J7" s="2976"/>
      <c r="K7" s="2976"/>
      <c r="L7" s="2976"/>
      <c r="M7" s="2976"/>
      <c r="N7" s="2976"/>
      <c r="O7" s="2976"/>
      <c r="P7" s="2976"/>
      <c r="Q7" s="2976"/>
      <c r="R7" s="2976"/>
      <c r="S7" s="2976"/>
      <c r="T7" s="2976"/>
      <c r="U7" s="2976"/>
      <c r="V7" s="2976"/>
      <c r="W7" s="2976"/>
      <c r="X7" s="2976"/>
      <c r="Y7" s="2976"/>
      <c r="Z7" s="2976"/>
      <c r="AA7" s="2976"/>
      <c r="AB7" s="2976"/>
      <c r="AC7" s="2976"/>
      <c r="AD7" s="2976"/>
      <c r="AE7" s="2976"/>
      <c r="AF7" s="2976"/>
      <c r="AG7" s="2976"/>
      <c r="AH7" s="2976"/>
      <c r="AI7" s="2976"/>
      <c r="AJ7" s="2976"/>
      <c r="AK7" s="2976"/>
      <c r="AL7" s="2976"/>
      <c r="AM7" s="2976"/>
      <c r="AN7" s="2976"/>
      <c r="AO7" s="2976"/>
      <c r="AP7" s="2976"/>
      <c r="AQ7" s="2976"/>
      <c r="AR7" s="2976"/>
      <c r="AS7" s="2976"/>
      <c r="AT7" s="2976"/>
      <c r="AU7" s="2976"/>
      <c r="AV7" s="2976"/>
      <c r="AW7" s="2976"/>
      <c r="AX7" s="2976"/>
      <c r="AY7" s="2976"/>
      <c r="AZ7" s="2976"/>
      <c r="BA7" s="2976"/>
      <c r="BB7" s="2976"/>
      <c r="BC7" s="2976"/>
      <c r="BD7" s="2976"/>
      <c r="BE7" s="2976"/>
      <c r="BF7" s="2976"/>
      <c r="BG7" s="2976"/>
      <c r="BH7" s="2976"/>
      <c r="BI7" s="2976"/>
      <c r="BJ7" s="2976"/>
      <c r="BK7" s="2976"/>
      <c r="BL7" s="2976"/>
      <c r="BM7" s="2976"/>
      <c r="BN7" s="2976"/>
      <c r="BO7" s="2976"/>
      <c r="BP7" s="2976"/>
      <c r="BQ7" s="2976"/>
      <c r="BR7" s="2976"/>
      <c r="BS7" s="2976"/>
      <c r="BT7" s="2976"/>
      <c r="BU7" s="2976"/>
      <c r="BV7" s="2976"/>
      <c r="BW7" s="2976"/>
      <c r="BX7" s="2976"/>
      <c r="BY7" s="2976"/>
      <c r="BZ7" s="2976"/>
      <c r="CA7" s="2976"/>
      <c r="CB7" s="2976"/>
      <c r="CC7" s="2976"/>
      <c r="CD7" s="2976"/>
      <c r="CE7" s="2976"/>
      <c r="CF7" s="2976"/>
      <c r="CG7" s="2976"/>
      <c r="CH7" s="2976"/>
      <c r="CI7" s="2976"/>
      <c r="CJ7" s="2976"/>
      <c r="CK7" s="2976"/>
      <c r="CL7" s="2976"/>
      <c r="CM7" s="2976"/>
      <c r="CN7" s="2976"/>
      <c r="CO7" s="2976"/>
      <c r="CP7" s="2976"/>
      <c r="CQ7" s="2976"/>
      <c r="CR7" s="2976"/>
      <c r="CS7" s="2976"/>
      <c r="CT7" s="2976"/>
      <c r="CU7" s="2976"/>
      <c r="CV7" s="2976"/>
      <c r="CW7" s="2976"/>
      <c r="CX7" s="2976"/>
      <c r="CY7" s="2976"/>
      <c r="CZ7" s="2976"/>
      <c r="DA7" s="2976"/>
      <c r="DB7" s="2976"/>
      <c r="DC7" s="2976"/>
      <c r="DD7" s="2976"/>
      <c r="DE7" s="2976"/>
      <c r="DF7" s="2976"/>
      <c r="DG7" s="2976"/>
      <c r="DH7" s="2976"/>
      <c r="DI7" s="2976"/>
      <c r="DJ7" s="2976"/>
      <c r="DK7" s="2976"/>
      <c r="DL7" s="2976"/>
    </row>
    <row r="8" spans="1:116" s="2981" customFormat="1" ht="33" customHeight="1">
      <c r="A8" s="2983">
        <v>5</v>
      </c>
      <c r="B8" s="2984" t="s">
        <v>3149</v>
      </c>
      <c r="C8" s="2984" t="s">
        <v>3150</v>
      </c>
      <c r="D8" s="2986">
        <v>95000</v>
      </c>
      <c r="E8" s="2986">
        <f t="shared" si="0"/>
        <v>11400</v>
      </c>
      <c r="F8" s="2984" t="s">
        <v>3151</v>
      </c>
      <c r="G8" s="2980"/>
      <c r="H8" s="2976"/>
      <c r="I8" s="2976"/>
      <c r="J8" s="2976"/>
      <c r="K8" s="2976"/>
      <c r="L8" s="2976"/>
      <c r="M8" s="2976"/>
      <c r="N8" s="2976"/>
      <c r="O8" s="2976"/>
      <c r="P8" s="2976"/>
      <c r="Q8" s="2976"/>
      <c r="R8" s="2976"/>
      <c r="S8" s="2976"/>
      <c r="T8" s="2976"/>
      <c r="U8" s="2976"/>
      <c r="V8" s="2976"/>
      <c r="W8" s="2976"/>
      <c r="X8" s="2976"/>
      <c r="Y8" s="2976"/>
      <c r="Z8" s="2976"/>
      <c r="AA8" s="2976"/>
      <c r="AB8" s="2976"/>
      <c r="AC8" s="2976"/>
      <c r="AD8" s="2976"/>
      <c r="AE8" s="2976"/>
      <c r="AF8" s="2976"/>
      <c r="AG8" s="2976"/>
      <c r="AH8" s="2976"/>
      <c r="AI8" s="2976"/>
      <c r="AJ8" s="2976"/>
      <c r="AK8" s="2976"/>
      <c r="AL8" s="2976"/>
      <c r="AM8" s="2976"/>
      <c r="AN8" s="2976"/>
      <c r="AO8" s="2976"/>
      <c r="AP8" s="2976"/>
      <c r="AQ8" s="2976"/>
      <c r="AR8" s="2976"/>
      <c r="AS8" s="2976"/>
      <c r="AT8" s="2976"/>
      <c r="AU8" s="2976"/>
      <c r="AV8" s="2976"/>
      <c r="AW8" s="2976"/>
      <c r="AX8" s="2976"/>
      <c r="AY8" s="2976"/>
      <c r="AZ8" s="2976"/>
      <c r="BA8" s="2976"/>
      <c r="BB8" s="2976"/>
      <c r="BC8" s="2976"/>
      <c r="BD8" s="2976"/>
      <c r="BE8" s="2976"/>
      <c r="BF8" s="2976"/>
      <c r="BG8" s="2976"/>
      <c r="BH8" s="2976"/>
      <c r="BI8" s="2976"/>
      <c r="BJ8" s="2976"/>
      <c r="BK8" s="2976"/>
      <c r="BL8" s="2976"/>
      <c r="BM8" s="2976"/>
      <c r="BN8" s="2976"/>
      <c r="BO8" s="2976"/>
      <c r="BP8" s="2976"/>
      <c r="BQ8" s="2976"/>
      <c r="BR8" s="2976"/>
      <c r="BS8" s="2976"/>
      <c r="BT8" s="2976"/>
      <c r="BU8" s="2976"/>
      <c r="BV8" s="2976"/>
      <c r="BW8" s="2976"/>
      <c r="BX8" s="2976"/>
      <c r="BY8" s="2976"/>
      <c r="BZ8" s="2976"/>
      <c r="CA8" s="2976"/>
      <c r="CB8" s="2976"/>
      <c r="CC8" s="2976"/>
      <c r="CD8" s="2976"/>
      <c r="CE8" s="2976"/>
      <c r="CF8" s="2976"/>
      <c r="CG8" s="2976"/>
      <c r="CH8" s="2976"/>
      <c r="CI8" s="2976"/>
      <c r="CJ8" s="2976"/>
      <c r="CK8" s="2976"/>
      <c r="CL8" s="2976"/>
      <c r="CM8" s="2976"/>
      <c r="CN8" s="2976"/>
      <c r="CO8" s="2976"/>
      <c r="CP8" s="2976"/>
      <c r="CQ8" s="2976"/>
      <c r="CR8" s="2976"/>
      <c r="CS8" s="2976"/>
      <c r="CT8" s="2976"/>
      <c r="CU8" s="2976"/>
      <c r="CV8" s="2976"/>
      <c r="CW8" s="2976"/>
      <c r="CX8" s="2976"/>
      <c r="CY8" s="2976"/>
      <c r="CZ8" s="2976"/>
      <c r="DA8" s="2976"/>
      <c r="DB8" s="2976"/>
      <c r="DC8" s="2976"/>
      <c r="DD8" s="2976"/>
      <c r="DE8" s="2976"/>
      <c r="DF8" s="2976"/>
      <c r="DG8" s="2976"/>
      <c r="DH8" s="2976"/>
      <c r="DI8" s="2976"/>
      <c r="DJ8" s="2976"/>
      <c r="DK8" s="2976"/>
      <c r="DL8" s="2976"/>
    </row>
    <row r="9" spans="1:116" s="2981" customFormat="1" ht="33" customHeight="1">
      <c r="A9" s="2983">
        <v>6</v>
      </c>
      <c r="B9" s="2984" t="s">
        <v>3152</v>
      </c>
      <c r="C9" s="2984" t="s">
        <v>3153</v>
      </c>
      <c r="D9" s="2986">
        <v>200000</v>
      </c>
      <c r="E9" s="2986">
        <f t="shared" si="0"/>
        <v>24000</v>
      </c>
      <c r="F9" s="2984" t="s">
        <v>3154</v>
      </c>
      <c r="G9" s="2980"/>
      <c r="H9" s="2976"/>
      <c r="I9" s="2976"/>
      <c r="J9" s="2976"/>
      <c r="K9" s="2976"/>
      <c r="L9" s="2976"/>
      <c r="M9" s="2976"/>
      <c r="N9" s="2976"/>
      <c r="O9" s="2976"/>
      <c r="P9" s="2976"/>
      <c r="Q9" s="2976"/>
      <c r="R9" s="2976"/>
      <c r="S9" s="2976"/>
      <c r="T9" s="2976"/>
      <c r="U9" s="2976"/>
      <c r="V9" s="2976"/>
      <c r="W9" s="2976"/>
      <c r="X9" s="2976"/>
      <c r="Y9" s="2976"/>
      <c r="Z9" s="2976"/>
      <c r="AA9" s="2976"/>
      <c r="AB9" s="2976"/>
      <c r="AC9" s="2976"/>
      <c r="AD9" s="2976"/>
      <c r="AE9" s="2976"/>
      <c r="AF9" s="2976"/>
      <c r="AG9" s="2976"/>
      <c r="AH9" s="2976"/>
      <c r="AI9" s="2976"/>
      <c r="AJ9" s="2976"/>
      <c r="AK9" s="2976"/>
      <c r="AL9" s="2976"/>
      <c r="AM9" s="2976"/>
      <c r="AN9" s="2976"/>
      <c r="AO9" s="2976"/>
      <c r="AP9" s="2976"/>
      <c r="AQ9" s="2976"/>
      <c r="AR9" s="2976"/>
      <c r="AS9" s="2976"/>
      <c r="AT9" s="2976"/>
      <c r="AU9" s="2976"/>
      <c r="AV9" s="2976"/>
      <c r="AW9" s="2976"/>
      <c r="AX9" s="2976"/>
      <c r="AY9" s="2976"/>
      <c r="AZ9" s="2976"/>
      <c r="BA9" s="2976"/>
      <c r="BB9" s="2976"/>
      <c r="BC9" s="2976"/>
      <c r="BD9" s="2976"/>
      <c r="BE9" s="2976"/>
      <c r="BF9" s="2976"/>
      <c r="BG9" s="2976"/>
      <c r="BH9" s="2976"/>
      <c r="BI9" s="2976"/>
      <c r="BJ9" s="2976"/>
      <c r="BK9" s="2976"/>
      <c r="BL9" s="2976"/>
      <c r="BM9" s="2976"/>
      <c r="BN9" s="2976"/>
      <c r="BO9" s="2976"/>
      <c r="BP9" s="2976"/>
      <c r="BQ9" s="2976"/>
      <c r="BR9" s="2976"/>
      <c r="BS9" s="2976"/>
      <c r="BT9" s="2976"/>
      <c r="BU9" s="2976"/>
      <c r="BV9" s="2976"/>
      <c r="BW9" s="2976"/>
      <c r="BX9" s="2976"/>
      <c r="BY9" s="2976"/>
      <c r="BZ9" s="2976"/>
      <c r="CA9" s="2976"/>
      <c r="CB9" s="2976"/>
      <c r="CC9" s="2976"/>
      <c r="CD9" s="2976"/>
      <c r="CE9" s="2976"/>
      <c r="CF9" s="2976"/>
      <c r="CG9" s="2976"/>
      <c r="CH9" s="2976"/>
      <c r="CI9" s="2976"/>
      <c r="CJ9" s="2976"/>
      <c r="CK9" s="2976"/>
      <c r="CL9" s="2976"/>
      <c r="CM9" s="2976"/>
      <c r="CN9" s="2976"/>
      <c r="CO9" s="2976"/>
      <c r="CP9" s="2976"/>
      <c r="CQ9" s="2976"/>
      <c r="CR9" s="2976"/>
      <c r="CS9" s="2976"/>
      <c r="CT9" s="2976"/>
      <c r="CU9" s="2976"/>
      <c r="CV9" s="2976"/>
      <c r="CW9" s="2976"/>
      <c r="CX9" s="2976"/>
      <c r="CY9" s="2976"/>
      <c r="CZ9" s="2976"/>
      <c r="DA9" s="2976"/>
      <c r="DB9" s="2976"/>
      <c r="DC9" s="2976"/>
      <c r="DD9" s="2976"/>
      <c r="DE9" s="2976"/>
      <c r="DF9" s="2976"/>
      <c r="DG9" s="2976"/>
      <c r="DH9" s="2976"/>
      <c r="DI9" s="2976"/>
      <c r="DJ9" s="2976"/>
      <c r="DK9" s="2976"/>
      <c r="DL9" s="2976"/>
    </row>
    <row r="10" spans="1:116" s="2981" customFormat="1" ht="33" customHeight="1">
      <c r="A10" s="3007">
        <v>7</v>
      </c>
      <c r="B10" s="3008" t="s">
        <v>3155</v>
      </c>
      <c r="C10" s="3008" t="s">
        <v>3156</v>
      </c>
      <c r="D10" s="3009">
        <v>136624.16</v>
      </c>
      <c r="E10" s="3009">
        <f t="shared" si="0"/>
        <v>16394.8992</v>
      </c>
      <c r="F10" s="3008" t="s">
        <v>3157</v>
      </c>
      <c r="G10" s="2980"/>
      <c r="H10" s="2976"/>
      <c r="I10" s="2976"/>
      <c r="J10" s="2976"/>
      <c r="K10" s="2976"/>
      <c r="L10" s="2976"/>
      <c r="M10" s="2976"/>
      <c r="N10" s="2976"/>
      <c r="O10" s="2976"/>
      <c r="P10" s="2976"/>
      <c r="Q10" s="2976"/>
      <c r="R10" s="2976"/>
      <c r="S10" s="2976"/>
      <c r="T10" s="2976"/>
      <c r="U10" s="2976"/>
      <c r="V10" s="2976"/>
      <c r="W10" s="2976"/>
      <c r="X10" s="2976"/>
      <c r="Y10" s="2976"/>
      <c r="Z10" s="2976"/>
      <c r="AA10" s="2976"/>
      <c r="AB10" s="2976"/>
      <c r="AC10" s="2976"/>
      <c r="AD10" s="2976"/>
      <c r="AE10" s="2976"/>
      <c r="AF10" s="2976"/>
      <c r="AG10" s="2976"/>
      <c r="AH10" s="2976"/>
      <c r="AI10" s="2976"/>
      <c r="AJ10" s="2976"/>
      <c r="AK10" s="2976"/>
      <c r="AL10" s="2976"/>
      <c r="AM10" s="2976"/>
      <c r="AN10" s="2976"/>
      <c r="AO10" s="2976"/>
      <c r="AP10" s="2976"/>
      <c r="AQ10" s="2976"/>
      <c r="AR10" s="2976"/>
      <c r="AS10" s="2976"/>
      <c r="AT10" s="2976"/>
      <c r="AU10" s="2976"/>
      <c r="AV10" s="2976"/>
      <c r="AW10" s="2976"/>
      <c r="AX10" s="2976"/>
      <c r="AY10" s="2976"/>
      <c r="AZ10" s="2976"/>
      <c r="BA10" s="2976"/>
      <c r="BB10" s="2976"/>
      <c r="BC10" s="2976"/>
      <c r="BD10" s="2976"/>
      <c r="BE10" s="2976"/>
      <c r="BF10" s="2976"/>
      <c r="BG10" s="2976"/>
      <c r="BH10" s="2976"/>
      <c r="BI10" s="2976"/>
      <c r="BJ10" s="2976"/>
      <c r="BK10" s="2976"/>
      <c r="BL10" s="2976"/>
      <c r="BM10" s="2976"/>
      <c r="BN10" s="2976"/>
      <c r="BO10" s="2976"/>
      <c r="BP10" s="2976"/>
      <c r="BQ10" s="2976"/>
      <c r="BR10" s="2976"/>
      <c r="BS10" s="2976"/>
      <c r="BT10" s="2976"/>
      <c r="BU10" s="2976"/>
      <c r="BV10" s="2976"/>
      <c r="BW10" s="2976"/>
      <c r="BX10" s="2976"/>
      <c r="BY10" s="2976"/>
      <c r="BZ10" s="2976"/>
      <c r="CA10" s="2976"/>
      <c r="CB10" s="2976"/>
      <c r="CC10" s="2976"/>
      <c r="CD10" s="2976"/>
      <c r="CE10" s="2976"/>
      <c r="CF10" s="2976"/>
      <c r="CG10" s="2976"/>
      <c r="CH10" s="2976"/>
      <c r="CI10" s="2976"/>
      <c r="CJ10" s="2976"/>
      <c r="CK10" s="2976"/>
      <c r="CL10" s="2976"/>
      <c r="CM10" s="2976"/>
      <c r="CN10" s="2976"/>
      <c r="CO10" s="2976"/>
      <c r="CP10" s="2976"/>
      <c r="CQ10" s="2976"/>
      <c r="CR10" s="2976"/>
      <c r="CS10" s="2976"/>
      <c r="CT10" s="2976"/>
      <c r="CU10" s="2976"/>
      <c r="CV10" s="2976"/>
      <c r="CW10" s="2976"/>
      <c r="CX10" s="2976"/>
      <c r="CY10" s="2976"/>
      <c r="CZ10" s="2976"/>
      <c r="DA10" s="2976"/>
      <c r="DB10" s="2976"/>
      <c r="DC10" s="2976"/>
      <c r="DD10" s="2976"/>
      <c r="DE10" s="2976"/>
      <c r="DF10" s="2976"/>
      <c r="DG10" s="2976"/>
      <c r="DH10" s="2976"/>
      <c r="DI10" s="2976"/>
      <c r="DJ10" s="2976"/>
      <c r="DK10" s="2976"/>
      <c r="DL10" s="2976"/>
    </row>
    <row r="11" spans="1:116" s="2981" customFormat="1" ht="33" customHeight="1">
      <c r="A11" s="2983">
        <v>8</v>
      </c>
      <c r="B11" s="2984" t="s">
        <v>3158</v>
      </c>
      <c r="C11" s="2983" t="s">
        <v>3159</v>
      </c>
      <c r="D11" s="2986">
        <v>69883.13</v>
      </c>
      <c r="E11" s="2986">
        <f t="shared" si="0"/>
        <v>8385.9755999999998</v>
      </c>
      <c r="F11" s="2984" t="s">
        <v>3160</v>
      </c>
      <c r="G11" s="2980"/>
      <c r="H11" s="2976"/>
      <c r="I11" s="2976"/>
      <c r="J11" s="2976"/>
      <c r="K11" s="2976"/>
      <c r="L11" s="2976"/>
      <c r="M11" s="2976"/>
      <c r="N11" s="2976"/>
      <c r="O11" s="2976"/>
      <c r="P11" s="2976"/>
      <c r="Q11" s="2976"/>
      <c r="R11" s="2976"/>
      <c r="S11" s="2976"/>
      <c r="T11" s="2976"/>
      <c r="U11" s="2976"/>
      <c r="V11" s="2976"/>
      <c r="W11" s="2976"/>
      <c r="X11" s="2976"/>
      <c r="Y11" s="2976"/>
      <c r="Z11" s="2976"/>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row>
    <row r="12" spans="1:116" s="2981" customFormat="1" ht="33" customHeight="1">
      <c r="A12" s="2983">
        <v>9</v>
      </c>
      <c r="B12" s="2984" t="s">
        <v>3161</v>
      </c>
      <c r="C12" s="2983" t="s">
        <v>3162</v>
      </c>
      <c r="D12" s="2987">
        <v>46459.05</v>
      </c>
      <c r="E12" s="2986">
        <f t="shared" si="0"/>
        <v>5575.0860000000002</v>
      </c>
      <c r="F12" s="2984" t="s">
        <v>3160</v>
      </c>
      <c r="G12" s="2988" t="s">
        <v>3163</v>
      </c>
      <c r="H12" s="2976"/>
      <c r="I12" s="2976"/>
      <c r="J12" s="2976"/>
      <c r="K12" s="2976"/>
      <c r="L12" s="2976"/>
      <c r="M12" s="2976"/>
      <c r="N12" s="2976"/>
      <c r="O12" s="2976"/>
      <c r="P12" s="2976"/>
      <c r="Q12" s="2976"/>
      <c r="R12" s="2976"/>
      <c r="S12" s="2976"/>
      <c r="T12" s="2976"/>
      <c r="U12" s="2976"/>
      <c r="V12" s="2976"/>
      <c r="W12" s="2976"/>
      <c r="X12" s="2976"/>
      <c r="Y12" s="2976"/>
      <c r="Z12" s="2976"/>
      <c r="AA12" s="2976"/>
      <c r="AB12" s="2976"/>
      <c r="AC12" s="2976"/>
      <c r="AD12" s="2976"/>
      <c r="AE12" s="2976"/>
      <c r="AF12" s="2976"/>
      <c r="AG12" s="2976"/>
      <c r="AH12" s="2976"/>
      <c r="AI12" s="2976"/>
      <c r="AJ12" s="2976"/>
      <c r="AK12" s="2976"/>
      <c r="AL12" s="2976"/>
      <c r="AM12" s="2976"/>
      <c r="AN12" s="2976"/>
      <c r="AO12" s="2976"/>
      <c r="AP12" s="2976"/>
      <c r="AQ12" s="2976"/>
      <c r="AR12" s="2976"/>
      <c r="AS12" s="2976"/>
      <c r="AT12" s="2976"/>
      <c r="AU12" s="2976"/>
      <c r="AV12" s="2976"/>
      <c r="AW12" s="2976"/>
      <c r="AX12" s="2976"/>
      <c r="AY12" s="2976"/>
      <c r="AZ12" s="2976"/>
      <c r="BA12" s="2976"/>
      <c r="BB12" s="2976"/>
      <c r="BC12" s="2976"/>
      <c r="BD12" s="2976"/>
      <c r="BE12" s="2976"/>
      <c r="BF12" s="2976"/>
      <c r="BG12" s="2976"/>
      <c r="BH12" s="2976"/>
      <c r="BI12" s="2976"/>
      <c r="BJ12" s="2976"/>
      <c r="BK12" s="2976"/>
      <c r="BL12" s="2976"/>
      <c r="BM12" s="2976"/>
      <c r="BN12" s="2976"/>
      <c r="BO12" s="2976"/>
      <c r="BP12" s="2976"/>
      <c r="BQ12" s="2976"/>
      <c r="BR12" s="2976"/>
      <c r="BS12" s="2976"/>
      <c r="BT12" s="2976"/>
      <c r="BU12" s="2976"/>
      <c r="BV12" s="2976"/>
      <c r="BW12" s="2976"/>
      <c r="BX12" s="2976"/>
      <c r="BY12" s="2976"/>
      <c r="BZ12" s="2976"/>
      <c r="CA12" s="2976"/>
      <c r="CB12" s="2976"/>
      <c r="CC12" s="2976"/>
      <c r="CD12" s="2976"/>
      <c r="CE12" s="2976"/>
      <c r="CF12" s="2976"/>
      <c r="CG12" s="2976"/>
      <c r="CH12" s="2976"/>
      <c r="CI12" s="2976"/>
      <c r="CJ12" s="2976"/>
      <c r="CK12" s="2976"/>
      <c r="CL12" s="2976"/>
      <c r="CM12" s="2976"/>
      <c r="CN12" s="2976"/>
      <c r="CO12" s="2976"/>
      <c r="CP12" s="2976"/>
      <c r="CQ12" s="2976"/>
      <c r="CR12" s="2976"/>
      <c r="CS12" s="2976"/>
      <c r="CT12" s="2976"/>
      <c r="CU12" s="2976"/>
      <c r="CV12" s="2976"/>
      <c r="CW12" s="2976"/>
      <c r="CX12" s="2976"/>
      <c r="CY12" s="2976"/>
      <c r="CZ12" s="2976"/>
      <c r="DA12" s="2976"/>
      <c r="DB12" s="2976"/>
      <c r="DC12" s="2976"/>
      <c r="DD12" s="2976"/>
      <c r="DE12" s="2976"/>
      <c r="DF12" s="2976"/>
      <c r="DG12" s="2976"/>
      <c r="DH12" s="2976"/>
      <c r="DI12" s="2976"/>
      <c r="DJ12" s="2976"/>
      <c r="DK12" s="2976"/>
      <c r="DL12" s="2976"/>
    </row>
    <row r="13" spans="1:116" s="2981" customFormat="1" ht="33" customHeight="1">
      <c r="A13" s="2983">
        <v>10</v>
      </c>
      <c r="B13" s="2984" t="s">
        <v>3164</v>
      </c>
      <c r="C13" s="2984" t="s">
        <v>3165</v>
      </c>
      <c r="D13" s="2986">
        <v>34307.49</v>
      </c>
      <c r="E13" s="2986">
        <f t="shared" si="0"/>
        <v>4116.8987999999999</v>
      </c>
      <c r="F13" s="2984" t="s">
        <v>3160</v>
      </c>
      <c r="G13" s="2988" t="s">
        <v>3163</v>
      </c>
      <c r="H13" s="2976"/>
      <c r="I13" s="2976"/>
      <c r="J13" s="2976"/>
      <c r="K13" s="2976"/>
      <c r="L13" s="2976"/>
      <c r="M13" s="2976"/>
      <c r="N13" s="2976"/>
      <c r="O13" s="2976"/>
      <c r="P13" s="2976"/>
      <c r="Q13" s="2976"/>
      <c r="R13" s="2976"/>
      <c r="S13" s="2976"/>
      <c r="T13" s="2976"/>
      <c r="U13" s="2976"/>
      <c r="V13" s="2976"/>
      <c r="W13" s="2976"/>
      <c r="X13" s="2976"/>
      <c r="Y13" s="2976"/>
      <c r="Z13" s="2976"/>
      <c r="AA13" s="2976"/>
      <c r="AB13" s="2976"/>
      <c r="AC13" s="2976"/>
      <c r="AD13" s="2976"/>
      <c r="AE13" s="2976"/>
      <c r="AF13" s="2976"/>
      <c r="AG13" s="2976"/>
      <c r="AH13" s="2976"/>
      <c r="AI13" s="2976"/>
      <c r="AJ13" s="2976"/>
      <c r="AK13" s="2976"/>
      <c r="AL13" s="2976"/>
      <c r="AM13" s="2976"/>
      <c r="AN13" s="2976"/>
      <c r="AO13" s="2976"/>
      <c r="AP13" s="2976"/>
      <c r="AQ13" s="2976"/>
      <c r="AR13" s="2976"/>
      <c r="AS13" s="2976"/>
      <c r="AT13" s="2976"/>
      <c r="AU13" s="2976"/>
      <c r="AV13" s="2976"/>
      <c r="AW13" s="2976"/>
      <c r="AX13" s="2976"/>
      <c r="AY13" s="2976"/>
      <c r="AZ13" s="2976"/>
      <c r="BA13" s="2976"/>
      <c r="BB13" s="2976"/>
      <c r="BC13" s="2976"/>
      <c r="BD13" s="2976"/>
      <c r="BE13" s="2976"/>
      <c r="BF13" s="2976"/>
      <c r="BG13" s="2976"/>
      <c r="BH13" s="2976"/>
      <c r="BI13" s="2976"/>
      <c r="BJ13" s="2976"/>
      <c r="BK13" s="2976"/>
      <c r="BL13" s="2976"/>
      <c r="BM13" s="2976"/>
      <c r="BN13" s="2976"/>
      <c r="BO13" s="2976"/>
      <c r="BP13" s="2976"/>
      <c r="BQ13" s="2976"/>
      <c r="BR13" s="2976"/>
      <c r="BS13" s="2976"/>
      <c r="BT13" s="2976"/>
      <c r="BU13" s="2976"/>
      <c r="BV13" s="2976"/>
      <c r="BW13" s="2976"/>
      <c r="BX13" s="2976"/>
      <c r="BY13" s="2976"/>
      <c r="BZ13" s="2976"/>
      <c r="CA13" s="2976"/>
      <c r="CB13" s="2976"/>
      <c r="CC13" s="2976"/>
      <c r="CD13" s="2976"/>
      <c r="CE13" s="2976"/>
      <c r="CF13" s="2976"/>
      <c r="CG13" s="2976"/>
      <c r="CH13" s="2976"/>
      <c r="CI13" s="2976"/>
      <c r="CJ13" s="2976"/>
      <c r="CK13" s="2976"/>
      <c r="CL13" s="2976"/>
      <c r="CM13" s="2976"/>
      <c r="CN13" s="2976"/>
      <c r="CO13" s="2976"/>
      <c r="CP13" s="2976"/>
      <c r="CQ13" s="2976"/>
      <c r="CR13" s="2976"/>
      <c r="CS13" s="2976"/>
      <c r="CT13" s="2976"/>
      <c r="CU13" s="2976"/>
      <c r="CV13" s="2976"/>
      <c r="CW13" s="2976"/>
      <c r="CX13" s="2976"/>
      <c r="CY13" s="2976"/>
      <c r="CZ13" s="2976"/>
      <c r="DA13" s="2976"/>
      <c r="DB13" s="2976"/>
      <c r="DC13" s="2976"/>
      <c r="DD13" s="2976"/>
      <c r="DE13" s="2976"/>
      <c r="DF13" s="2976"/>
      <c r="DG13" s="2976"/>
      <c r="DH13" s="2976"/>
      <c r="DI13" s="2976"/>
      <c r="DJ13" s="2976"/>
      <c r="DK13" s="2976"/>
      <c r="DL13" s="2976"/>
    </row>
    <row r="14" spans="1:116" s="2981" customFormat="1" ht="33" customHeight="1">
      <c r="A14" s="2983">
        <v>11</v>
      </c>
      <c r="B14" s="2984" t="s">
        <v>3166</v>
      </c>
      <c r="C14" s="2983" t="s">
        <v>3162</v>
      </c>
      <c r="D14" s="2986">
        <v>33837.660000000003</v>
      </c>
      <c r="E14" s="2986">
        <v>3659.35</v>
      </c>
      <c r="F14" s="2984" t="s">
        <v>3160</v>
      </c>
      <c r="G14" s="2988" t="s">
        <v>3163</v>
      </c>
      <c r="H14" s="2976"/>
      <c r="I14" s="2976"/>
      <c r="J14" s="2976"/>
      <c r="K14" s="2976"/>
      <c r="L14" s="2976"/>
      <c r="M14" s="2976"/>
      <c r="N14" s="2976"/>
      <c r="O14" s="2976"/>
      <c r="P14" s="2976"/>
      <c r="Q14" s="2976"/>
      <c r="R14" s="2976"/>
      <c r="S14" s="2976"/>
      <c r="T14" s="2976"/>
      <c r="U14" s="2976"/>
      <c r="V14" s="2976"/>
      <c r="W14" s="2976"/>
      <c r="X14" s="2976"/>
      <c r="Y14" s="2976"/>
      <c r="Z14" s="2976"/>
      <c r="AA14" s="2976"/>
      <c r="AB14" s="2976"/>
      <c r="AC14" s="2976"/>
      <c r="AD14" s="2976"/>
      <c r="AE14" s="2976"/>
      <c r="AF14" s="2976"/>
      <c r="AG14" s="2976"/>
      <c r="AH14" s="2976"/>
      <c r="AI14" s="2976"/>
      <c r="AJ14" s="2976"/>
      <c r="AK14" s="2976"/>
      <c r="AL14" s="2976"/>
      <c r="AM14" s="2976"/>
      <c r="AN14" s="2976"/>
      <c r="AO14" s="2976"/>
      <c r="AP14" s="2976"/>
      <c r="AQ14" s="2976"/>
      <c r="AR14" s="2976"/>
      <c r="AS14" s="2976"/>
      <c r="AT14" s="2976"/>
      <c r="AU14" s="2976"/>
      <c r="AV14" s="2976"/>
      <c r="AW14" s="2976"/>
      <c r="AX14" s="2976"/>
      <c r="AY14" s="2976"/>
      <c r="AZ14" s="2976"/>
      <c r="BA14" s="2976"/>
      <c r="BB14" s="2976"/>
      <c r="BC14" s="2976"/>
      <c r="BD14" s="2976"/>
      <c r="BE14" s="2976"/>
      <c r="BF14" s="2976"/>
      <c r="BG14" s="2976"/>
      <c r="BH14" s="2976"/>
      <c r="BI14" s="2976"/>
      <c r="BJ14" s="2976"/>
      <c r="BK14" s="2976"/>
      <c r="BL14" s="2976"/>
      <c r="BM14" s="2976"/>
      <c r="BN14" s="2976"/>
      <c r="BO14" s="2976"/>
      <c r="BP14" s="2976"/>
      <c r="BQ14" s="2976"/>
      <c r="BR14" s="2976"/>
      <c r="BS14" s="2976"/>
      <c r="BT14" s="2976"/>
      <c r="BU14" s="2976"/>
      <c r="BV14" s="2976"/>
      <c r="BW14" s="2976"/>
      <c r="BX14" s="2976"/>
      <c r="BY14" s="2976"/>
      <c r="BZ14" s="2976"/>
      <c r="CA14" s="2976"/>
      <c r="CB14" s="2976"/>
      <c r="CC14" s="2976"/>
      <c r="CD14" s="2976"/>
      <c r="CE14" s="2976"/>
      <c r="CF14" s="2976"/>
      <c r="CG14" s="2976"/>
      <c r="CH14" s="2976"/>
      <c r="CI14" s="2976"/>
      <c r="CJ14" s="2976"/>
      <c r="CK14" s="2976"/>
      <c r="CL14" s="2976"/>
      <c r="CM14" s="2976"/>
      <c r="CN14" s="2976"/>
      <c r="CO14" s="2976"/>
      <c r="CP14" s="2976"/>
      <c r="CQ14" s="2976"/>
      <c r="CR14" s="2976"/>
      <c r="CS14" s="2976"/>
      <c r="CT14" s="2976"/>
      <c r="CU14" s="2976"/>
      <c r="CV14" s="2976"/>
      <c r="CW14" s="2976"/>
      <c r="CX14" s="2976"/>
      <c r="CY14" s="2976"/>
      <c r="CZ14" s="2976"/>
      <c r="DA14" s="2976"/>
      <c r="DB14" s="2976"/>
      <c r="DC14" s="2976"/>
      <c r="DD14" s="2976"/>
      <c r="DE14" s="2976"/>
      <c r="DF14" s="2976"/>
      <c r="DG14" s="2976"/>
      <c r="DH14" s="2976"/>
      <c r="DI14" s="2976"/>
      <c r="DJ14" s="2976"/>
      <c r="DK14" s="2976"/>
      <c r="DL14" s="2976"/>
    </row>
    <row r="15" spans="1:116" s="2981" customFormat="1" ht="33" customHeight="1">
      <c r="A15" s="2983">
        <v>12</v>
      </c>
      <c r="B15" s="2984" t="s">
        <v>3167</v>
      </c>
      <c r="C15" s="2983" t="s">
        <v>3162</v>
      </c>
      <c r="D15" s="2986">
        <v>22240.11</v>
      </c>
      <c r="E15" s="2986">
        <v>2405.14</v>
      </c>
      <c r="F15" s="2984" t="s">
        <v>3160</v>
      </c>
      <c r="G15" s="2988" t="s">
        <v>3163</v>
      </c>
      <c r="H15" s="2976"/>
      <c r="I15" s="2976"/>
      <c r="J15" s="2976"/>
      <c r="K15" s="2976"/>
      <c r="L15" s="2976"/>
      <c r="M15" s="2976"/>
      <c r="N15" s="2976"/>
      <c r="O15" s="2976"/>
      <c r="P15" s="2976"/>
      <c r="Q15" s="2976"/>
      <c r="R15" s="2976"/>
      <c r="S15" s="2976"/>
      <c r="T15" s="2976"/>
      <c r="U15" s="2976"/>
      <c r="V15" s="2976"/>
      <c r="W15" s="2976"/>
      <c r="X15" s="2976"/>
      <c r="Y15" s="2976"/>
      <c r="Z15" s="2976"/>
      <c r="AA15" s="2976"/>
      <c r="AB15" s="2976"/>
      <c r="AC15" s="2976"/>
      <c r="AD15" s="2976"/>
      <c r="AE15" s="2976"/>
      <c r="AF15" s="2976"/>
      <c r="AG15" s="2976"/>
      <c r="AH15" s="2976"/>
      <c r="AI15" s="2976"/>
      <c r="AJ15" s="2976"/>
      <c r="AK15" s="2976"/>
      <c r="AL15" s="2976"/>
      <c r="AM15" s="2976"/>
      <c r="AN15" s="2976"/>
      <c r="AO15" s="2976"/>
      <c r="AP15" s="2976"/>
      <c r="AQ15" s="2976"/>
      <c r="AR15" s="2976"/>
      <c r="AS15" s="2976"/>
      <c r="AT15" s="2976"/>
      <c r="AU15" s="2976"/>
      <c r="AV15" s="2976"/>
      <c r="AW15" s="2976"/>
      <c r="AX15" s="2976"/>
      <c r="AY15" s="2976"/>
      <c r="AZ15" s="2976"/>
      <c r="BA15" s="2976"/>
      <c r="BB15" s="2976"/>
      <c r="BC15" s="2976"/>
      <c r="BD15" s="2976"/>
      <c r="BE15" s="2976"/>
      <c r="BF15" s="2976"/>
      <c r="BG15" s="2976"/>
      <c r="BH15" s="2976"/>
      <c r="BI15" s="2976"/>
      <c r="BJ15" s="2976"/>
      <c r="BK15" s="2976"/>
      <c r="BL15" s="2976"/>
      <c r="BM15" s="2976"/>
      <c r="BN15" s="2976"/>
      <c r="BO15" s="2976"/>
      <c r="BP15" s="2976"/>
      <c r="BQ15" s="2976"/>
      <c r="BR15" s="2976"/>
      <c r="BS15" s="2976"/>
      <c r="BT15" s="2976"/>
      <c r="BU15" s="2976"/>
      <c r="BV15" s="2976"/>
      <c r="BW15" s="2976"/>
      <c r="BX15" s="2976"/>
      <c r="BY15" s="2976"/>
      <c r="BZ15" s="2976"/>
      <c r="CA15" s="2976"/>
      <c r="CB15" s="2976"/>
      <c r="CC15" s="2976"/>
      <c r="CD15" s="2976"/>
      <c r="CE15" s="2976"/>
      <c r="CF15" s="2976"/>
      <c r="CG15" s="2976"/>
      <c r="CH15" s="2976"/>
      <c r="CI15" s="2976"/>
      <c r="CJ15" s="2976"/>
      <c r="CK15" s="2976"/>
      <c r="CL15" s="2976"/>
      <c r="CM15" s="2976"/>
      <c r="CN15" s="2976"/>
      <c r="CO15" s="2976"/>
      <c r="CP15" s="2976"/>
      <c r="CQ15" s="2976"/>
      <c r="CR15" s="2976"/>
      <c r="CS15" s="2976"/>
      <c r="CT15" s="2976"/>
      <c r="CU15" s="2976"/>
      <c r="CV15" s="2976"/>
      <c r="CW15" s="2976"/>
      <c r="CX15" s="2976"/>
      <c r="CY15" s="2976"/>
      <c r="CZ15" s="2976"/>
      <c r="DA15" s="2976"/>
      <c r="DB15" s="2976"/>
      <c r="DC15" s="2976"/>
      <c r="DD15" s="2976"/>
      <c r="DE15" s="2976"/>
      <c r="DF15" s="2976"/>
      <c r="DG15" s="2976"/>
      <c r="DH15" s="2976"/>
      <c r="DI15" s="2976"/>
      <c r="DJ15" s="2976"/>
      <c r="DK15" s="2976"/>
      <c r="DL15" s="2976"/>
    </row>
    <row r="16" spans="1:116" s="2981" customFormat="1" ht="33" customHeight="1">
      <c r="A16" s="2983">
        <v>13</v>
      </c>
      <c r="B16" s="2984" t="s">
        <v>3168</v>
      </c>
      <c r="C16" s="2983" t="s">
        <v>3162</v>
      </c>
      <c r="D16" s="2986">
        <v>82541.759999999995</v>
      </c>
      <c r="E16" s="2986">
        <f>D16*0.121257658</f>
        <v>10008.820504798079</v>
      </c>
      <c r="F16" s="2984" t="s">
        <v>3160</v>
      </c>
      <c r="G16" s="2988" t="s">
        <v>3163</v>
      </c>
      <c r="H16" s="2989"/>
      <c r="I16" s="2976"/>
      <c r="J16" s="2976"/>
      <c r="K16" s="2976"/>
      <c r="L16" s="2976"/>
      <c r="M16" s="2976"/>
      <c r="N16" s="2976"/>
      <c r="O16" s="2976"/>
      <c r="P16" s="2976"/>
      <c r="Q16" s="2976"/>
      <c r="R16" s="2976"/>
      <c r="S16" s="2976"/>
      <c r="T16" s="2976"/>
      <c r="U16" s="2976"/>
      <c r="V16" s="2976"/>
      <c r="W16" s="2976"/>
      <c r="X16" s="2976"/>
      <c r="Y16" s="2976"/>
      <c r="Z16" s="2976"/>
      <c r="AA16" s="2976"/>
      <c r="AB16" s="2976"/>
      <c r="AC16" s="2976"/>
      <c r="AD16" s="2976"/>
      <c r="AE16" s="2976"/>
      <c r="AF16" s="2976"/>
      <c r="AG16" s="2976"/>
      <c r="AH16" s="2976"/>
      <c r="AI16" s="2976"/>
      <c r="AJ16" s="2976"/>
      <c r="AK16" s="2976"/>
      <c r="AL16" s="2976"/>
      <c r="AM16" s="2976"/>
      <c r="AN16" s="2976"/>
      <c r="AO16" s="2976"/>
      <c r="AP16" s="2976"/>
      <c r="AQ16" s="2976"/>
      <c r="AR16" s="2976"/>
      <c r="AS16" s="2976"/>
      <c r="AT16" s="2976"/>
      <c r="AU16" s="2976"/>
      <c r="AV16" s="2976"/>
      <c r="AW16" s="2976"/>
      <c r="AX16" s="2976"/>
      <c r="AY16" s="2976"/>
      <c r="AZ16" s="2976"/>
      <c r="BA16" s="2976"/>
      <c r="BB16" s="2976"/>
      <c r="BC16" s="2976"/>
      <c r="BD16" s="2976"/>
      <c r="BE16" s="2976"/>
      <c r="BF16" s="2976"/>
      <c r="BG16" s="2976"/>
      <c r="BH16" s="2976"/>
      <c r="BI16" s="2976"/>
      <c r="BJ16" s="2976"/>
      <c r="BK16" s="2976"/>
      <c r="BL16" s="2976"/>
      <c r="BM16" s="2976"/>
      <c r="BN16" s="2976"/>
      <c r="BO16" s="2976"/>
      <c r="BP16" s="2976"/>
      <c r="BQ16" s="2976"/>
      <c r="BR16" s="2976"/>
      <c r="BS16" s="2976"/>
      <c r="BT16" s="2976"/>
      <c r="BU16" s="2976"/>
      <c r="BV16" s="2976"/>
      <c r="BW16" s="2976"/>
      <c r="BX16" s="2976"/>
      <c r="BY16" s="2976"/>
      <c r="BZ16" s="2976"/>
      <c r="CA16" s="2976"/>
      <c r="CB16" s="2976"/>
      <c r="CC16" s="2976"/>
      <c r="CD16" s="2976"/>
      <c r="CE16" s="2976"/>
      <c r="CF16" s="2976"/>
      <c r="CG16" s="2976"/>
      <c r="CH16" s="2976"/>
      <c r="CI16" s="2976"/>
      <c r="CJ16" s="2976"/>
      <c r="CK16" s="2976"/>
      <c r="CL16" s="2976"/>
      <c r="CM16" s="2976"/>
      <c r="CN16" s="2976"/>
      <c r="CO16" s="2976"/>
      <c r="CP16" s="2976"/>
      <c r="CQ16" s="2976"/>
      <c r="CR16" s="2976"/>
      <c r="CS16" s="2976"/>
      <c r="CT16" s="2976"/>
      <c r="CU16" s="2976"/>
      <c r="CV16" s="2976"/>
      <c r="CW16" s="2976"/>
      <c r="CX16" s="2976"/>
      <c r="CY16" s="2976"/>
      <c r="CZ16" s="2976"/>
      <c r="DA16" s="2976"/>
      <c r="DB16" s="2976"/>
      <c r="DC16" s="2976"/>
      <c r="DD16" s="2976"/>
      <c r="DE16" s="2976"/>
      <c r="DF16" s="2976"/>
      <c r="DG16" s="2976"/>
      <c r="DH16" s="2976"/>
      <c r="DI16" s="2976"/>
      <c r="DJ16" s="2976"/>
      <c r="DK16" s="2976"/>
      <c r="DL16" s="2976"/>
    </row>
    <row r="17" spans="1:116" s="2981" customFormat="1" ht="33" customHeight="1">
      <c r="A17" s="2983">
        <v>14</v>
      </c>
      <c r="B17" s="2984" t="s">
        <v>3169</v>
      </c>
      <c r="C17" s="2983" t="s">
        <v>3162</v>
      </c>
      <c r="D17" s="2986">
        <v>54110.92</v>
      </c>
      <c r="E17" s="2986">
        <v>5851.79</v>
      </c>
      <c r="F17" s="2984" t="s">
        <v>3160</v>
      </c>
      <c r="G17" s="2988" t="s">
        <v>3163</v>
      </c>
      <c r="H17" s="2989"/>
      <c r="I17" s="2976"/>
      <c r="J17" s="2976"/>
      <c r="K17" s="2976"/>
      <c r="L17" s="2976"/>
      <c r="M17" s="2976"/>
      <c r="N17" s="2976"/>
      <c r="O17" s="2976"/>
      <c r="P17" s="2976"/>
      <c r="Q17" s="2976"/>
      <c r="R17" s="2976"/>
      <c r="S17" s="2976"/>
      <c r="T17" s="2976"/>
      <c r="U17" s="2976"/>
      <c r="V17" s="2976"/>
      <c r="W17" s="2976"/>
      <c r="X17" s="2976"/>
      <c r="Y17" s="2976"/>
      <c r="Z17" s="2976"/>
      <c r="AA17" s="2976"/>
      <c r="AB17" s="2976"/>
      <c r="AC17" s="2976"/>
      <c r="AD17" s="2976"/>
      <c r="AE17" s="2976"/>
      <c r="AF17" s="2976"/>
      <c r="AG17" s="2976"/>
      <c r="AH17" s="2976"/>
      <c r="AI17" s="2976"/>
      <c r="AJ17" s="2976"/>
      <c r="AK17" s="2976"/>
      <c r="AL17" s="2976"/>
      <c r="AM17" s="2976"/>
      <c r="AN17" s="2976"/>
      <c r="AO17" s="2976"/>
      <c r="AP17" s="2976"/>
      <c r="AQ17" s="2976"/>
      <c r="AR17" s="2976"/>
      <c r="AS17" s="2976"/>
      <c r="AT17" s="2976"/>
      <c r="AU17" s="2976"/>
      <c r="AV17" s="2976"/>
      <c r="AW17" s="2976"/>
      <c r="AX17" s="2976"/>
      <c r="AY17" s="2976"/>
      <c r="AZ17" s="2976"/>
      <c r="BA17" s="2976"/>
      <c r="BB17" s="2976"/>
      <c r="BC17" s="2976"/>
      <c r="BD17" s="2976"/>
      <c r="BE17" s="2976"/>
      <c r="BF17" s="2976"/>
      <c r="BG17" s="2976"/>
      <c r="BH17" s="2976"/>
      <c r="BI17" s="2976"/>
      <c r="BJ17" s="2976"/>
      <c r="BK17" s="2976"/>
      <c r="BL17" s="2976"/>
      <c r="BM17" s="2976"/>
      <c r="BN17" s="2976"/>
      <c r="BO17" s="2976"/>
      <c r="BP17" s="2976"/>
      <c r="BQ17" s="2976"/>
      <c r="BR17" s="2976"/>
      <c r="BS17" s="2976"/>
      <c r="BT17" s="2976"/>
      <c r="BU17" s="2976"/>
      <c r="BV17" s="2976"/>
      <c r="BW17" s="2976"/>
      <c r="BX17" s="2976"/>
      <c r="BY17" s="2976"/>
      <c r="BZ17" s="2976"/>
      <c r="CA17" s="2976"/>
      <c r="CB17" s="2976"/>
      <c r="CC17" s="2976"/>
      <c r="CD17" s="2976"/>
      <c r="CE17" s="2976"/>
      <c r="CF17" s="2976"/>
      <c r="CG17" s="2976"/>
      <c r="CH17" s="2976"/>
      <c r="CI17" s="2976"/>
      <c r="CJ17" s="2976"/>
      <c r="CK17" s="2976"/>
      <c r="CL17" s="2976"/>
      <c r="CM17" s="2976"/>
      <c r="CN17" s="2976"/>
      <c r="CO17" s="2976"/>
      <c r="CP17" s="2976"/>
      <c r="CQ17" s="2976"/>
      <c r="CR17" s="2976"/>
      <c r="CS17" s="2976"/>
      <c r="CT17" s="2976"/>
      <c r="CU17" s="2976"/>
      <c r="CV17" s="2976"/>
      <c r="CW17" s="2976"/>
      <c r="CX17" s="2976"/>
      <c r="CY17" s="2976"/>
      <c r="CZ17" s="2976"/>
      <c r="DA17" s="2976"/>
      <c r="DB17" s="2976"/>
      <c r="DC17" s="2976"/>
      <c r="DD17" s="2976"/>
      <c r="DE17" s="2976"/>
      <c r="DF17" s="2976"/>
      <c r="DG17" s="2976"/>
      <c r="DH17" s="2976"/>
      <c r="DI17" s="2976"/>
      <c r="DJ17" s="2976"/>
      <c r="DK17" s="2976"/>
      <c r="DL17" s="2976"/>
    </row>
    <row r="18" spans="1:116" s="2981" customFormat="1" ht="33" customHeight="1">
      <c r="A18" s="2983">
        <v>15</v>
      </c>
      <c r="B18" s="2984" t="s">
        <v>3170</v>
      </c>
      <c r="C18" s="2983" t="s">
        <v>3162</v>
      </c>
      <c r="D18" s="2986">
        <v>66139.8</v>
      </c>
      <c r="E18" s="2986">
        <f>D18*0.121257658</f>
        <v>8019.9572485884009</v>
      </c>
      <c r="F18" s="2984" t="s">
        <v>3160</v>
      </c>
      <c r="G18" s="2988" t="s">
        <v>3163</v>
      </c>
      <c r="H18" s="2989"/>
      <c r="I18" s="2976"/>
      <c r="J18" s="2976"/>
      <c r="K18" s="2976"/>
      <c r="L18" s="2976"/>
      <c r="M18" s="2976"/>
      <c r="N18" s="2976"/>
      <c r="O18" s="2976"/>
      <c r="P18" s="2976"/>
      <c r="Q18" s="2976"/>
      <c r="R18" s="2976"/>
      <c r="S18" s="2976"/>
      <c r="T18" s="2976"/>
      <c r="U18" s="2976"/>
      <c r="V18" s="2976"/>
      <c r="W18" s="2976"/>
      <c r="X18" s="2976"/>
      <c r="Y18" s="2976"/>
      <c r="Z18" s="2976"/>
      <c r="AA18" s="2976"/>
      <c r="AB18" s="2976"/>
      <c r="AC18" s="2976"/>
      <c r="AD18" s="2976"/>
      <c r="AE18" s="2976"/>
      <c r="AF18" s="2976"/>
      <c r="AG18" s="2976"/>
      <c r="AH18" s="2976"/>
      <c r="AI18" s="2976"/>
      <c r="AJ18" s="2976"/>
      <c r="AK18" s="2976"/>
      <c r="AL18" s="2976"/>
      <c r="AM18" s="2976"/>
      <c r="AN18" s="2976"/>
      <c r="AO18" s="2976"/>
      <c r="AP18" s="2976"/>
      <c r="AQ18" s="2976"/>
      <c r="AR18" s="2976"/>
      <c r="AS18" s="2976"/>
      <c r="AT18" s="2976"/>
      <c r="AU18" s="2976"/>
      <c r="AV18" s="2976"/>
      <c r="AW18" s="2976"/>
      <c r="AX18" s="2976"/>
      <c r="AY18" s="2976"/>
      <c r="AZ18" s="2976"/>
      <c r="BA18" s="2976"/>
      <c r="BB18" s="2976"/>
      <c r="BC18" s="2976"/>
      <c r="BD18" s="2976"/>
      <c r="BE18" s="2976"/>
      <c r="BF18" s="2976"/>
      <c r="BG18" s="2976"/>
      <c r="BH18" s="2976"/>
      <c r="BI18" s="2976"/>
      <c r="BJ18" s="2976"/>
      <c r="BK18" s="2976"/>
      <c r="BL18" s="2976"/>
      <c r="BM18" s="2976"/>
      <c r="BN18" s="2976"/>
      <c r="BO18" s="2976"/>
      <c r="BP18" s="2976"/>
      <c r="BQ18" s="2976"/>
      <c r="BR18" s="2976"/>
      <c r="BS18" s="2976"/>
      <c r="BT18" s="2976"/>
      <c r="BU18" s="2976"/>
      <c r="BV18" s="2976"/>
      <c r="BW18" s="2976"/>
      <c r="BX18" s="2976"/>
      <c r="BY18" s="2976"/>
      <c r="BZ18" s="2976"/>
      <c r="CA18" s="2976"/>
      <c r="CB18" s="2976"/>
      <c r="CC18" s="2976"/>
      <c r="CD18" s="2976"/>
      <c r="CE18" s="2976"/>
      <c r="CF18" s="2976"/>
      <c r="CG18" s="2976"/>
      <c r="CH18" s="2976"/>
      <c r="CI18" s="2976"/>
      <c r="CJ18" s="2976"/>
      <c r="CK18" s="2976"/>
      <c r="CL18" s="2976"/>
      <c r="CM18" s="2976"/>
      <c r="CN18" s="2976"/>
      <c r="CO18" s="2976"/>
      <c r="CP18" s="2976"/>
      <c r="CQ18" s="2976"/>
      <c r="CR18" s="2976"/>
      <c r="CS18" s="2976"/>
      <c r="CT18" s="2976"/>
      <c r="CU18" s="2976"/>
      <c r="CV18" s="2976"/>
      <c r="CW18" s="2976"/>
      <c r="CX18" s="2976"/>
      <c r="CY18" s="2976"/>
      <c r="CZ18" s="2976"/>
      <c r="DA18" s="2976"/>
      <c r="DB18" s="2976"/>
      <c r="DC18" s="2976"/>
      <c r="DD18" s="2976"/>
      <c r="DE18" s="2976"/>
      <c r="DF18" s="2976"/>
      <c r="DG18" s="2976"/>
      <c r="DH18" s="2976"/>
      <c r="DI18" s="2976"/>
      <c r="DJ18" s="2976"/>
      <c r="DK18" s="2976"/>
      <c r="DL18" s="2976"/>
    </row>
    <row r="19" spans="1:116" s="2981" customFormat="1" ht="33" customHeight="1">
      <c r="A19" s="2983">
        <v>16</v>
      </c>
      <c r="B19" s="2984" t="s">
        <v>3171</v>
      </c>
      <c r="C19" s="2983" t="s">
        <v>3162</v>
      </c>
      <c r="D19" s="2986">
        <v>81922.850000000006</v>
      </c>
      <c r="E19" s="2986">
        <v>8859.49</v>
      </c>
      <c r="F19" s="2984" t="s">
        <v>3160</v>
      </c>
      <c r="G19" s="2988" t="s">
        <v>3163</v>
      </c>
      <c r="H19" s="2989"/>
      <c r="I19" s="2976"/>
      <c r="J19" s="2976"/>
      <c r="K19" s="2976"/>
      <c r="L19" s="2976"/>
      <c r="M19" s="2976"/>
      <c r="N19" s="2976"/>
      <c r="O19" s="2976"/>
      <c r="P19" s="2976"/>
      <c r="Q19" s="2976"/>
      <c r="R19" s="2976"/>
      <c r="S19" s="2976"/>
      <c r="T19" s="2976"/>
      <c r="U19" s="2976"/>
      <c r="V19" s="2976"/>
      <c r="W19" s="2976"/>
      <c r="X19" s="2976"/>
      <c r="Y19" s="2976"/>
      <c r="Z19" s="2976"/>
      <c r="AA19" s="2976"/>
      <c r="AB19" s="2976"/>
      <c r="AC19" s="2976"/>
      <c r="AD19" s="2976"/>
      <c r="AE19" s="2976"/>
      <c r="AF19" s="2976"/>
      <c r="AG19" s="2976"/>
      <c r="AH19" s="2976"/>
      <c r="AI19" s="2976"/>
      <c r="AJ19" s="2976"/>
      <c r="AK19" s="2976"/>
      <c r="AL19" s="2976"/>
      <c r="AM19" s="2976"/>
      <c r="AN19" s="2976"/>
      <c r="AO19" s="2976"/>
      <c r="AP19" s="2976"/>
      <c r="AQ19" s="2976"/>
      <c r="AR19" s="2976"/>
      <c r="AS19" s="2976"/>
      <c r="AT19" s="2976"/>
      <c r="AU19" s="2976"/>
      <c r="AV19" s="2976"/>
      <c r="AW19" s="2976"/>
      <c r="AX19" s="2976"/>
      <c r="AY19" s="2976"/>
      <c r="AZ19" s="2976"/>
      <c r="BA19" s="2976"/>
      <c r="BB19" s="2976"/>
      <c r="BC19" s="2976"/>
      <c r="BD19" s="2976"/>
      <c r="BE19" s="2976"/>
      <c r="BF19" s="2976"/>
      <c r="BG19" s="2976"/>
      <c r="BH19" s="2976"/>
      <c r="BI19" s="2976"/>
      <c r="BJ19" s="2976"/>
      <c r="BK19" s="2976"/>
      <c r="BL19" s="2976"/>
      <c r="BM19" s="2976"/>
      <c r="BN19" s="2976"/>
      <c r="BO19" s="2976"/>
      <c r="BP19" s="2976"/>
      <c r="BQ19" s="2976"/>
      <c r="BR19" s="2976"/>
      <c r="BS19" s="2976"/>
      <c r="BT19" s="2976"/>
      <c r="BU19" s="2976"/>
      <c r="BV19" s="2976"/>
      <c r="BW19" s="2976"/>
      <c r="BX19" s="2976"/>
      <c r="BY19" s="2976"/>
      <c r="BZ19" s="2976"/>
      <c r="CA19" s="2976"/>
      <c r="CB19" s="2976"/>
      <c r="CC19" s="2976"/>
      <c r="CD19" s="2976"/>
      <c r="CE19" s="2976"/>
      <c r="CF19" s="2976"/>
      <c r="CG19" s="2976"/>
      <c r="CH19" s="2976"/>
      <c r="CI19" s="2976"/>
      <c r="CJ19" s="2976"/>
      <c r="CK19" s="2976"/>
      <c r="CL19" s="2976"/>
      <c r="CM19" s="2976"/>
      <c r="CN19" s="2976"/>
      <c r="CO19" s="2976"/>
      <c r="CP19" s="2976"/>
      <c r="CQ19" s="2976"/>
      <c r="CR19" s="2976"/>
      <c r="CS19" s="2976"/>
      <c r="CT19" s="2976"/>
      <c r="CU19" s="2976"/>
      <c r="CV19" s="2976"/>
      <c r="CW19" s="2976"/>
      <c r="CX19" s="2976"/>
      <c r="CY19" s="2976"/>
      <c r="CZ19" s="2976"/>
      <c r="DA19" s="2976"/>
      <c r="DB19" s="2976"/>
      <c r="DC19" s="2976"/>
      <c r="DD19" s="2976"/>
      <c r="DE19" s="2976"/>
      <c r="DF19" s="2976"/>
      <c r="DG19" s="2976"/>
      <c r="DH19" s="2976"/>
      <c r="DI19" s="2976"/>
      <c r="DJ19" s="2976"/>
      <c r="DK19" s="2976"/>
      <c r="DL19" s="2976"/>
    </row>
    <row r="20" spans="1:116" s="2981" customFormat="1" ht="33" customHeight="1">
      <c r="A20" s="2983">
        <v>17</v>
      </c>
      <c r="B20" s="2984" t="s">
        <v>3172</v>
      </c>
      <c r="C20" s="2983" t="s">
        <v>3162</v>
      </c>
      <c r="D20" s="2986">
        <v>39479.339999999997</v>
      </c>
      <c r="E20" s="2986">
        <f>D20*0.121257658</f>
        <v>4787.1723077857196</v>
      </c>
      <c r="F20" s="2984" t="s">
        <v>3160</v>
      </c>
      <c r="G20" s="2988" t="s">
        <v>3163</v>
      </c>
      <c r="H20" s="2989"/>
      <c r="I20" s="2976"/>
      <c r="J20" s="2976"/>
      <c r="K20" s="2976"/>
      <c r="L20" s="2976"/>
      <c r="M20" s="2976"/>
      <c r="N20" s="2976"/>
      <c r="O20" s="2976"/>
      <c r="P20" s="2976"/>
      <c r="Q20" s="2976"/>
      <c r="R20" s="2976"/>
      <c r="S20" s="2976"/>
      <c r="T20" s="2976"/>
      <c r="U20" s="2976"/>
      <c r="V20" s="2976"/>
      <c r="W20" s="2976"/>
      <c r="X20" s="2976"/>
      <c r="Y20" s="2976"/>
      <c r="Z20" s="2976"/>
      <c r="AA20" s="2976"/>
      <c r="AB20" s="2976"/>
      <c r="AC20" s="2976"/>
      <c r="AD20" s="2976"/>
      <c r="AE20" s="2976"/>
      <c r="AF20" s="2976"/>
      <c r="AG20" s="2976"/>
      <c r="AH20" s="2976"/>
      <c r="AI20" s="2976"/>
      <c r="AJ20" s="2976"/>
      <c r="AK20" s="2976"/>
      <c r="AL20" s="2976"/>
      <c r="AM20" s="2976"/>
      <c r="AN20" s="2976"/>
      <c r="AO20" s="2976"/>
      <c r="AP20" s="2976"/>
      <c r="AQ20" s="2976"/>
      <c r="AR20" s="2976"/>
      <c r="AS20" s="2976"/>
      <c r="AT20" s="2976"/>
      <c r="AU20" s="2976"/>
      <c r="AV20" s="2976"/>
      <c r="AW20" s="2976"/>
      <c r="AX20" s="2976"/>
      <c r="AY20" s="2976"/>
      <c r="AZ20" s="2976"/>
      <c r="BA20" s="2976"/>
      <c r="BB20" s="2976"/>
      <c r="BC20" s="2976"/>
      <c r="BD20" s="2976"/>
      <c r="BE20" s="2976"/>
      <c r="BF20" s="2976"/>
      <c r="BG20" s="2976"/>
      <c r="BH20" s="2976"/>
      <c r="BI20" s="2976"/>
      <c r="BJ20" s="2976"/>
      <c r="BK20" s="2976"/>
      <c r="BL20" s="2976"/>
      <c r="BM20" s="2976"/>
      <c r="BN20" s="2976"/>
      <c r="BO20" s="2976"/>
      <c r="BP20" s="2976"/>
      <c r="BQ20" s="2976"/>
      <c r="BR20" s="2976"/>
      <c r="BS20" s="2976"/>
      <c r="BT20" s="2976"/>
      <c r="BU20" s="2976"/>
      <c r="BV20" s="2976"/>
      <c r="BW20" s="2976"/>
      <c r="BX20" s="2976"/>
      <c r="BY20" s="2976"/>
      <c r="BZ20" s="2976"/>
      <c r="CA20" s="2976"/>
      <c r="CB20" s="2976"/>
      <c r="CC20" s="2976"/>
      <c r="CD20" s="2976"/>
      <c r="CE20" s="2976"/>
      <c r="CF20" s="2976"/>
      <c r="CG20" s="2976"/>
      <c r="CH20" s="2976"/>
      <c r="CI20" s="2976"/>
      <c r="CJ20" s="2976"/>
      <c r="CK20" s="2976"/>
      <c r="CL20" s="2976"/>
      <c r="CM20" s="2976"/>
      <c r="CN20" s="2976"/>
      <c r="CO20" s="2976"/>
      <c r="CP20" s="2976"/>
      <c r="CQ20" s="2976"/>
      <c r="CR20" s="2976"/>
      <c r="CS20" s="2976"/>
      <c r="CT20" s="2976"/>
      <c r="CU20" s="2976"/>
      <c r="CV20" s="2976"/>
      <c r="CW20" s="2976"/>
      <c r="CX20" s="2976"/>
      <c r="CY20" s="2976"/>
      <c r="CZ20" s="2976"/>
      <c r="DA20" s="2976"/>
      <c r="DB20" s="2976"/>
      <c r="DC20" s="2976"/>
      <c r="DD20" s="2976"/>
      <c r="DE20" s="2976"/>
      <c r="DF20" s="2976"/>
      <c r="DG20" s="2976"/>
      <c r="DH20" s="2976"/>
      <c r="DI20" s="2976"/>
      <c r="DJ20" s="2976"/>
      <c r="DK20" s="2976"/>
      <c r="DL20" s="2976"/>
    </row>
    <row r="21" spans="1:116" s="2981" customFormat="1" ht="33" customHeight="1">
      <c r="A21" s="2983">
        <v>18</v>
      </c>
      <c r="B21" s="2984" t="s">
        <v>3173</v>
      </c>
      <c r="C21" s="2983" t="s">
        <v>3162</v>
      </c>
      <c r="D21" s="2986">
        <v>9495.8809999999994</v>
      </c>
      <c r="E21" s="2986">
        <f t="shared" si="0"/>
        <v>1139.5057199999999</v>
      </c>
      <c r="F21" s="2984" t="s">
        <v>3160</v>
      </c>
      <c r="G21" s="2988" t="s">
        <v>3163</v>
      </c>
      <c r="H21" s="2976"/>
      <c r="I21" s="2976"/>
      <c r="J21" s="2976"/>
      <c r="K21" s="2976"/>
      <c r="L21" s="2976"/>
      <c r="M21" s="2976"/>
      <c r="N21" s="2976"/>
      <c r="O21" s="2976"/>
      <c r="P21" s="2976"/>
      <c r="Q21" s="2976"/>
      <c r="R21" s="2976"/>
      <c r="S21" s="2976"/>
      <c r="T21" s="2976"/>
      <c r="U21" s="2976"/>
      <c r="V21" s="2976"/>
      <c r="W21" s="2976"/>
      <c r="X21" s="2976"/>
      <c r="Y21" s="2976"/>
      <c r="Z21" s="2976"/>
      <c r="AA21" s="2976"/>
      <c r="AB21" s="2976"/>
      <c r="AC21" s="2976"/>
      <c r="AD21" s="2976"/>
      <c r="AE21" s="2976"/>
      <c r="AF21" s="2976"/>
      <c r="AG21" s="2976"/>
      <c r="AH21" s="2976"/>
      <c r="AI21" s="2976"/>
      <c r="AJ21" s="2976"/>
      <c r="AK21" s="2976"/>
      <c r="AL21" s="2976"/>
      <c r="AM21" s="2976"/>
      <c r="AN21" s="2976"/>
      <c r="AO21" s="2976"/>
      <c r="AP21" s="2976"/>
      <c r="AQ21" s="2976"/>
      <c r="AR21" s="2976"/>
      <c r="AS21" s="2976"/>
      <c r="AT21" s="2976"/>
      <c r="AU21" s="2976"/>
      <c r="AV21" s="2976"/>
      <c r="AW21" s="2976"/>
      <c r="AX21" s="2976"/>
      <c r="AY21" s="2976"/>
      <c r="AZ21" s="2976"/>
      <c r="BA21" s="2976"/>
      <c r="BB21" s="2976"/>
      <c r="BC21" s="2976"/>
      <c r="BD21" s="2976"/>
      <c r="BE21" s="2976"/>
      <c r="BF21" s="2976"/>
      <c r="BG21" s="2976"/>
      <c r="BH21" s="2976"/>
      <c r="BI21" s="2976"/>
      <c r="BJ21" s="2976"/>
      <c r="BK21" s="2976"/>
      <c r="BL21" s="2976"/>
      <c r="BM21" s="2976"/>
      <c r="BN21" s="2976"/>
      <c r="BO21" s="2976"/>
      <c r="BP21" s="2976"/>
      <c r="BQ21" s="2976"/>
      <c r="BR21" s="2976"/>
      <c r="BS21" s="2976"/>
      <c r="BT21" s="2976"/>
      <c r="BU21" s="2976"/>
      <c r="BV21" s="2976"/>
      <c r="BW21" s="2976"/>
      <c r="BX21" s="2976"/>
      <c r="BY21" s="2976"/>
      <c r="BZ21" s="2976"/>
      <c r="CA21" s="2976"/>
      <c r="CB21" s="2976"/>
      <c r="CC21" s="2976"/>
      <c r="CD21" s="2976"/>
      <c r="CE21" s="2976"/>
      <c r="CF21" s="2976"/>
      <c r="CG21" s="2976"/>
      <c r="CH21" s="2976"/>
      <c r="CI21" s="2976"/>
      <c r="CJ21" s="2976"/>
      <c r="CK21" s="2976"/>
      <c r="CL21" s="2976"/>
      <c r="CM21" s="2976"/>
      <c r="CN21" s="2976"/>
      <c r="CO21" s="2976"/>
      <c r="CP21" s="2976"/>
      <c r="CQ21" s="2976"/>
      <c r="CR21" s="2976"/>
      <c r="CS21" s="2976"/>
      <c r="CT21" s="2976"/>
      <c r="CU21" s="2976"/>
      <c r="CV21" s="2976"/>
      <c r="CW21" s="2976"/>
      <c r="CX21" s="2976"/>
      <c r="CY21" s="2976"/>
      <c r="CZ21" s="2976"/>
      <c r="DA21" s="2976"/>
      <c r="DB21" s="2976"/>
      <c r="DC21" s="2976"/>
      <c r="DD21" s="2976"/>
      <c r="DE21" s="2976"/>
      <c r="DF21" s="2976"/>
      <c r="DG21" s="2976"/>
      <c r="DH21" s="2976"/>
      <c r="DI21" s="2976"/>
      <c r="DJ21" s="2976"/>
      <c r="DK21" s="2976"/>
      <c r="DL21" s="2976"/>
    </row>
    <row r="22" spans="1:116" s="2981" customFormat="1" ht="33" customHeight="1">
      <c r="A22" s="2983">
        <v>19</v>
      </c>
      <c r="B22" s="2984" t="s">
        <v>3174</v>
      </c>
      <c r="C22" s="2983" t="s">
        <v>3162</v>
      </c>
      <c r="D22" s="2986">
        <v>7596.1350000000002</v>
      </c>
      <c r="E22" s="2986">
        <f t="shared" si="0"/>
        <v>911.53620000000001</v>
      </c>
      <c r="F22" s="2984" t="s">
        <v>3160</v>
      </c>
      <c r="G22" s="2988" t="s">
        <v>3163</v>
      </c>
      <c r="H22" s="2976"/>
      <c r="I22" s="2976"/>
      <c r="J22" s="2976"/>
      <c r="K22" s="2976"/>
      <c r="L22" s="2976"/>
      <c r="M22" s="2976"/>
      <c r="N22" s="2976"/>
      <c r="O22" s="2976"/>
      <c r="P22" s="2976"/>
      <c r="Q22" s="2976"/>
      <c r="R22" s="2976"/>
      <c r="S22" s="2976"/>
      <c r="T22" s="2976"/>
      <c r="U22" s="2976"/>
      <c r="V22" s="2976"/>
      <c r="W22" s="2976"/>
      <c r="X22" s="2976"/>
      <c r="Y22" s="2976"/>
      <c r="Z22" s="2976"/>
      <c r="AA22" s="2976"/>
      <c r="AB22" s="2976"/>
      <c r="AC22" s="2976"/>
      <c r="AD22" s="2976"/>
      <c r="AE22" s="2976"/>
      <c r="AF22" s="2976"/>
      <c r="AG22" s="2976"/>
      <c r="AH22" s="2976"/>
      <c r="AI22" s="2976"/>
      <c r="AJ22" s="2976"/>
      <c r="AK22" s="2976"/>
      <c r="AL22" s="2976"/>
      <c r="AM22" s="2976"/>
      <c r="AN22" s="2976"/>
      <c r="AO22" s="2976"/>
      <c r="AP22" s="2976"/>
      <c r="AQ22" s="2976"/>
      <c r="AR22" s="2976"/>
      <c r="AS22" s="2976"/>
      <c r="AT22" s="2976"/>
      <c r="AU22" s="2976"/>
      <c r="AV22" s="2976"/>
      <c r="AW22" s="2976"/>
      <c r="AX22" s="2976"/>
      <c r="AY22" s="2976"/>
      <c r="AZ22" s="2976"/>
      <c r="BA22" s="2976"/>
      <c r="BB22" s="2976"/>
      <c r="BC22" s="2976"/>
      <c r="BD22" s="2976"/>
      <c r="BE22" s="2976"/>
      <c r="BF22" s="2976"/>
      <c r="BG22" s="2976"/>
      <c r="BH22" s="2976"/>
      <c r="BI22" s="2976"/>
      <c r="BJ22" s="2976"/>
      <c r="BK22" s="2976"/>
      <c r="BL22" s="2976"/>
      <c r="BM22" s="2976"/>
      <c r="BN22" s="2976"/>
      <c r="BO22" s="2976"/>
      <c r="BP22" s="2976"/>
      <c r="BQ22" s="2976"/>
      <c r="BR22" s="2976"/>
      <c r="BS22" s="2976"/>
      <c r="BT22" s="2976"/>
      <c r="BU22" s="2976"/>
      <c r="BV22" s="2976"/>
      <c r="BW22" s="2976"/>
      <c r="BX22" s="2976"/>
      <c r="BY22" s="2976"/>
      <c r="BZ22" s="2976"/>
      <c r="CA22" s="2976"/>
      <c r="CB22" s="2976"/>
      <c r="CC22" s="2976"/>
      <c r="CD22" s="2976"/>
      <c r="CE22" s="2976"/>
      <c r="CF22" s="2976"/>
      <c r="CG22" s="2976"/>
      <c r="CH22" s="2976"/>
      <c r="CI22" s="2976"/>
      <c r="CJ22" s="2976"/>
      <c r="CK22" s="2976"/>
      <c r="CL22" s="2976"/>
      <c r="CM22" s="2976"/>
      <c r="CN22" s="2976"/>
      <c r="CO22" s="2976"/>
      <c r="CP22" s="2976"/>
      <c r="CQ22" s="2976"/>
      <c r="CR22" s="2976"/>
      <c r="CS22" s="2976"/>
      <c r="CT22" s="2976"/>
      <c r="CU22" s="2976"/>
      <c r="CV22" s="2976"/>
      <c r="CW22" s="2976"/>
      <c r="CX22" s="2976"/>
      <c r="CY22" s="2976"/>
      <c r="CZ22" s="2976"/>
      <c r="DA22" s="2976"/>
      <c r="DB22" s="2976"/>
      <c r="DC22" s="2976"/>
      <c r="DD22" s="2976"/>
      <c r="DE22" s="2976"/>
      <c r="DF22" s="2976"/>
      <c r="DG22" s="2976"/>
      <c r="DH22" s="2976"/>
      <c r="DI22" s="2976"/>
      <c r="DJ22" s="2976"/>
      <c r="DK22" s="2976"/>
      <c r="DL22" s="2976"/>
    </row>
    <row r="23" spans="1:116" s="2981" customFormat="1" ht="33" customHeight="1">
      <c r="A23" s="2983">
        <v>20</v>
      </c>
      <c r="B23" s="2984" t="s">
        <v>3175</v>
      </c>
      <c r="C23" s="2983" t="s">
        <v>3162</v>
      </c>
      <c r="D23" s="2986">
        <v>165909.46</v>
      </c>
      <c r="E23" s="2986">
        <f t="shared" si="0"/>
        <v>19909.135199999997</v>
      </c>
      <c r="F23" s="2984" t="s">
        <v>3160</v>
      </c>
      <c r="G23" s="2988" t="s">
        <v>3163</v>
      </c>
      <c r="H23" s="2976"/>
      <c r="I23" s="2976"/>
      <c r="J23" s="2976"/>
      <c r="K23" s="2976"/>
      <c r="L23" s="2976"/>
      <c r="M23" s="2976"/>
      <c r="N23" s="2976"/>
      <c r="O23" s="2976"/>
      <c r="P23" s="2976"/>
      <c r="Q23" s="2976"/>
      <c r="R23" s="2976"/>
      <c r="S23" s="2976"/>
      <c r="T23" s="2976"/>
      <c r="U23" s="2976"/>
      <c r="V23" s="2976"/>
      <c r="W23" s="2976"/>
      <c r="X23" s="2976"/>
      <c r="Y23" s="2976"/>
      <c r="Z23" s="2976"/>
      <c r="AA23" s="2976"/>
      <c r="AB23" s="2976"/>
      <c r="AC23" s="2976"/>
      <c r="AD23" s="2976"/>
      <c r="AE23" s="2976"/>
      <c r="AF23" s="2976"/>
      <c r="AG23" s="2976"/>
      <c r="AH23" s="2976"/>
      <c r="AI23" s="2976"/>
      <c r="AJ23" s="2976"/>
      <c r="AK23" s="2976"/>
      <c r="AL23" s="2976"/>
      <c r="AM23" s="2976"/>
      <c r="AN23" s="2976"/>
      <c r="AO23" s="2976"/>
      <c r="AP23" s="2976"/>
      <c r="AQ23" s="2976"/>
      <c r="AR23" s="2976"/>
      <c r="AS23" s="2976"/>
      <c r="AT23" s="2976"/>
      <c r="AU23" s="2976"/>
      <c r="AV23" s="2976"/>
      <c r="AW23" s="2976"/>
      <c r="AX23" s="2976"/>
      <c r="AY23" s="2976"/>
      <c r="AZ23" s="2976"/>
      <c r="BA23" s="2976"/>
      <c r="BB23" s="2976"/>
      <c r="BC23" s="2976"/>
      <c r="BD23" s="2976"/>
      <c r="BE23" s="2976"/>
      <c r="BF23" s="2976"/>
      <c r="BG23" s="2976"/>
      <c r="BH23" s="2976"/>
      <c r="BI23" s="2976"/>
      <c r="BJ23" s="2976"/>
      <c r="BK23" s="2976"/>
      <c r="BL23" s="2976"/>
      <c r="BM23" s="2976"/>
      <c r="BN23" s="2976"/>
      <c r="BO23" s="2976"/>
      <c r="BP23" s="2976"/>
      <c r="BQ23" s="2976"/>
      <c r="BR23" s="2976"/>
      <c r="BS23" s="2976"/>
      <c r="BT23" s="2976"/>
      <c r="BU23" s="2976"/>
      <c r="BV23" s="2976"/>
      <c r="BW23" s="2976"/>
      <c r="BX23" s="2976"/>
      <c r="BY23" s="2976"/>
      <c r="BZ23" s="2976"/>
      <c r="CA23" s="2976"/>
      <c r="CB23" s="2976"/>
      <c r="CC23" s="2976"/>
      <c r="CD23" s="2976"/>
      <c r="CE23" s="2976"/>
      <c r="CF23" s="2976"/>
      <c r="CG23" s="2976"/>
      <c r="CH23" s="2976"/>
      <c r="CI23" s="2976"/>
      <c r="CJ23" s="2976"/>
      <c r="CK23" s="2976"/>
      <c r="CL23" s="2976"/>
      <c r="CM23" s="2976"/>
      <c r="CN23" s="2976"/>
      <c r="CO23" s="2976"/>
      <c r="CP23" s="2976"/>
      <c r="CQ23" s="2976"/>
      <c r="CR23" s="2976"/>
      <c r="CS23" s="2976"/>
      <c r="CT23" s="2976"/>
      <c r="CU23" s="2976"/>
      <c r="CV23" s="2976"/>
      <c r="CW23" s="2976"/>
      <c r="CX23" s="2976"/>
      <c r="CY23" s="2976"/>
      <c r="CZ23" s="2976"/>
      <c r="DA23" s="2976"/>
      <c r="DB23" s="2976"/>
      <c r="DC23" s="2976"/>
      <c r="DD23" s="2976"/>
      <c r="DE23" s="2976"/>
      <c r="DF23" s="2976"/>
      <c r="DG23" s="2976"/>
      <c r="DH23" s="2976"/>
      <c r="DI23" s="2976"/>
      <c r="DJ23" s="2976"/>
      <c r="DK23" s="2976"/>
      <c r="DL23" s="2976"/>
    </row>
    <row r="24" spans="1:116" s="2981" customFormat="1" ht="33" customHeight="1">
      <c r="A24" s="2983">
        <v>21</v>
      </c>
      <c r="B24" s="2984" t="s">
        <v>3176</v>
      </c>
      <c r="C24" s="2983" t="s">
        <v>3162</v>
      </c>
      <c r="D24" s="2986">
        <v>53144.29</v>
      </c>
      <c r="E24" s="2986">
        <f t="shared" si="0"/>
        <v>6377.3148000000001</v>
      </c>
      <c r="F24" s="2984" t="s">
        <v>3160</v>
      </c>
      <c r="G24" s="2988" t="s">
        <v>3163</v>
      </c>
      <c r="H24" s="2976"/>
      <c r="I24" s="2976"/>
      <c r="J24" s="2976"/>
      <c r="K24" s="2976"/>
      <c r="L24" s="2976"/>
      <c r="M24" s="2976"/>
      <c r="N24" s="2976"/>
      <c r="O24" s="2976"/>
      <c r="P24" s="2976"/>
      <c r="Q24" s="2976"/>
      <c r="R24" s="2976"/>
      <c r="S24" s="2976"/>
      <c r="T24" s="2976"/>
      <c r="U24" s="2976"/>
      <c r="V24" s="2976"/>
      <c r="W24" s="2976"/>
      <c r="X24" s="2976"/>
      <c r="Y24" s="2976"/>
      <c r="Z24" s="2976"/>
      <c r="AA24" s="2976"/>
      <c r="AB24" s="2976"/>
      <c r="AC24" s="2976"/>
      <c r="AD24" s="2976"/>
      <c r="AE24" s="2976"/>
      <c r="AF24" s="2976"/>
      <c r="AG24" s="2976"/>
      <c r="AH24" s="2976"/>
      <c r="AI24" s="2976"/>
      <c r="AJ24" s="2976"/>
      <c r="AK24" s="2976"/>
      <c r="AL24" s="2976"/>
      <c r="AM24" s="2976"/>
      <c r="AN24" s="2976"/>
      <c r="AO24" s="2976"/>
      <c r="AP24" s="2976"/>
      <c r="AQ24" s="2976"/>
      <c r="AR24" s="2976"/>
      <c r="AS24" s="2976"/>
      <c r="AT24" s="2976"/>
      <c r="AU24" s="2976"/>
      <c r="AV24" s="2976"/>
      <c r="AW24" s="2976"/>
      <c r="AX24" s="2976"/>
      <c r="AY24" s="2976"/>
      <c r="AZ24" s="2976"/>
      <c r="BA24" s="2976"/>
      <c r="BB24" s="2976"/>
      <c r="BC24" s="2976"/>
      <c r="BD24" s="2976"/>
      <c r="BE24" s="2976"/>
      <c r="BF24" s="2976"/>
      <c r="BG24" s="2976"/>
      <c r="BH24" s="2976"/>
      <c r="BI24" s="2976"/>
      <c r="BJ24" s="2976"/>
      <c r="BK24" s="2976"/>
      <c r="BL24" s="2976"/>
      <c r="BM24" s="2976"/>
      <c r="BN24" s="2976"/>
      <c r="BO24" s="2976"/>
      <c r="BP24" s="2976"/>
      <c r="BQ24" s="2976"/>
      <c r="BR24" s="2976"/>
      <c r="BS24" s="2976"/>
      <c r="BT24" s="2976"/>
      <c r="BU24" s="2976"/>
      <c r="BV24" s="2976"/>
      <c r="BW24" s="2976"/>
      <c r="BX24" s="2976"/>
      <c r="BY24" s="2976"/>
      <c r="BZ24" s="2976"/>
      <c r="CA24" s="2976"/>
      <c r="CB24" s="2976"/>
      <c r="CC24" s="2976"/>
      <c r="CD24" s="2976"/>
      <c r="CE24" s="2976"/>
      <c r="CF24" s="2976"/>
      <c r="CG24" s="2976"/>
      <c r="CH24" s="2976"/>
      <c r="CI24" s="2976"/>
      <c r="CJ24" s="2976"/>
      <c r="CK24" s="2976"/>
      <c r="CL24" s="2976"/>
      <c r="CM24" s="2976"/>
      <c r="CN24" s="2976"/>
      <c r="CO24" s="2976"/>
      <c r="CP24" s="2976"/>
      <c r="CQ24" s="2976"/>
      <c r="CR24" s="2976"/>
      <c r="CS24" s="2976"/>
      <c r="CT24" s="2976"/>
      <c r="CU24" s="2976"/>
      <c r="CV24" s="2976"/>
      <c r="CW24" s="2976"/>
      <c r="CX24" s="2976"/>
      <c r="CY24" s="2976"/>
      <c r="CZ24" s="2976"/>
      <c r="DA24" s="2976"/>
      <c r="DB24" s="2976"/>
      <c r="DC24" s="2976"/>
      <c r="DD24" s="2976"/>
      <c r="DE24" s="2976"/>
      <c r="DF24" s="2976"/>
      <c r="DG24" s="2976"/>
      <c r="DH24" s="2976"/>
      <c r="DI24" s="2976"/>
      <c r="DJ24" s="2976"/>
      <c r="DK24" s="2976"/>
      <c r="DL24" s="2976"/>
    </row>
    <row r="25" spans="1:116" s="2981" customFormat="1" ht="33" customHeight="1">
      <c r="A25" s="2983">
        <v>22</v>
      </c>
      <c r="B25" s="2984" t="s">
        <v>3177</v>
      </c>
      <c r="C25" s="2983" t="s">
        <v>3162</v>
      </c>
      <c r="D25" s="2986">
        <v>7326</v>
      </c>
      <c r="E25" s="2986">
        <f t="shared" si="0"/>
        <v>879.12</v>
      </c>
      <c r="F25" s="2984" t="s">
        <v>3160</v>
      </c>
      <c r="G25" s="2988" t="s">
        <v>3163</v>
      </c>
      <c r="H25" s="2976"/>
      <c r="I25" s="2976"/>
      <c r="J25" s="2976"/>
      <c r="K25" s="2976"/>
      <c r="L25" s="2976"/>
      <c r="M25" s="2976"/>
      <c r="N25" s="2976"/>
      <c r="O25" s="2976"/>
      <c r="P25" s="2976"/>
      <c r="Q25" s="2976"/>
      <c r="R25" s="2976"/>
      <c r="S25" s="2976"/>
      <c r="T25" s="2976"/>
      <c r="U25" s="2976"/>
      <c r="V25" s="2976"/>
      <c r="W25" s="2976"/>
      <c r="X25" s="2976"/>
      <c r="Y25" s="2976"/>
      <c r="Z25" s="2976"/>
      <c r="AA25" s="2976"/>
      <c r="AB25" s="2976"/>
      <c r="AC25" s="2976"/>
      <c r="AD25" s="2976"/>
      <c r="AE25" s="2976"/>
      <c r="AF25" s="2976"/>
      <c r="AG25" s="2976"/>
      <c r="AH25" s="2976"/>
      <c r="AI25" s="2976"/>
      <c r="AJ25" s="2976"/>
      <c r="AK25" s="2976"/>
      <c r="AL25" s="2976"/>
      <c r="AM25" s="2976"/>
      <c r="AN25" s="2976"/>
      <c r="AO25" s="2976"/>
      <c r="AP25" s="2976"/>
      <c r="AQ25" s="2976"/>
      <c r="AR25" s="2976"/>
      <c r="AS25" s="2976"/>
      <c r="AT25" s="2976"/>
      <c r="AU25" s="2976"/>
      <c r="AV25" s="2976"/>
      <c r="AW25" s="2976"/>
      <c r="AX25" s="2976"/>
      <c r="AY25" s="2976"/>
      <c r="AZ25" s="2976"/>
      <c r="BA25" s="2976"/>
      <c r="BB25" s="2976"/>
      <c r="BC25" s="2976"/>
      <c r="BD25" s="2976"/>
      <c r="BE25" s="2976"/>
      <c r="BF25" s="2976"/>
      <c r="BG25" s="2976"/>
      <c r="BH25" s="2976"/>
      <c r="BI25" s="2976"/>
      <c r="BJ25" s="2976"/>
      <c r="BK25" s="2976"/>
      <c r="BL25" s="2976"/>
      <c r="BM25" s="2976"/>
      <c r="BN25" s="2976"/>
      <c r="BO25" s="2976"/>
      <c r="BP25" s="2976"/>
      <c r="BQ25" s="2976"/>
      <c r="BR25" s="2976"/>
      <c r="BS25" s="2976"/>
      <c r="BT25" s="2976"/>
      <c r="BU25" s="2976"/>
      <c r="BV25" s="2976"/>
      <c r="BW25" s="2976"/>
      <c r="BX25" s="2976"/>
      <c r="BY25" s="2976"/>
      <c r="BZ25" s="2976"/>
      <c r="CA25" s="2976"/>
      <c r="CB25" s="2976"/>
      <c r="CC25" s="2976"/>
      <c r="CD25" s="2976"/>
      <c r="CE25" s="2976"/>
      <c r="CF25" s="2976"/>
      <c r="CG25" s="2976"/>
      <c r="CH25" s="2976"/>
      <c r="CI25" s="2976"/>
      <c r="CJ25" s="2976"/>
      <c r="CK25" s="2976"/>
      <c r="CL25" s="2976"/>
      <c r="CM25" s="2976"/>
      <c r="CN25" s="2976"/>
      <c r="CO25" s="2976"/>
      <c r="CP25" s="2976"/>
      <c r="CQ25" s="2976"/>
      <c r="CR25" s="2976"/>
      <c r="CS25" s="2976"/>
      <c r="CT25" s="2976"/>
      <c r="CU25" s="2976"/>
      <c r="CV25" s="2976"/>
      <c r="CW25" s="2976"/>
      <c r="CX25" s="2976"/>
      <c r="CY25" s="2976"/>
      <c r="CZ25" s="2976"/>
      <c r="DA25" s="2976"/>
      <c r="DB25" s="2976"/>
      <c r="DC25" s="2976"/>
      <c r="DD25" s="2976"/>
      <c r="DE25" s="2976"/>
      <c r="DF25" s="2976"/>
      <c r="DG25" s="2976"/>
      <c r="DH25" s="2976"/>
      <c r="DI25" s="2976"/>
      <c r="DJ25" s="2976"/>
      <c r="DK25" s="2976"/>
      <c r="DL25" s="2976"/>
    </row>
    <row r="26" spans="1:116" s="2981" customFormat="1" ht="33" customHeight="1">
      <c r="A26" s="2983">
        <v>23</v>
      </c>
      <c r="B26" s="2984" t="s">
        <v>3178</v>
      </c>
      <c r="C26" s="2983" t="s">
        <v>3162</v>
      </c>
      <c r="D26" s="2986">
        <v>30442.18</v>
      </c>
      <c r="E26" s="2986">
        <f t="shared" si="0"/>
        <v>3653.0616</v>
      </c>
      <c r="F26" s="2984" t="s">
        <v>3160</v>
      </c>
      <c r="G26" s="2988" t="s">
        <v>3163</v>
      </c>
      <c r="H26" s="2976"/>
      <c r="I26" s="2976"/>
      <c r="J26" s="2976"/>
      <c r="K26" s="2976"/>
      <c r="L26" s="2976"/>
      <c r="M26" s="2976"/>
      <c r="N26" s="2976"/>
      <c r="O26" s="2976"/>
      <c r="P26" s="2976"/>
      <c r="Q26" s="2976"/>
      <c r="R26" s="2976"/>
      <c r="S26" s="2976"/>
      <c r="T26" s="2976"/>
      <c r="U26" s="2976"/>
      <c r="V26" s="2976"/>
      <c r="W26" s="2976"/>
      <c r="X26" s="2976"/>
      <c r="Y26" s="2976"/>
      <c r="Z26" s="2976"/>
      <c r="AA26" s="2976"/>
      <c r="AB26" s="2976"/>
      <c r="AC26" s="2976"/>
      <c r="AD26" s="2976"/>
      <c r="AE26" s="2976"/>
      <c r="AF26" s="2976"/>
      <c r="AG26" s="2976"/>
      <c r="AH26" s="2976"/>
      <c r="AI26" s="2976"/>
      <c r="AJ26" s="2976"/>
      <c r="AK26" s="2976"/>
      <c r="AL26" s="2976"/>
      <c r="AM26" s="2976"/>
      <c r="AN26" s="2976"/>
      <c r="AO26" s="2976"/>
      <c r="AP26" s="2976"/>
      <c r="AQ26" s="2976"/>
      <c r="AR26" s="2976"/>
      <c r="AS26" s="2976"/>
      <c r="AT26" s="2976"/>
      <c r="AU26" s="2976"/>
      <c r="AV26" s="2976"/>
      <c r="AW26" s="2976"/>
      <c r="AX26" s="2976"/>
      <c r="AY26" s="2976"/>
      <c r="AZ26" s="2976"/>
      <c r="BA26" s="2976"/>
      <c r="BB26" s="2976"/>
      <c r="BC26" s="2976"/>
      <c r="BD26" s="2976"/>
      <c r="BE26" s="2976"/>
      <c r="BF26" s="2976"/>
      <c r="BG26" s="2976"/>
      <c r="BH26" s="2976"/>
      <c r="BI26" s="2976"/>
      <c r="BJ26" s="2976"/>
      <c r="BK26" s="2976"/>
      <c r="BL26" s="2976"/>
      <c r="BM26" s="2976"/>
      <c r="BN26" s="2976"/>
      <c r="BO26" s="2976"/>
      <c r="BP26" s="2976"/>
      <c r="BQ26" s="2976"/>
      <c r="BR26" s="2976"/>
      <c r="BS26" s="2976"/>
      <c r="BT26" s="2976"/>
      <c r="BU26" s="2976"/>
      <c r="BV26" s="2976"/>
      <c r="BW26" s="2976"/>
      <c r="BX26" s="2976"/>
      <c r="BY26" s="2976"/>
      <c r="BZ26" s="2976"/>
      <c r="CA26" s="2976"/>
      <c r="CB26" s="2976"/>
      <c r="CC26" s="2976"/>
      <c r="CD26" s="2976"/>
      <c r="CE26" s="2976"/>
      <c r="CF26" s="2976"/>
      <c r="CG26" s="2976"/>
      <c r="CH26" s="2976"/>
      <c r="CI26" s="2976"/>
      <c r="CJ26" s="2976"/>
      <c r="CK26" s="2976"/>
      <c r="CL26" s="2976"/>
      <c r="CM26" s="2976"/>
      <c r="CN26" s="2976"/>
      <c r="CO26" s="2976"/>
      <c r="CP26" s="2976"/>
      <c r="CQ26" s="2976"/>
      <c r="CR26" s="2976"/>
      <c r="CS26" s="2976"/>
      <c r="CT26" s="2976"/>
      <c r="CU26" s="2976"/>
      <c r="CV26" s="2976"/>
      <c r="CW26" s="2976"/>
      <c r="CX26" s="2976"/>
      <c r="CY26" s="2976"/>
      <c r="CZ26" s="2976"/>
      <c r="DA26" s="2976"/>
      <c r="DB26" s="2976"/>
      <c r="DC26" s="2976"/>
      <c r="DD26" s="2976"/>
      <c r="DE26" s="2976"/>
      <c r="DF26" s="2976"/>
      <c r="DG26" s="2976"/>
      <c r="DH26" s="2976"/>
      <c r="DI26" s="2976"/>
      <c r="DJ26" s="2976"/>
      <c r="DK26" s="2976"/>
      <c r="DL26" s="2976"/>
    </row>
    <row r="27" spans="1:116" s="2981" customFormat="1" ht="33" customHeight="1">
      <c r="A27" s="2983">
        <v>24</v>
      </c>
      <c r="B27" s="2984" t="s">
        <v>3179</v>
      </c>
      <c r="C27" s="2983" t="s">
        <v>3162</v>
      </c>
      <c r="D27" s="2986">
        <v>49989.75</v>
      </c>
      <c r="E27" s="2986">
        <f t="shared" si="0"/>
        <v>5998.7699999999995</v>
      </c>
      <c r="F27" s="2984" t="s">
        <v>3160</v>
      </c>
      <c r="G27" s="2988"/>
      <c r="H27" s="2976"/>
      <c r="I27" s="2976"/>
      <c r="J27" s="2976"/>
      <c r="K27" s="2976"/>
      <c r="L27" s="2976"/>
      <c r="M27" s="2976"/>
      <c r="N27" s="2976"/>
      <c r="O27" s="2976"/>
      <c r="P27" s="2976"/>
      <c r="Q27" s="2976"/>
      <c r="R27" s="2976"/>
      <c r="S27" s="2976"/>
      <c r="T27" s="2976"/>
      <c r="U27" s="2976"/>
      <c r="V27" s="2976"/>
      <c r="W27" s="2976"/>
      <c r="X27" s="2976"/>
      <c r="Y27" s="2976"/>
      <c r="Z27" s="2976"/>
      <c r="AA27" s="2976"/>
      <c r="AB27" s="2976"/>
      <c r="AC27" s="2976"/>
      <c r="AD27" s="2976"/>
      <c r="AE27" s="2976"/>
      <c r="AF27" s="2976"/>
      <c r="AG27" s="2976"/>
      <c r="AH27" s="2976"/>
      <c r="AI27" s="2976"/>
      <c r="AJ27" s="2976"/>
      <c r="AK27" s="2976"/>
      <c r="AL27" s="2976"/>
      <c r="AM27" s="2976"/>
      <c r="AN27" s="2976"/>
      <c r="AO27" s="2976"/>
      <c r="AP27" s="2976"/>
      <c r="AQ27" s="2976"/>
      <c r="AR27" s="2976"/>
      <c r="AS27" s="2976"/>
      <c r="AT27" s="2976"/>
      <c r="AU27" s="2976"/>
      <c r="AV27" s="2976"/>
      <c r="AW27" s="2976"/>
      <c r="AX27" s="2976"/>
      <c r="AY27" s="2976"/>
      <c r="AZ27" s="2976"/>
      <c r="BA27" s="2976"/>
      <c r="BB27" s="2976"/>
      <c r="BC27" s="2976"/>
      <c r="BD27" s="2976"/>
      <c r="BE27" s="2976"/>
      <c r="BF27" s="2976"/>
      <c r="BG27" s="2976"/>
      <c r="BH27" s="2976"/>
      <c r="BI27" s="2976"/>
      <c r="BJ27" s="2976"/>
      <c r="BK27" s="2976"/>
      <c r="BL27" s="2976"/>
      <c r="BM27" s="2976"/>
      <c r="BN27" s="2976"/>
      <c r="BO27" s="2976"/>
      <c r="BP27" s="2976"/>
      <c r="BQ27" s="2976"/>
      <c r="BR27" s="2976"/>
      <c r="BS27" s="2976"/>
      <c r="BT27" s="2976"/>
      <c r="BU27" s="2976"/>
      <c r="BV27" s="2976"/>
      <c r="BW27" s="2976"/>
      <c r="BX27" s="2976"/>
      <c r="BY27" s="2976"/>
      <c r="BZ27" s="2976"/>
      <c r="CA27" s="2976"/>
      <c r="CB27" s="2976"/>
      <c r="CC27" s="2976"/>
      <c r="CD27" s="2976"/>
      <c r="CE27" s="2976"/>
      <c r="CF27" s="2976"/>
      <c r="CG27" s="2976"/>
      <c r="CH27" s="2976"/>
      <c r="CI27" s="2976"/>
      <c r="CJ27" s="2976"/>
      <c r="CK27" s="2976"/>
      <c r="CL27" s="2976"/>
      <c r="CM27" s="2976"/>
      <c r="CN27" s="2976"/>
      <c r="CO27" s="2976"/>
      <c r="CP27" s="2976"/>
      <c r="CQ27" s="2976"/>
      <c r="CR27" s="2976"/>
      <c r="CS27" s="2976"/>
      <c r="CT27" s="2976"/>
      <c r="CU27" s="2976"/>
      <c r="CV27" s="2976"/>
      <c r="CW27" s="2976"/>
      <c r="CX27" s="2976"/>
      <c r="CY27" s="2976"/>
      <c r="CZ27" s="2976"/>
      <c r="DA27" s="2976"/>
      <c r="DB27" s="2976"/>
      <c r="DC27" s="2976"/>
      <c r="DD27" s="2976"/>
      <c r="DE27" s="2976"/>
      <c r="DF27" s="2976"/>
      <c r="DG27" s="2976"/>
      <c r="DH27" s="2976"/>
      <c r="DI27" s="2976"/>
      <c r="DJ27" s="2976"/>
      <c r="DK27" s="2976"/>
      <c r="DL27" s="2976"/>
    </row>
    <row r="28" spans="1:116" s="2981" customFormat="1" ht="33" customHeight="1">
      <c r="A28" s="2983">
        <v>25</v>
      </c>
      <c r="B28" s="2984" t="s">
        <v>3180</v>
      </c>
      <c r="C28" s="2983" t="s">
        <v>3181</v>
      </c>
      <c r="D28" s="2986">
        <v>4965</v>
      </c>
      <c r="E28" s="2986">
        <f t="shared" si="0"/>
        <v>595.79999999999995</v>
      </c>
      <c r="F28" s="2984" t="s">
        <v>3160</v>
      </c>
      <c r="G28" s="2988" t="s">
        <v>3163</v>
      </c>
      <c r="H28" s="2976"/>
      <c r="I28" s="2976"/>
      <c r="J28" s="2976"/>
      <c r="K28" s="2976"/>
      <c r="L28" s="2976"/>
      <c r="M28" s="2976"/>
      <c r="N28" s="2976"/>
      <c r="O28" s="2976"/>
      <c r="P28" s="2976"/>
      <c r="Q28" s="2976"/>
      <c r="R28" s="2976"/>
      <c r="S28" s="2976"/>
      <c r="T28" s="2976"/>
      <c r="U28" s="2976"/>
      <c r="V28" s="2976"/>
      <c r="W28" s="2976"/>
      <c r="X28" s="2976"/>
      <c r="Y28" s="2976"/>
      <c r="Z28" s="2976"/>
      <c r="AA28" s="2976"/>
      <c r="AB28" s="2976"/>
      <c r="AC28" s="2976"/>
      <c r="AD28" s="2976"/>
      <c r="AE28" s="2976"/>
      <c r="AF28" s="2976"/>
      <c r="AG28" s="2976"/>
      <c r="AH28" s="2976"/>
      <c r="AI28" s="2976"/>
      <c r="AJ28" s="2976"/>
      <c r="AK28" s="2976"/>
      <c r="AL28" s="2976"/>
      <c r="AM28" s="2976"/>
      <c r="AN28" s="2976"/>
      <c r="AO28" s="2976"/>
      <c r="AP28" s="2976"/>
      <c r="AQ28" s="2976"/>
      <c r="AR28" s="2976"/>
      <c r="AS28" s="2976"/>
      <c r="AT28" s="2976"/>
      <c r="AU28" s="2976"/>
      <c r="AV28" s="2976"/>
      <c r="AW28" s="2976"/>
      <c r="AX28" s="2976"/>
      <c r="AY28" s="2976"/>
      <c r="AZ28" s="2976"/>
      <c r="BA28" s="2976"/>
      <c r="BB28" s="2976"/>
      <c r="BC28" s="2976"/>
      <c r="BD28" s="2976"/>
      <c r="BE28" s="2976"/>
      <c r="BF28" s="2976"/>
      <c r="BG28" s="2976"/>
      <c r="BH28" s="2976"/>
      <c r="BI28" s="2976"/>
      <c r="BJ28" s="2976"/>
      <c r="BK28" s="2976"/>
      <c r="BL28" s="2976"/>
      <c r="BM28" s="2976"/>
      <c r="BN28" s="2976"/>
      <c r="BO28" s="2976"/>
      <c r="BP28" s="2976"/>
      <c r="BQ28" s="2976"/>
      <c r="BR28" s="2976"/>
      <c r="BS28" s="2976"/>
      <c r="BT28" s="2976"/>
      <c r="BU28" s="2976"/>
      <c r="BV28" s="2976"/>
      <c r="BW28" s="2976"/>
      <c r="BX28" s="2976"/>
      <c r="BY28" s="2976"/>
      <c r="BZ28" s="2976"/>
      <c r="CA28" s="2976"/>
      <c r="CB28" s="2976"/>
      <c r="CC28" s="2976"/>
      <c r="CD28" s="2976"/>
      <c r="CE28" s="2976"/>
      <c r="CF28" s="2976"/>
      <c r="CG28" s="2976"/>
      <c r="CH28" s="2976"/>
      <c r="CI28" s="2976"/>
      <c r="CJ28" s="2976"/>
      <c r="CK28" s="2976"/>
      <c r="CL28" s="2976"/>
      <c r="CM28" s="2976"/>
      <c r="CN28" s="2976"/>
      <c r="CO28" s="2976"/>
      <c r="CP28" s="2976"/>
      <c r="CQ28" s="2976"/>
      <c r="CR28" s="2976"/>
      <c r="CS28" s="2976"/>
      <c r="CT28" s="2976"/>
      <c r="CU28" s="2976"/>
      <c r="CV28" s="2976"/>
      <c r="CW28" s="2976"/>
      <c r="CX28" s="2976"/>
      <c r="CY28" s="2976"/>
      <c r="CZ28" s="2976"/>
      <c r="DA28" s="2976"/>
      <c r="DB28" s="2976"/>
      <c r="DC28" s="2976"/>
      <c r="DD28" s="2976"/>
      <c r="DE28" s="2976"/>
      <c r="DF28" s="2976"/>
      <c r="DG28" s="2976"/>
      <c r="DH28" s="2976"/>
      <c r="DI28" s="2976"/>
      <c r="DJ28" s="2976"/>
      <c r="DK28" s="2976"/>
      <c r="DL28" s="2976"/>
    </row>
    <row r="29" spans="1:116" s="2981" customFormat="1" ht="33" customHeight="1">
      <c r="A29" s="2983">
        <v>26</v>
      </c>
      <c r="B29" s="2984" t="s">
        <v>3182</v>
      </c>
      <c r="C29" s="2984" t="s">
        <v>3183</v>
      </c>
      <c r="D29" s="2986">
        <v>185139.83</v>
      </c>
      <c r="E29" s="2986">
        <f t="shared" si="0"/>
        <v>22216.779599999998</v>
      </c>
      <c r="F29" s="2984" t="s">
        <v>3160</v>
      </c>
      <c r="G29" s="2988" t="s">
        <v>3163</v>
      </c>
      <c r="H29" s="2976"/>
      <c r="I29" s="2976"/>
      <c r="J29" s="2976"/>
      <c r="K29" s="2976"/>
      <c r="L29" s="2976"/>
      <c r="M29" s="2976"/>
      <c r="N29" s="2976"/>
      <c r="O29" s="2976"/>
      <c r="P29" s="2976"/>
      <c r="Q29" s="2976"/>
      <c r="R29" s="2976"/>
      <c r="S29" s="2976"/>
      <c r="T29" s="2976"/>
      <c r="U29" s="2976"/>
      <c r="V29" s="2976"/>
      <c r="W29" s="2976"/>
      <c r="X29" s="2976"/>
      <c r="Y29" s="2976"/>
      <c r="Z29" s="2976"/>
      <c r="AA29" s="2976"/>
      <c r="AB29" s="2976"/>
      <c r="AC29" s="2976"/>
      <c r="AD29" s="2976"/>
      <c r="AE29" s="2976"/>
      <c r="AF29" s="2976"/>
      <c r="AG29" s="2976"/>
      <c r="AH29" s="2976"/>
      <c r="AI29" s="2976"/>
      <c r="AJ29" s="2976"/>
      <c r="AK29" s="2976"/>
      <c r="AL29" s="2976"/>
      <c r="AM29" s="2976"/>
      <c r="AN29" s="2976"/>
      <c r="AO29" s="2976"/>
      <c r="AP29" s="2976"/>
      <c r="AQ29" s="2976"/>
      <c r="AR29" s="2976"/>
      <c r="AS29" s="2976"/>
      <c r="AT29" s="2976"/>
      <c r="AU29" s="2976"/>
      <c r="AV29" s="2976"/>
      <c r="AW29" s="2976"/>
      <c r="AX29" s="2976"/>
      <c r="AY29" s="2976"/>
      <c r="AZ29" s="2976"/>
      <c r="BA29" s="2976"/>
      <c r="BB29" s="2976"/>
      <c r="BC29" s="2976"/>
      <c r="BD29" s="2976"/>
      <c r="BE29" s="2976"/>
      <c r="BF29" s="2976"/>
      <c r="BG29" s="2976"/>
      <c r="BH29" s="2976"/>
      <c r="BI29" s="2976"/>
      <c r="BJ29" s="2976"/>
      <c r="BK29" s="2976"/>
      <c r="BL29" s="2976"/>
      <c r="BM29" s="2976"/>
      <c r="BN29" s="2976"/>
      <c r="BO29" s="2976"/>
      <c r="BP29" s="2976"/>
      <c r="BQ29" s="2976"/>
      <c r="BR29" s="2976"/>
      <c r="BS29" s="2976"/>
      <c r="BT29" s="2976"/>
      <c r="BU29" s="2976"/>
      <c r="BV29" s="2976"/>
      <c r="BW29" s="2976"/>
      <c r="BX29" s="2976"/>
      <c r="BY29" s="2976"/>
      <c r="BZ29" s="2976"/>
      <c r="CA29" s="2976"/>
      <c r="CB29" s="2976"/>
      <c r="CC29" s="2976"/>
      <c r="CD29" s="2976"/>
      <c r="CE29" s="2976"/>
      <c r="CF29" s="2976"/>
      <c r="CG29" s="2976"/>
      <c r="CH29" s="2976"/>
      <c r="CI29" s="2976"/>
      <c r="CJ29" s="2976"/>
      <c r="CK29" s="2976"/>
      <c r="CL29" s="2976"/>
      <c r="CM29" s="2976"/>
      <c r="CN29" s="2976"/>
      <c r="CO29" s="2976"/>
      <c r="CP29" s="2976"/>
      <c r="CQ29" s="2976"/>
      <c r="CR29" s="2976"/>
      <c r="CS29" s="2976"/>
      <c r="CT29" s="2976"/>
      <c r="CU29" s="2976"/>
      <c r="CV29" s="2976"/>
      <c r="CW29" s="2976"/>
      <c r="CX29" s="2976"/>
      <c r="CY29" s="2976"/>
      <c r="CZ29" s="2976"/>
      <c r="DA29" s="2976"/>
      <c r="DB29" s="2976"/>
      <c r="DC29" s="2976"/>
      <c r="DD29" s="2976"/>
      <c r="DE29" s="2976"/>
      <c r="DF29" s="2976"/>
      <c r="DG29" s="2976"/>
      <c r="DH29" s="2976"/>
      <c r="DI29" s="2976"/>
      <c r="DJ29" s="2976"/>
      <c r="DK29" s="2976"/>
      <c r="DL29" s="2976"/>
    </row>
    <row r="30" spans="1:116" s="2981" customFormat="1" ht="33" customHeight="1">
      <c r="A30" s="2983">
        <v>27</v>
      </c>
      <c r="B30" s="2984" t="s">
        <v>3184</v>
      </c>
      <c r="C30" s="2984" t="s">
        <v>3185</v>
      </c>
      <c r="D30" s="2986">
        <v>190627.87</v>
      </c>
      <c r="E30" s="2986">
        <f t="shared" si="0"/>
        <v>22875.344399999998</v>
      </c>
      <c r="F30" s="2984" t="s">
        <v>3160</v>
      </c>
      <c r="G30" s="2988" t="s">
        <v>3163</v>
      </c>
      <c r="H30" s="2976"/>
      <c r="I30" s="2976"/>
      <c r="J30" s="2976"/>
      <c r="K30" s="2976"/>
      <c r="L30" s="2976"/>
      <c r="M30" s="2976"/>
      <c r="N30" s="2976"/>
      <c r="O30" s="2976"/>
      <c r="P30" s="2976"/>
      <c r="Q30" s="2976"/>
      <c r="R30" s="2976"/>
      <c r="S30" s="2976"/>
      <c r="T30" s="2976"/>
      <c r="U30" s="2976"/>
      <c r="V30" s="2976"/>
      <c r="W30" s="2976"/>
      <c r="X30" s="2976"/>
      <c r="Y30" s="2976"/>
      <c r="Z30" s="2976"/>
      <c r="AA30" s="2976"/>
      <c r="AB30" s="2976"/>
      <c r="AC30" s="2976"/>
      <c r="AD30" s="2976"/>
      <c r="AE30" s="2976"/>
      <c r="AF30" s="2976"/>
      <c r="AG30" s="2976"/>
      <c r="AH30" s="2976"/>
      <c r="AI30" s="2976"/>
      <c r="AJ30" s="2976"/>
      <c r="AK30" s="2976"/>
      <c r="AL30" s="2976"/>
      <c r="AM30" s="2976"/>
      <c r="AN30" s="2976"/>
      <c r="AO30" s="2976"/>
      <c r="AP30" s="2976"/>
      <c r="AQ30" s="2976"/>
      <c r="AR30" s="2976"/>
      <c r="AS30" s="2976"/>
      <c r="AT30" s="2976"/>
      <c r="AU30" s="2976"/>
      <c r="AV30" s="2976"/>
      <c r="AW30" s="2976"/>
      <c r="AX30" s="2976"/>
      <c r="AY30" s="2976"/>
      <c r="AZ30" s="2976"/>
      <c r="BA30" s="2976"/>
      <c r="BB30" s="2976"/>
      <c r="BC30" s="2976"/>
      <c r="BD30" s="2976"/>
      <c r="BE30" s="2976"/>
      <c r="BF30" s="2976"/>
      <c r="BG30" s="2976"/>
      <c r="BH30" s="2976"/>
      <c r="BI30" s="2976"/>
      <c r="BJ30" s="2976"/>
      <c r="BK30" s="2976"/>
      <c r="BL30" s="2976"/>
      <c r="BM30" s="2976"/>
      <c r="BN30" s="2976"/>
      <c r="BO30" s="2976"/>
      <c r="BP30" s="2976"/>
      <c r="BQ30" s="2976"/>
      <c r="BR30" s="2976"/>
      <c r="BS30" s="2976"/>
      <c r="BT30" s="2976"/>
      <c r="BU30" s="2976"/>
      <c r="BV30" s="2976"/>
      <c r="BW30" s="2976"/>
      <c r="BX30" s="2976"/>
      <c r="BY30" s="2976"/>
      <c r="BZ30" s="2976"/>
      <c r="CA30" s="2976"/>
      <c r="CB30" s="2976"/>
      <c r="CC30" s="2976"/>
      <c r="CD30" s="2976"/>
      <c r="CE30" s="2976"/>
      <c r="CF30" s="2976"/>
      <c r="CG30" s="2976"/>
      <c r="CH30" s="2976"/>
      <c r="CI30" s="2976"/>
      <c r="CJ30" s="2976"/>
      <c r="CK30" s="2976"/>
      <c r="CL30" s="2976"/>
      <c r="CM30" s="2976"/>
      <c r="CN30" s="2976"/>
      <c r="CO30" s="2976"/>
      <c r="CP30" s="2976"/>
      <c r="CQ30" s="2976"/>
      <c r="CR30" s="2976"/>
      <c r="CS30" s="2976"/>
      <c r="CT30" s="2976"/>
      <c r="CU30" s="2976"/>
      <c r="CV30" s="2976"/>
      <c r="CW30" s="2976"/>
      <c r="CX30" s="2976"/>
      <c r="CY30" s="2976"/>
      <c r="CZ30" s="2976"/>
      <c r="DA30" s="2976"/>
      <c r="DB30" s="2976"/>
      <c r="DC30" s="2976"/>
      <c r="DD30" s="2976"/>
      <c r="DE30" s="2976"/>
      <c r="DF30" s="2976"/>
      <c r="DG30" s="2976"/>
      <c r="DH30" s="2976"/>
      <c r="DI30" s="2976"/>
      <c r="DJ30" s="2976"/>
      <c r="DK30" s="2976"/>
      <c r="DL30" s="2976"/>
    </row>
    <row r="31" spans="1:116" s="2981" customFormat="1" ht="33" customHeight="1">
      <c r="A31" s="2983">
        <v>28</v>
      </c>
      <c r="B31" s="2984" t="s">
        <v>3186</v>
      </c>
      <c r="C31" s="2984" t="s">
        <v>3187</v>
      </c>
      <c r="D31" s="2986">
        <v>27178.1</v>
      </c>
      <c r="E31" s="2986">
        <f t="shared" si="0"/>
        <v>3261.3719999999998</v>
      </c>
      <c r="F31" s="2984" t="s">
        <v>3160</v>
      </c>
      <c r="G31" s="2988" t="s">
        <v>3163</v>
      </c>
      <c r="H31" s="2976"/>
      <c r="I31" s="2976"/>
      <c r="J31" s="2976"/>
      <c r="K31" s="2976"/>
      <c r="L31" s="2976"/>
      <c r="M31" s="2976"/>
      <c r="N31" s="2976"/>
      <c r="O31" s="2976"/>
      <c r="P31" s="2976"/>
      <c r="Q31" s="2976"/>
      <c r="R31" s="2976"/>
      <c r="S31" s="2976"/>
      <c r="T31" s="2976"/>
      <c r="U31" s="2976"/>
      <c r="V31" s="2976"/>
      <c r="W31" s="2976"/>
      <c r="X31" s="2976"/>
      <c r="Y31" s="2976"/>
      <c r="Z31" s="2976"/>
      <c r="AA31" s="2976"/>
      <c r="AB31" s="2976"/>
      <c r="AC31" s="2976"/>
      <c r="AD31" s="2976"/>
      <c r="AE31" s="2976"/>
      <c r="AF31" s="2976"/>
      <c r="AG31" s="2976"/>
      <c r="AH31" s="2976"/>
      <c r="AI31" s="2976"/>
      <c r="AJ31" s="2976"/>
      <c r="AK31" s="2976"/>
      <c r="AL31" s="2976"/>
      <c r="AM31" s="2976"/>
      <c r="AN31" s="2976"/>
      <c r="AO31" s="2976"/>
      <c r="AP31" s="2976"/>
      <c r="AQ31" s="2976"/>
      <c r="AR31" s="2976"/>
      <c r="AS31" s="2976"/>
      <c r="AT31" s="2976"/>
      <c r="AU31" s="2976"/>
      <c r="AV31" s="2976"/>
      <c r="AW31" s="2976"/>
      <c r="AX31" s="2976"/>
      <c r="AY31" s="2976"/>
      <c r="AZ31" s="2976"/>
      <c r="BA31" s="2976"/>
      <c r="BB31" s="2976"/>
      <c r="BC31" s="2976"/>
      <c r="BD31" s="2976"/>
      <c r="BE31" s="2976"/>
      <c r="BF31" s="2976"/>
      <c r="BG31" s="2976"/>
      <c r="BH31" s="2976"/>
      <c r="BI31" s="2976"/>
      <c r="BJ31" s="2976"/>
      <c r="BK31" s="2976"/>
      <c r="BL31" s="2976"/>
      <c r="BM31" s="2976"/>
      <c r="BN31" s="2976"/>
      <c r="BO31" s="2976"/>
      <c r="BP31" s="2976"/>
      <c r="BQ31" s="2976"/>
      <c r="BR31" s="2976"/>
      <c r="BS31" s="2976"/>
      <c r="BT31" s="2976"/>
      <c r="BU31" s="2976"/>
      <c r="BV31" s="2976"/>
      <c r="BW31" s="2976"/>
      <c r="BX31" s="2976"/>
      <c r="BY31" s="2976"/>
      <c r="BZ31" s="2976"/>
      <c r="CA31" s="2976"/>
      <c r="CB31" s="2976"/>
      <c r="CC31" s="2976"/>
      <c r="CD31" s="2976"/>
      <c r="CE31" s="2976"/>
      <c r="CF31" s="2976"/>
      <c r="CG31" s="2976"/>
      <c r="CH31" s="2976"/>
      <c r="CI31" s="2976"/>
      <c r="CJ31" s="2976"/>
      <c r="CK31" s="2976"/>
      <c r="CL31" s="2976"/>
      <c r="CM31" s="2976"/>
      <c r="CN31" s="2976"/>
      <c r="CO31" s="2976"/>
      <c r="CP31" s="2976"/>
      <c r="CQ31" s="2976"/>
      <c r="CR31" s="2976"/>
      <c r="CS31" s="2976"/>
      <c r="CT31" s="2976"/>
      <c r="CU31" s="2976"/>
      <c r="CV31" s="2976"/>
      <c r="CW31" s="2976"/>
      <c r="CX31" s="2976"/>
      <c r="CY31" s="2976"/>
      <c r="CZ31" s="2976"/>
      <c r="DA31" s="2976"/>
      <c r="DB31" s="2976"/>
      <c r="DC31" s="2976"/>
      <c r="DD31" s="2976"/>
      <c r="DE31" s="2976"/>
      <c r="DF31" s="2976"/>
      <c r="DG31" s="2976"/>
      <c r="DH31" s="2976"/>
      <c r="DI31" s="2976"/>
      <c r="DJ31" s="2976"/>
      <c r="DK31" s="2976"/>
      <c r="DL31" s="2976"/>
    </row>
    <row r="32" spans="1:116" s="2981" customFormat="1" ht="33" customHeight="1">
      <c r="A32" s="2983">
        <v>29</v>
      </c>
      <c r="B32" s="2984" t="s">
        <v>3188</v>
      </c>
      <c r="C32" s="2984" t="s">
        <v>3189</v>
      </c>
      <c r="D32" s="2986">
        <v>67376</v>
      </c>
      <c r="E32" s="2986">
        <f t="shared" si="0"/>
        <v>8085.12</v>
      </c>
      <c r="F32" s="2984" t="s">
        <v>3160</v>
      </c>
      <c r="G32" s="2988" t="s">
        <v>3163</v>
      </c>
      <c r="H32" s="2976"/>
      <c r="I32" s="2976"/>
      <c r="J32" s="2976"/>
      <c r="K32" s="2976"/>
      <c r="L32" s="2976"/>
      <c r="M32" s="2976"/>
      <c r="N32" s="2976"/>
      <c r="O32" s="2976"/>
      <c r="P32" s="2976"/>
      <c r="Q32" s="2976"/>
      <c r="R32" s="2976"/>
      <c r="S32" s="2976"/>
      <c r="T32" s="2976"/>
      <c r="U32" s="2976"/>
      <c r="V32" s="2976"/>
      <c r="W32" s="2976"/>
      <c r="X32" s="2976"/>
      <c r="Y32" s="2976"/>
      <c r="Z32" s="2976"/>
      <c r="AA32" s="2976"/>
      <c r="AB32" s="2976"/>
      <c r="AC32" s="2976"/>
      <c r="AD32" s="2976"/>
      <c r="AE32" s="2976"/>
      <c r="AF32" s="2976"/>
      <c r="AG32" s="2976"/>
      <c r="AH32" s="2976"/>
      <c r="AI32" s="2976"/>
      <c r="AJ32" s="2976"/>
      <c r="AK32" s="2976"/>
      <c r="AL32" s="2976"/>
      <c r="AM32" s="2976"/>
      <c r="AN32" s="2976"/>
      <c r="AO32" s="2976"/>
      <c r="AP32" s="2976"/>
      <c r="AQ32" s="2976"/>
      <c r="AR32" s="2976"/>
      <c r="AS32" s="2976"/>
      <c r="AT32" s="2976"/>
      <c r="AU32" s="2976"/>
      <c r="AV32" s="2976"/>
      <c r="AW32" s="2976"/>
      <c r="AX32" s="2976"/>
      <c r="AY32" s="2976"/>
      <c r="AZ32" s="2976"/>
      <c r="BA32" s="2976"/>
      <c r="BB32" s="2976"/>
      <c r="BC32" s="2976"/>
      <c r="BD32" s="2976"/>
      <c r="BE32" s="2976"/>
      <c r="BF32" s="2976"/>
      <c r="BG32" s="2976"/>
      <c r="BH32" s="2976"/>
      <c r="BI32" s="2976"/>
      <c r="BJ32" s="2976"/>
      <c r="BK32" s="2976"/>
      <c r="BL32" s="2976"/>
      <c r="BM32" s="2976"/>
      <c r="BN32" s="2976"/>
      <c r="BO32" s="2976"/>
      <c r="BP32" s="2976"/>
      <c r="BQ32" s="2976"/>
      <c r="BR32" s="2976"/>
      <c r="BS32" s="2976"/>
      <c r="BT32" s="2976"/>
      <c r="BU32" s="2976"/>
      <c r="BV32" s="2976"/>
      <c r="BW32" s="2976"/>
      <c r="BX32" s="2976"/>
      <c r="BY32" s="2976"/>
      <c r="BZ32" s="2976"/>
      <c r="CA32" s="2976"/>
      <c r="CB32" s="2976"/>
      <c r="CC32" s="2976"/>
      <c r="CD32" s="2976"/>
      <c r="CE32" s="2976"/>
      <c r="CF32" s="2976"/>
      <c r="CG32" s="2976"/>
      <c r="CH32" s="2976"/>
      <c r="CI32" s="2976"/>
      <c r="CJ32" s="2976"/>
      <c r="CK32" s="2976"/>
      <c r="CL32" s="2976"/>
      <c r="CM32" s="2976"/>
      <c r="CN32" s="2976"/>
      <c r="CO32" s="2976"/>
      <c r="CP32" s="2976"/>
      <c r="CQ32" s="2976"/>
      <c r="CR32" s="2976"/>
      <c r="CS32" s="2976"/>
      <c r="CT32" s="2976"/>
      <c r="CU32" s="2976"/>
      <c r="CV32" s="2976"/>
      <c r="CW32" s="2976"/>
      <c r="CX32" s="2976"/>
      <c r="CY32" s="2976"/>
      <c r="CZ32" s="2976"/>
      <c r="DA32" s="2976"/>
      <c r="DB32" s="2976"/>
      <c r="DC32" s="2976"/>
      <c r="DD32" s="2976"/>
      <c r="DE32" s="2976"/>
      <c r="DF32" s="2976"/>
      <c r="DG32" s="2976"/>
      <c r="DH32" s="2976"/>
      <c r="DI32" s="2976"/>
      <c r="DJ32" s="2976"/>
      <c r="DK32" s="2976"/>
      <c r="DL32" s="2976"/>
    </row>
    <row r="33" spans="1:116" s="2981" customFormat="1" ht="33" customHeight="1">
      <c r="A33" s="2983">
        <v>30</v>
      </c>
      <c r="B33" s="2984" t="s">
        <v>3190</v>
      </c>
      <c r="C33" s="2984" t="s">
        <v>3185</v>
      </c>
      <c r="D33" s="2986">
        <v>110618.28</v>
      </c>
      <c r="E33" s="2986">
        <f t="shared" si="0"/>
        <v>13274.193599999999</v>
      </c>
      <c r="F33" s="2984" t="s">
        <v>3160</v>
      </c>
      <c r="G33" s="2988" t="s">
        <v>3163</v>
      </c>
      <c r="H33" s="2976"/>
      <c r="I33" s="2976"/>
      <c r="J33" s="2976"/>
      <c r="K33" s="2976"/>
      <c r="L33" s="2976"/>
      <c r="M33" s="2976"/>
      <c r="N33" s="2976"/>
      <c r="O33" s="2976"/>
      <c r="P33" s="2976"/>
      <c r="Q33" s="2976"/>
      <c r="R33" s="2976"/>
      <c r="S33" s="2976"/>
      <c r="T33" s="2976"/>
      <c r="U33" s="2976"/>
      <c r="V33" s="2976"/>
      <c r="W33" s="2976"/>
      <c r="X33" s="2976"/>
      <c r="Y33" s="2976"/>
      <c r="Z33" s="2976"/>
      <c r="AA33" s="2976"/>
      <c r="AB33" s="2976"/>
      <c r="AC33" s="2976"/>
      <c r="AD33" s="2976"/>
      <c r="AE33" s="2976"/>
      <c r="AF33" s="2976"/>
      <c r="AG33" s="2976"/>
      <c r="AH33" s="2976"/>
      <c r="AI33" s="2976"/>
      <c r="AJ33" s="2976"/>
      <c r="AK33" s="2976"/>
      <c r="AL33" s="2976"/>
      <c r="AM33" s="2976"/>
      <c r="AN33" s="2976"/>
      <c r="AO33" s="2976"/>
      <c r="AP33" s="2976"/>
      <c r="AQ33" s="2976"/>
      <c r="AR33" s="2976"/>
      <c r="AS33" s="2976"/>
      <c r="AT33" s="2976"/>
      <c r="AU33" s="2976"/>
      <c r="AV33" s="2976"/>
      <c r="AW33" s="2976"/>
      <c r="AX33" s="2976"/>
      <c r="AY33" s="2976"/>
      <c r="AZ33" s="2976"/>
      <c r="BA33" s="2976"/>
      <c r="BB33" s="2976"/>
      <c r="BC33" s="2976"/>
      <c r="BD33" s="2976"/>
      <c r="BE33" s="2976"/>
      <c r="BF33" s="2976"/>
      <c r="BG33" s="2976"/>
      <c r="BH33" s="2976"/>
      <c r="BI33" s="2976"/>
      <c r="BJ33" s="2976"/>
      <c r="BK33" s="2976"/>
      <c r="BL33" s="2976"/>
      <c r="BM33" s="2976"/>
      <c r="BN33" s="2976"/>
      <c r="BO33" s="2976"/>
      <c r="BP33" s="2976"/>
      <c r="BQ33" s="2976"/>
      <c r="BR33" s="2976"/>
      <c r="BS33" s="2976"/>
      <c r="BT33" s="2976"/>
      <c r="BU33" s="2976"/>
      <c r="BV33" s="2976"/>
      <c r="BW33" s="2976"/>
      <c r="BX33" s="2976"/>
      <c r="BY33" s="2976"/>
      <c r="BZ33" s="2976"/>
      <c r="CA33" s="2976"/>
      <c r="CB33" s="2976"/>
      <c r="CC33" s="2976"/>
      <c r="CD33" s="2976"/>
      <c r="CE33" s="2976"/>
      <c r="CF33" s="2976"/>
      <c r="CG33" s="2976"/>
      <c r="CH33" s="2976"/>
      <c r="CI33" s="2976"/>
      <c r="CJ33" s="2976"/>
      <c r="CK33" s="2976"/>
      <c r="CL33" s="2976"/>
      <c r="CM33" s="2976"/>
      <c r="CN33" s="2976"/>
      <c r="CO33" s="2976"/>
      <c r="CP33" s="2976"/>
      <c r="CQ33" s="2976"/>
      <c r="CR33" s="2976"/>
      <c r="CS33" s="2976"/>
      <c r="CT33" s="2976"/>
      <c r="CU33" s="2976"/>
      <c r="CV33" s="2976"/>
      <c r="CW33" s="2976"/>
      <c r="CX33" s="2976"/>
      <c r="CY33" s="2976"/>
      <c r="CZ33" s="2976"/>
      <c r="DA33" s="2976"/>
      <c r="DB33" s="2976"/>
      <c r="DC33" s="2976"/>
      <c r="DD33" s="2976"/>
      <c r="DE33" s="2976"/>
      <c r="DF33" s="2976"/>
      <c r="DG33" s="2976"/>
      <c r="DH33" s="2976"/>
      <c r="DI33" s="2976"/>
      <c r="DJ33" s="2976"/>
      <c r="DK33" s="2976"/>
      <c r="DL33" s="2976"/>
    </row>
    <row r="34" spans="1:116" s="2981" customFormat="1" ht="33" customHeight="1">
      <c r="A34" s="2983">
        <v>31</v>
      </c>
      <c r="B34" s="2984" t="s">
        <v>3191</v>
      </c>
      <c r="C34" s="2984" t="s">
        <v>3192</v>
      </c>
      <c r="D34" s="2986">
        <v>38278.76</v>
      </c>
      <c r="E34" s="2986">
        <f t="shared" si="0"/>
        <v>4593.4512000000004</v>
      </c>
      <c r="F34" s="2984" t="s">
        <v>3160</v>
      </c>
      <c r="G34" s="2988" t="s">
        <v>3163</v>
      </c>
      <c r="H34" s="2976"/>
      <c r="I34" s="2976"/>
      <c r="J34" s="2976"/>
      <c r="K34" s="2976"/>
      <c r="L34" s="2976"/>
      <c r="M34" s="2976"/>
      <c r="N34" s="2976"/>
      <c r="O34" s="2976"/>
      <c r="P34" s="2976"/>
      <c r="Q34" s="2976"/>
      <c r="R34" s="2976"/>
      <c r="S34" s="2976"/>
      <c r="T34" s="2976"/>
      <c r="U34" s="2976"/>
      <c r="V34" s="2976"/>
      <c r="W34" s="2976"/>
      <c r="X34" s="2976"/>
      <c r="Y34" s="2976"/>
      <c r="Z34" s="2976"/>
      <c r="AA34" s="2976"/>
      <c r="AB34" s="2976"/>
      <c r="AC34" s="2976"/>
      <c r="AD34" s="2976"/>
      <c r="AE34" s="2976"/>
      <c r="AF34" s="2976"/>
      <c r="AG34" s="2976"/>
      <c r="AH34" s="2976"/>
      <c r="AI34" s="2976"/>
      <c r="AJ34" s="2976"/>
      <c r="AK34" s="2976"/>
      <c r="AL34" s="2976"/>
      <c r="AM34" s="2976"/>
      <c r="AN34" s="2976"/>
      <c r="AO34" s="2976"/>
      <c r="AP34" s="2976"/>
      <c r="AQ34" s="2976"/>
      <c r="AR34" s="2976"/>
      <c r="AS34" s="2976"/>
      <c r="AT34" s="2976"/>
      <c r="AU34" s="2976"/>
      <c r="AV34" s="2976"/>
      <c r="AW34" s="2976"/>
      <c r="AX34" s="2976"/>
      <c r="AY34" s="2976"/>
      <c r="AZ34" s="2976"/>
      <c r="BA34" s="2976"/>
      <c r="BB34" s="2976"/>
      <c r="BC34" s="2976"/>
      <c r="BD34" s="2976"/>
      <c r="BE34" s="2976"/>
      <c r="BF34" s="2976"/>
      <c r="BG34" s="2976"/>
      <c r="BH34" s="2976"/>
      <c r="BI34" s="2976"/>
      <c r="BJ34" s="2976"/>
      <c r="BK34" s="2976"/>
      <c r="BL34" s="2976"/>
      <c r="BM34" s="2976"/>
      <c r="BN34" s="2976"/>
      <c r="BO34" s="2976"/>
      <c r="BP34" s="2976"/>
      <c r="BQ34" s="2976"/>
      <c r="BR34" s="2976"/>
      <c r="BS34" s="2976"/>
      <c r="BT34" s="2976"/>
      <c r="BU34" s="2976"/>
      <c r="BV34" s="2976"/>
      <c r="BW34" s="2976"/>
      <c r="BX34" s="2976"/>
      <c r="BY34" s="2976"/>
      <c r="BZ34" s="2976"/>
      <c r="CA34" s="2976"/>
      <c r="CB34" s="2976"/>
      <c r="CC34" s="2976"/>
      <c r="CD34" s="2976"/>
      <c r="CE34" s="2976"/>
      <c r="CF34" s="2976"/>
      <c r="CG34" s="2976"/>
      <c r="CH34" s="2976"/>
      <c r="CI34" s="2976"/>
      <c r="CJ34" s="2976"/>
      <c r="CK34" s="2976"/>
      <c r="CL34" s="2976"/>
      <c r="CM34" s="2976"/>
      <c r="CN34" s="2976"/>
      <c r="CO34" s="2976"/>
      <c r="CP34" s="2976"/>
      <c r="CQ34" s="2976"/>
      <c r="CR34" s="2976"/>
      <c r="CS34" s="2976"/>
      <c r="CT34" s="2976"/>
      <c r="CU34" s="2976"/>
      <c r="CV34" s="2976"/>
      <c r="CW34" s="2976"/>
      <c r="CX34" s="2976"/>
      <c r="CY34" s="2976"/>
      <c r="CZ34" s="2976"/>
      <c r="DA34" s="2976"/>
      <c r="DB34" s="2976"/>
      <c r="DC34" s="2976"/>
      <c r="DD34" s="2976"/>
      <c r="DE34" s="2976"/>
      <c r="DF34" s="2976"/>
      <c r="DG34" s="2976"/>
      <c r="DH34" s="2976"/>
      <c r="DI34" s="2976"/>
      <c r="DJ34" s="2976"/>
      <c r="DK34" s="2976"/>
      <c r="DL34" s="2976"/>
    </row>
    <row r="35" spans="1:116" s="2981" customFormat="1" ht="33" customHeight="1">
      <c r="A35" s="2983">
        <v>32</v>
      </c>
      <c r="B35" s="2984" t="s">
        <v>3193</v>
      </c>
      <c r="C35" s="2984" t="s">
        <v>3153</v>
      </c>
      <c r="D35" s="2986">
        <v>15000.63</v>
      </c>
      <c r="E35" s="2986">
        <f t="shared" si="0"/>
        <v>1800.0755999999999</v>
      </c>
      <c r="F35" s="2984" t="s">
        <v>3160</v>
      </c>
      <c r="G35" s="2988" t="s">
        <v>3163</v>
      </c>
      <c r="H35" s="2976"/>
      <c r="I35" s="2976"/>
      <c r="J35" s="2976"/>
      <c r="K35" s="2976"/>
      <c r="L35" s="2976"/>
      <c r="M35" s="2976"/>
      <c r="N35" s="2976"/>
      <c r="O35" s="2976"/>
      <c r="P35" s="2976"/>
      <c r="Q35" s="2976"/>
      <c r="R35" s="2976"/>
      <c r="S35" s="2976"/>
      <c r="T35" s="2976"/>
      <c r="U35" s="2976"/>
      <c r="V35" s="2976"/>
      <c r="W35" s="2976"/>
      <c r="X35" s="2976"/>
      <c r="Y35" s="2976"/>
      <c r="Z35" s="2976"/>
      <c r="AA35" s="2976"/>
      <c r="AB35" s="2976"/>
      <c r="AC35" s="2976"/>
      <c r="AD35" s="2976"/>
      <c r="AE35" s="2976"/>
      <c r="AF35" s="2976"/>
      <c r="AG35" s="2976"/>
      <c r="AH35" s="2976"/>
      <c r="AI35" s="2976"/>
      <c r="AJ35" s="2976"/>
      <c r="AK35" s="2976"/>
      <c r="AL35" s="2976"/>
      <c r="AM35" s="2976"/>
      <c r="AN35" s="2976"/>
      <c r="AO35" s="2976"/>
      <c r="AP35" s="2976"/>
      <c r="AQ35" s="2976"/>
      <c r="AR35" s="2976"/>
      <c r="AS35" s="2976"/>
      <c r="AT35" s="2976"/>
      <c r="AU35" s="2976"/>
      <c r="AV35" s="2976"/>
      <c r="AW35" s="2976"/>
      <c r="AX35" s="2976"/>
      <c r="AY35" s="2976"/>
      <c r="AZ35" s="2976"/>
      <c r="BA35" s="2976"/>
      <c r="BB35" s="2976"/>
      <c r="BC35" s="2976"/>
      <c r="BD35" s="2976"/>
      <c r="BE35" s="2976"/>
      <c r="BF35" s="2976"/>
      <c r="BG35" s="2976"/>
      <c r="BH35" s="2976"/>
      <c r="BI35" s="2976"/>
      <c r="BJ35" s="2976"/>
      <c r="BK35" s="2976"/>
      <c r="BL35" s="2976"/>
      <c r="BM35" s="2976"/>
      <c r="BN35" s="2976"/>
      <c r="BO35" s="2976"/>
      <c r="BP35" s="2976"/>
      <c r="BQ35" s="2976"/>
      <c r="BR35" s="2976"/>
      <c r="BS35" s="2976"/>
      <c r="BT35" s="2976"/>
      <c r="BU35" s="2976"/>
      <c r="BV35" s="2976"/>
      <c r="BW35" s="2976"/>
      <c r="BX35" s="2976"/>
      <c r="BY35" s="2976"/>
      <c r="BZ35" s="2976"/>
      <c r="CA35" s="2976"/>
      <c r="CB35" s="2976"/>
      <c r="CC35" s="2976"/>
      <c r="CD35" s="2976"/>
      <c r="CE35" s="2976"/>
      <c r="CF35" s="2976"/>
      <c r="CG35" s="2976"/>
      <c r="CH35" s="2976"/>
      <c r="CI35" s="2976"/>
      <c r="CJ35" s="2976"/>
      <c r="CK35" s="2976"/>
      <c r="CL35" s="2976"/>
      <c r="CM35" s="2976"/>
      <c r="CN35" s="2976"/>
      <c r="CO35" s="2976"/>
      <c r="CP35" s="2976"/>
      <c r="CQ35" s="2976"/>
      <c r="CR35" s="2976"/>
      <c r="CS35" s="2976"/>
      <c r="CT35" s="2976"/>
      <c r="CU35" s="2976"/>
      <c r="CV35" s="2976"/>
      <c r="CW35" s="2976"/>
      <c r="CX35" s="2976"/>
      <c r="CY35" s="2976"/>
      <c r="CZ35" s="2976"/>
      <c r="DA35" s="2976"/>
      <c r="DB35" s="2976"/>
      <c r="DC35" s="2976"/>
      <c r="DD35" s="2976"/>
      <c r="DE35" s="2976"/>
      <c r="DF35" s="2976"/>
      <c r="DG35" s="2976"/>
      <c r="DH35" s="2976"/>
      <c r="DI35" s="2976"/>
      <c r="DJ35" s="2976"/>
      <c r="DK35" s="2976"/>
      <c r="DL35" s="2976"/>
    </row>
    <row r="36" spans="1:116" s="2981" customFormat="1" ht="33" customHeight="1">
      <c r="A36" s="2983">
        <v>33</v>
      </c>
      <c r="B36" s="2984" t="s">
        <v>3194</v>
      </c>
      <c r="C36" s="2984" t="s">
        <v>3195</v>
      </c>
      <c r="D36" s="2986">
        <v>5000</v>
      </c>
      <c r="E36" s="2986">
        <f t="shared" si="0"/>
        <v>600</v>
      </c>
      <c r="F36" s="2984" t="s">
        <v>3160</v>
      </c>
      <c r="G36" s="2988" t="s">
        <v>3163</v>
      </c>
      <c r="H36" s="2976"/>
      <c r="I36" s="2976"/>
      <c r="J36" s="2976"/>
      <c r="K36" s="2976"/>
      <c r="L36" s="2976"/>
      <c r="M36" s="2976"/>
      <c r="N36" s="2976"/>
      <c r="O36" s="2976"/>
      <c r="P36" s="2976"/>
      <c r="Q36" s="2976"/>
      <c r="R36" s="2976"/>
      <c r="S36" s="2976"/>
      <c r="T36" s="2976"/>
      <c r="U36" s="2976"/>
      <c r="V36" s="2976"/>
      <c r="W36" s="2976"/>
      <c r="X36" s="2976"/>
      <c r="Y36" s="2976"/>
      <c r="Z36" s="2976"/>
      <c r="AA36" s="2976"/>
      <c r="AB36" s="2976"/>
      <c r="AC36" s="2976"/>
      <c r="AD36" s="2976"/>
      <c r="AE36" s="2976"/>
      <c r="AF36" s="2976"/>
      <c r="AG36" s="2976"/>
      <c r="AH36" s="2976"/>
      <c r="AI36" s="2976"/>
      <c r="AJ36" s="2976"/>
      <c r="AK36" s="2976"/>
      <c r="AL36" s="2976"/>
      <c r="AM36" s="2976"/>
      <c r="AN36" s="2976"/>
      <c r="AO36" s="2976"/>
      <c r="AP36" s="2976"/>
      <c r="AQ36" s="2976"/>
      <c r="AR36" s="2976"/>
      <c r="AS36" s="2976"/>
      <c r="AT36" s="2976"/>
      <c r="AU36" s="2976"/>
      <c r="AV36" s="2976"/>
      <c r="AW36" s="2976"/>
      <c r="AX36" s="2976"/>
      <c r="AY36" s="2976"/>
      <c r="AZ36" s="2976"/>
      <c r="BA36" s="2976"/>
      <c r="BB36" s="2976"/>
      <c r="BC36" s="2976"/>
      <c r="BD36" s="2976"/>
      <c r="BE36" s="2976"/>
      <c r="BF36" s="2976"/>
      <c r="BG36" s="2976"/>
      <c r="BH36" s="2976"/>
      <c r="BI36" s="2976"/>
      <c r="BJ36" s="2976"/>
      <c r="BK36" s="2976"/>
      <c r="BL36" s="2976"/>
      <c r="BM36" s="2976"/>
      <c r="BN36" s="2976"/>
      <c r="BO36" s="2976"/>
      <c r="BP36" s="2976"/>
      <c r="BQ36" s="2976"/>
      <c r="BR36" s="2976"/>
      <c r="BS36" s="2976"/>
      <c r="BT36" s="2976"/>
      <c r="BU36" s="2976"/>
      <c r="BV36" s="2976"/>
      <c r="BW36" s="2976"/>
      <c r="BX36" s="2976"/>
      <c r="BY36" s="2976"/>
      <c r="BZ36" s="2976"/>
      <c r="CA36" s="2976"/>
      <c r="CB36" s="2976"/>
      <c r="CC36" s="2976"/>
      <c r="CD36" s="2976"/>
      <c r="CE36" s="2976"/>
      <c r="CF36" s="2976"/>
      <c r="CG36" s="2976"/>
      <c r="CH36" s="2976"/>
      <c r="CI36" s="2976"/>
      <c r="CJ36" s="2976"/>
      <c r="CK36" s="2976"/>
      <c r="CL36" s="2976"/>
      <c r="CM36" s="2976"/>
      <c r="CN36" s="2976"/>
      <c r="CO36" s="2976"/>
      <c r="CP36" s="2976"/>
      <c r="CQ36" s="2976"/>
      <c r="CR36" s="2976"/>
      <c r="CS36" s="2976"/>
      <c r="CT36" s="2976"/>
      <c r="CU36" s="2976"/>
      <c r="CV36" s="2976"/>
      <c r="CW36" s="2976"/>
      <c r="CX36" s="2976"/>
      <c r="CY36" s="2976"/>
      <c r="CZ36" s="2976"/>
      <c r="DA36" s="2976"/>
      <c r="DB36" s="2976"/>
      <c r="DC36" s="2976"/>
      <c r="DD36" s="2976"/>
      <c r="DE36" s="2976"/>
      <c r="DF36" s="2976"/>
      <c r="DG36" s="2976"/>
      <c r="DH36" s="2976"/>
      <c r="DI36" s="2976"/>
      <c r="DJ36" s="2976"/>
      <c r="DK36" s="2976"/>
      <c r="DL36" s="2976"/>
    </row>
    <row r="37" spans="1:116" s="2981" customFormat="1" ht="33" customHeight="1">
      <c r="A37" s="2983">
        <v>34</v>
      </c>
      <c r="B37" s="2984" t="s">
        <v>3196</v>
      </c>
      <c r="C37" s="2984" t="s">
        <v>3195</v>
      </c>
      <c r="D37" s="2990">
        <v>1275.6500000000001</v>
      </c>
      <c r="E37" s="2986">
        <f t="shared" si="0"/>
        <v>153.078</v>
      </c>
      <c r="F37" s="2984" t="s">
        <v>3160</v>
      </c>
      <c r="G37" s="2988" t="s">
        <v>3163</v>
      </c>
      <c r="H37" s="2976"/>
      <c r="I37" s="2976"/>
      <c r="J37" s="2976"/>
      <c r="K37" s="2976"/>
      <c r="L37" s="2976"/>
      <c r="M37" s="2991"/>
      <c r="N37" s="2976"/>
      <c r="O37" s="2976"/>
      <c r="P37" s="2976"/>
      <c r="Q37" s="2976"/>
      <c r="R37" s="2976"/>
      <c r="S37" s="2976"/>
      <c r="T37" s="2976"/>
      <c r="U37" s="2976"/>
      <c r="V37" s="2976"/>
      <c r="W37" s="2976"/>
      <c r="X37" s="2976"/>
      <c r="Y37" s="2976"/>
      <c r="Z37" s="2976"/>
      <c r="AA37" s="2976"/>
      <c r="AB37" s="2976"/>
      <c r="AC37" s="2976"/>
      <c r="AD37" s="2976"/>
      <c r="AE37" s="2976"/>
      <c r="AF37" s="2976"/>
      <c r="AG37" s="2976"/>
      <c r="AH37" s="2976"/>
      <c r="AI37" s="2976"/>
      <c r="AJ37" s="2976"/>
      <c r="AK37" s="2976"/>
      <c r="AL37" s="2976"/>
      <c r="AM37" s="2976"/>
      <c r="AN37" s="2976"/>
      <c r="AO37" s="2976"/>
      <c r="AP37" s="2976"/>
      <c r="AQ37" s="2976"/>
      <c r="AR37" s="2976"/>
      <c r="AS37" s="2976"/>
      <c r="AT37" s="2976"/>
      <c r="AU37" s="2976"/>
      <c r="AV37" s="2976"/>
      <c r="AW37" s="2976"/>
      <c r="AX37" s="2976"/>
      <c r="AY37" s="2976"/>
      <c r="AZ37" s="2976"/>
      <c r="BA37" s="2976"/>
      <c r="BB37" s="2976"/>
      <c r="BC37" s="2976"/>
      <c r="BD37" s="2976"/>
      <c r="BE37" s="2976"/>
      <c r="BF37" s="2976"/>
      <c r="BG37" s="2976"/>
      <c r="BH37" s="2976"/>
      <c r="BI37" s="2976"/>
      <c r="BJ37" s="2976"/>
      <c r="BK37" s="2976"/>
      <c r="BL37" s="2976"/>
      <c r="BM37" s="2976"/>
      <c r="BN37" s="2976"/>
      <c r="BO37" s="2976"/>
      <c r="BP37" s="2976"/>
      <c r="BQ37" s="2976"/>
      <c r="BR37" s="2976"/>
      <c r="BS37" s="2976"/>
      <c r="BT37" s="2976"/>
      <c r="BU37" s="2976"/>
      <c r="BV37" s="2976"/>
      <c r="BW37" s="2976"/>
      <c r="BX37" s="2976"/>
      <c r="BY37" s="2976"/>
      <c r="BZ37" s="2976"/>
      <c r="CA37" s="2976"/>
      <c r="CB37" s="2976"/>
      <c r="CC37" s="2976"/>
      <c r="CD37" s="2976"/>
      <c r="CE37" s="2976"/>
      <c r="CF37" s="2976"/>
      <c r="CG37" s="2976"/>
      <c r="CH37" s="2976"/>
      <c r="CI37" s="2976"/>
      <c r="CJ37" s="2976"/>
      <c r="CK37" s="2976"/>
      <c r="CL37" s="2976"/>
      <c r="CM37" s="2976"/>
      <c r="CN37" s="2976"/>
      <c r="CO37" s="2976"/>
      <c r="CP37" s="2976"/>
      <c r="CQ37" s="2976"/>
      <c r="CR37" s="2976"/>
      <c r="CS37" s="2976"/>
      <c r="CT37" s="2976"/>
      <c r="CU37" s="2976"/>
      <c r="CV37" s="2976"/>
      <c r="CW37" s="2976"/>
      <c r="CX37" s="2976"/>
      <c r="CY37" s="2976"/>
      <c r="CZ37" s="2976"/>
      <c r="DA37" s="2976"/>
      <c r="DB37" s="2976"/>
      <c r="DC37" s="2976"/>
      <c r="DD37" s="2976"/>
      <c r="DE37" s="2976"/>
      <c r="DF37" s="2976"/>
      <c r="DG37" s="2976"/>
      <c r="DH37" s="2976"/>
      <c r="DI37" s="2976"/>
      <c r="DJ37" s="2976"/>
      <c r="DK37" s="2976"/>
      <c r="DL37" s="2976"/>
    </row>
    <row r="38" spans="1:116" s="2981" customFormat="1" ht="33" customHeight="1">
      <c r="A38" s="2983">
        <v>35</v>
      </c>
      <c r="B38" s="2984" t="s">
        <v>3197</v>
      </c>
      <c r="C38" s="2984" t="s">
        <v>3198</v>
      </c>
      <c r="D38" s="2992">
        <v>7501.7</v>
      </c>
      <c r="E38" s="2986">
        <f t="shared" si="0"/>
        <v>900.20399999999995</v>
      </c>
      <c r="F38" s="2984" t="s">
        <v>3160</v>
      </c>
      <c r="G38" s="2988" t="s">
        <v>3163</v>
      </c>
      <c r="H38" s="2976"/>
      <c r="I38" s="2976"/>
      <c r="J38" s="2976"/>
      <c r="K38" s="2976"/>
      <c r="L38" s="2976"/>
      <c r="M38" s="2976"/>
      <c r="N38" s="2976"/>
      <c r="O38" s="2976"/>
      <c r="P38" s="2976"/>
      <c r="Q38" s="2976"/>
      <c r="R38" s="2976"/>
      <c r="S38" s="2976"/>
      <c r="T38" s="2976"/>
      <c r="U38" s="2976"/>
      <c r="V38" s="2976"/>
      <c r="W38" s="2976"/>
      <c r="X38" s="2976"/>
      <c r="Y38" s="2976"/>
      <c r="Z38" s="2976"/>
      <c r="AA38" s="2976"/>
      <c r="AB38" s="2976"/>
      <c r="AC38" s="2976"/>
      <c r="AD38" s="2976"/>
      <c r="AE38" s="2976"/>
      <c r="AF38" s="2976"/>
      <c r="AG38" s="2976"/>
      <c r="AH38" s="2976"/>
      <c r="AI38" s="2976"/>
      <c r="AJ38" s="2976"/>
      <c r="AK38" s="2976"/>
      <c r="AL38" s="2976"/>
      <c r="AM38" s="2976"/>
      <c r="AN38" s="2976"/>
      <c r="AO38" s="2976"/>
      <c r="AP38" s="2976"/>
      <c r="AQ38" s="2976"/>
      <c r="AR38" s="2976"/>
      <c r="AS38" s="2976"/>
      <c r="AT38" s="2976"/>
      <c r="AU38" s="2976"/>
      <c r="AV38" s="2976"/>
      <c r="AW38" s="2976"/>
      <c r="AX38" s="2976"/>
      <c r="AY38" s="2976"/>
      <c r="AZ38" s="2976"/>
      <c r="BA38" s="2976"/>
      <c r="BB38" s="2976"/>
      <c r="BC38" s="2976"/>
      <c r="BD38" s="2976"/>
      <c r="BE38" s="2976"/>
      <c r="BF38" s="2976"/>
      <c r="BG38" s="2976"/>
      <c r="BH38" s="2976"/>
      <c r="BI38" s="2976"/>
      <c r="BJ38" s="2976"/>
      <c r="BK38" s="2976"/>
      <c r="BL38" s="2976"/>
      <c r="BM38" s="2976"/>
      <c r="BN38" s="2976"/>
      <c r="BO38" s="2976"/>
      <c r="BP38" s="2976"/>
      <c r="BQ38" s="2976"/>
      <c r="BR38" s="2976"/>
      <c r="BS38" s="2976"/>
      <c r="BT38" s="2976"/>
      <c r="BU38" s="2976"/>
      <c r="BV38" s="2976"/>
      <c r="BW38" s="2976"/>
      <c r="BX38" s="2976"/>
      <c r="BY38" s="2976"/>
      <c r="BZ38" s="2976"/>
      <c r="CA38" s="2976"/>
      <c r="CB38" s="2976"/>
      <c r="CC38" s="2976"/>
      <c r="CD38" s="2976"/>
      <c r="CE38" s="2976"/>
      <c r="CF38" s="2976"/>
      <c r="CG38" s="2976"/>
      <c r="CH38" s="2976"/>
      <c r="CI38" s="2976"/>
      <c r="CJ38" s="2976"/>
      <c r="CK38" s="2976"/>
      <c r="CL38" s="2976"/>
      <c r="CM38" s="2976"/>
      <c r="CN38" s="2976"/>
      <c r="CO38" s="2976"/>
      <c r="CP38" s="2976"/>
      <c r="CQ38" s="2976"/>
      <c r="CR38" s="2976"/>
      <c r="CS38" s="2976"/>
      <c r="CT38" s="2976"/>
      <c r="CU38" s="2976"/>
      <c r="CV38" s="2976"/>
      <c r="CW38" s="2976"/>
      <c r="CX38" s="2976"/>
      <c r="CY38" s="2976"/>
      <c r="CZ38" s="2976"/>
      <c r="DA38" s="2976"/>
      <c r="DB38" s="2976"/>
      <c r="DC38" s="2976"/>
      <c r="DD38" s="2976"/>
      <c r="DE38" s="2976"/>
      <c r="DF38" s="2976"/>
      <c r="DG38" s="2976"/>
      <c r="DH38" s="2976"/>
      <c r="DI38" s="2976"/>
      <c r="DJ38" s="2976"/>
      <c r="DK38" s="2976"/>
      <c r="DL38" s="2976"/>
    </row>
    <row r="39" spans="1:116" s="2981" customFormat="1" ht="33" customHeight="1">
      <c r="A39" s="2983">
        <v>36</v>
      </c>
      <c r="B39" s="2984" t="s">
        <v>3199</v>
      </c>
      <c r="C39" s="2984" t="s">
        <v>3198</v>
      </c>
      <c r="D39" s="2992">
        <v>6106.59</v>
      </c>
      <c r="E39" s="2986">
        <f t="shared" si="0"/>
        <v>732.79079999999999</v>
      </c>
      <c r="F39" s="2984" t="s">
        <v>3160</v>
      </c>
      <c r="G39" s="2988" t="s">
        <v>3163</v>
      </c>
      <c r="H39" s="2976"/>
      <c r="I39" s="2976"/>
      <c r="J39" s="2976"/>
      <c r="K39" s="2976"/>
      <c r="L39" s="2976"/>
      <c r="M39" s="2976"/>
      <c r="N39" s="2976"/>
      <c r="O39" s="2976"/>
      <c r="P39" s="2976"/>
      <c r="Q39" s="2976"/>
      <c r="R39" s="2976"/>
      <c r="S39" s="2976"/>
      <c r="T39" s="2976"/>
      <c r="U39" s="2976"/>
      <c r="V39" s="2976"/>
      <c r="W39" s="2976"/>
      <c r="X39" s="2976"/>
      <c r="Y39" s="2976"/>
      <c r="Z39" s="2976"/>
      <c r="AA39" s="2976"/>
      <c r="AB39" s="2976"/>
      <c r="AC39" s="2976"/>
      <c r="AD39" s="2976"/>
      <c r="AE39" s="2976"/>
      <c r="AF39" s="2976"/>
      <c r="AG39" s="2976"/>
      <c r="AH39" s="2976"/>
      <c r="AI39" s="2976"/>
      <c r="AJ39" s="2976"/>
      <c r="AK39" s="2976"/>
      <c r="AL39" s="2976"/>
      <c r="AM39" s="2976"/>
      <c r="AN39" s="2976"/>
      <c r="AO39" s="2976"/>
      <c r="AP39" s="2976"/>
      <c r="AQ39" s="2976"/>
      <c r="AR39" s="2976"/>
      <c r="AS39" s="2976"/>
      <c r="AT39" s="2976"/>
      <c r="AU39" s="2976"/>
      <c r="AV39" s="2976"/>
      <c r="AW39" s="2976"/>
      <c r="AX39" s="2976"/>
      <c r="AY39" s="2976"/>
      <c r="AZ39" s="2976"/>
      <c r="BA39" s="2976"/>
      <c r="BB39" s="2976"/>
      <c r="BC39" s="2976"/>
      <c r="BD39" s="2976"/>
      <c r="BE39" s="2976"/>
      <c r="BF39" s="2976"/>
      <c r="BG39" s="2976"/>
      <c r="BH39" s="2976"/>
      <c r="BI39" s="2976"/>
      <c r="BJ39" s="2976"/>
      <c r="BK39" s="2976"/>
      <c r="BL39" s="2976"/>
      <c r="BM39" s="2976"/>
      <c r="BN39" s="2976"/>
      <c r="BO39" s="2976"/>
      <c r="BP39" s="2976"/>
      <c r="BQ39" s="2976"/>
      <c r="BR39" s="2976"/>
      <c r="BS39" s="2976"/>
      <c r="BT39" s="2976"/>
      <c r="BU39" s="2976"/>
      <c r="BV39" s="2976"/>
      <c r="BW39" s="2976"/>
      <c r="BX39" s="2976"/>
      <c r="BY39" s="2976"/>
      <c r="BZ39" s="2976"/>
      <c r="CA39" s="2976"/>
      <c r="CB39" s="2976"/>
      <c r="CC39" s="2976"/>
      <c r="CD39" s="2976"/>
      <c r="CE39" s="2976"/>
      <c r="CF39" s="2976"/>
      <c r="CG39" s="2976"/>
      <c r="CH39" s="2976"/>
      <c r="CI39" s="2976"/>
      <c r="CJ39" s="2976"/>
      <c r="CK39" s="2976"/>
      <c r="CL39" s="2976"/>
      <c r="CM39" s="2976"/>
      <c r="CN39" s="2976"/>
      <c r="CO39" s="2976"/>
      <c r="CP39" s="2976"/>
      <c r="CQ39" s="2976"/>
      <c r="CR39" s="2976"/>
      <c r="CS39" s="2976"/>
      <c r="CT39" s="2976"/>
      <c r="CU39" s="2976"/>
      <c r="CV39" s="2976"/>
      <c r="CW39" s="2976"/>
      <c r="CX39" s="2976"/>
      <c r="CY39" s="2976"/>
      <c r="CZ39" s="2976"/>
      <c r="DA39" s="2976"/>
      <c r="DB39" s="2976"/>
      <c r="DC39" s="2976"/>
      <c r="DD39" s="2976"/>
      <c r="DE39" s="2976"/>
      <c r="DF39" s="2976"/>
      <c r="DG39" s="2976"/>
      <c r="DH39" s="2976"/>
      <c r="DI39" s="2976"/>
      <c r="DJ39" s="2976"/>
      <c r="DK39" s="2976"/>
      <c r="DL39" s="2976"/>
    </row>
    <row r="40" spans="1:116" s="2981" customFormat="1" ht="39.950000000000003" customHeight="1">
      <c r="A40" s="2993"/>
      <c r="B40" s="2994" t="s">
        <v>40</v>
      </c>
      <c r="C40" s="2994"/>
      <c r="D40" s="2995">
        <f>SUM(D4:D39)</f>
        <v>2076945.2560000005</v>
      </c>
      <c r="E40" s="2986">
        <v>247230.34</v>
      </c>
      <c r="F40" s="2996"/>
      <c r="G40" s="2988" t="s">
        <v>3163</v>
      </c>
      <c r="H40" s="2976"/>
      <c r="I40" s="2976"/>
      <c r="J40" s="2976"/>
      <c r="K40" s="2976"/>
      <c r="L40" s="2976"/>
      <c r="M40" s="2976"/>
      <c r="N40" s="2976"/>
      <c r="O40" s="2976"/>
      <c r="P40" s="2976"/>
      <c r="Q40" s="2976"/>
      <c r="R40" s="2976"/>
      <c r="S40" s="2976"/>
      <c r="T40" s="2976"/>
      <c r="U40" s="2976"/>
      <c r="V40" s="2976"/>
      <c r="W40" s="2976"/>
      <c r="X40" s="2976"/>
      <c r="Y40" s="2976"/>
      <c r="Z40" s="2976"/>
      <c r="AA40" s="2976"/>
      <c r="AB40" s="2976"/>
      <c r="AC40" s="2976"/>
      <c r="AD40" s="2976"/>
      <c r="AE40" s="2976"/>
      <c r="AF40" s="2976"/>
      <c r="AG40" s="2976"/>
      <c r="AH40" s="2976"/>
      <c r="AI40" s="2976"/>
      <c r="AJ40" s="2976"/>
      <c r="AK40" s="2976"/>
      <c r="AL40" s="2976"/>
      <c r="AM40" s="2976"/>
      <c r="AN40" s="2976"/>
      <c r="AO40" s="2976"/>
      <c r="AP40" s="2976"/>
      <c r="AQ40" s="2976"/>
      <c r="AR40" s="2976"/>
      <c r="AS40" s="2976"/>
      <c r="AT40" s="2976"/>
      <c r="AU40" s="2976"/>
      <c r="AV40" s="2976"/>
      <c r="AW40" s="2976"/>
      <c r="AX40" s="2976"/>
      <c r="AY40" s="2976"/>
      <c r="AZ40" s="2976"/>
      <c r="BA40" s="2976"/>
      <c r="BB40" s="2976"/>
      <c r="BC40" s="2976"/>
      <c r="BD40" s="2976"/>
      <c r="BE40" s="2976"/>
      <c r="BF40" s="2976"/>
      <c r="BG40" s="2976"/>
      <c r="BH40" s="2976"/>
      <c r="BI40" s="2976"/>
      <c r="BJ40" s="2976"/>
      <c r="BK40" s="2976"/>
      <c r="BL40" s="2976"/>
      <c r="BM40" s="2976"/>
      <c r="BN40" s="2976"/>
      <c r="BO40" s="2976"/>
      <c r="BP40" s="2976"/>
      <c r="BQ40" s="2976"/>
      <c r="BR40" s="2976"/>
      <c r="BS40" s="2976"/>
      <c r="BT40" s="2976"/>
      <c r="BU40" s="2976"/>
      <c r="BV40" s="2976"/>
      <c r="BW40" s="2976"/>
      <c r="BX40" s="2976"/>
      <c r="BY40" s="2976"/>
      <c r="BZ40" s="2976"/>
      <c r="CA40" s="2976"/>
      <c r="CB40" s="2976"/>
      <c r="CC40" s="2976"/>
      <c r="CD40" s="2976"/>
      <c r="CE40" s="2976"/>
      <c r="CF40" s="2976"/>
      <c r="CG40" s="2976"/>
      <c r="CH40" s="2976"/>
      <c r="CI40" s="2976"/>
      <c r="CJ40" s="2976"/>
      <c r="CK40" s="2976"/>
      <c r="CL40" s="2976"/>
      <c r="CM40" s="2976"/>
      <c r="CN40" s="2976"/>
      <c r="CO40" s="2976"/>
      <c r="CP40" s="2976"/>
      <c r="CQ40" s="2976"/>
      <c r="CR40" s="2976"/>
      <c r="CS40" s="2976"/>
      <c r="CT40" s="2976"/>
      <c r="CU40" s="2976"/>
      <c r="CV40" s="2976"/>
      <c r="CW40" s="2976"/>
      <c r="CX40" s="2976"/>
      <c r="CY40" s="2976"/>
      <c r="CZ40" s="2976"/>
      <c r="DA40" s="2976"/>
      <c r="DB40" s="2976"/>
      <c r="DC40" s="2976"/>
      <c r="DD40" s="2976"/>
      <c r="DE40" s="2976"/>
      <c r="DF40" s="2976"/>
      <c r="DG40" s="2976"/>
      <c r="DH40" s="2976"/>
      <c r="DI40" s="2976"/>
      <c r="DJ40" s="2976"/>
      <c r="DK40" s="2976"/>
      <c r="DL40" s="2976"/>
    </row>
    <row r="41" spans="1:116" s="2981" customFormat="1" ht="39.950000000000003" customHeight="1">
      <c r="A41" s="3346" t="s">
        <v>3200</v>
      </c>
      <c r="B41" s="3346"/>
      <c r="C41" s="2982"/>
      <c r="D41" s="2997"/>
      <c r="E41" s="2986"/>
      <c r="F41" s="2996"/>
      <c r="G41" s="2988"/>
      <c r="H41" s="2976"/>
      <c r="I41" s="2976"/>
      <c r="J41" s="2976"/>
      <c r="K41" s="2976"/>
      <c r="L41" s="2976"/>
      <c r="M41" s="2976"/>
      <c r="N41" s="2976"/>
      <c r="O41" s="2976"/>
      <c r="P41" s="2976"/>
      <c r="Q41" s="2976"/>
      <c r="R41" s="2976"/>
      <c r="S41" s="2976"/>
      <c r="T41" s="2976"/>
      <c r="U41" s="2976"/>
      <c r="V41" s="2976"/>
      <c r="W41" s="2976"/>
      <c r="X41" s="2976"/>
      <c r="Y41" s="2976"/>
      <c r="Z41" s="2976"/>
      <c r="AA41" s="2976"/>
      <c r="AB41" s="2976"/>
      <c r="AC41" s="2976"/>
      <c r="AD41" s="2976"/>
      <c r="AE41" s="2976"/>
      <c r="AF41" s="2976"/>
      <c r="AG41" s="2976"/>
      <c r="AH41" s="2976"/>
      <c r="AI41" s="2976"/>
      <c r="AJ41" s="2976"/>
      <c r="AK41" s="2976"/>
      <c r="AL41" s="2976"/>
      <c r="AM41" s="2976"/>
      <c r="AN41" s="2976"/>
      <c r="AO41" s="2976"/>
      <c r="AP41" s="2976"/>
      <c r="AQ41" s="2976"/>
      <c r="AR41" s="2976"/>
      <c r="AS41" s="2976"/>
      <c r="AT41" s="2976"/>
      <c r="AU41" s="2976"/>
      <c r="AV41" s="2976"/>
      <c r="AW41" s="2976"/>
      <c r="AX41" s="2976"/>
      <c r="AY41" s="2976"/>
      <c r="AZ41" s="2976"/>
      <c r="BA41" s="2976"/>
      <c r="BB41" s="2976"/>
      <c r="BC41" s="2976"/>
      <c r="BD41" s="2976"/>
      <c r="BE41" s="2976"/>
      <c r="BF41" s="2976"/>
      <c r="BG41" s="2976"/>
      <c r="BH41" s="2976"/>
      <c r="BI41" s="2976"/>
      <c r="BJ41" s="2976"/>
      <c r="BK41" s="2976"/>
      <c r="BL41" s="2976"/>
      <c r="BM41" s="2976"/>
      <c r="BN41" s="2976"/>
      <c r="BO41" s="2976"/>
      <c r="BP41" s="2976"/>
      <c r="BQ41" s="2976"/>
      <c r="BR41" s="2976"/>
      <c r="BS41" s="2976"/>
      <c r="BT41" s="2976"/>
      <c r="BU41" s="2976"/>
      <c r="BV41" s="2976"/>
      <c r="BW41" s="2976"/>
      <c r="BX41" s="2976"/>
      <c r="BY41" s="2976"/>
      <c r="BZ41" s="2976"/>
      <c r="CA41" s="2976"/>
      <c r="CB41" s="2976"/>
      <c r="CC41" s="2976"/>
      <c r="CD41" s="2976"/>
      <c r="CE41" s="2976"/>
      <c r="CF41" s="2976"/>
      <c r="CG41" s="2976"/>
      <c r="CH41" s="2976"/>
      <c r="CI41" s="2976"/>
      <c r="CJ41" s="2976"/>
      <c r="CK41" s="2976"/>
      <c r="CL41" s="2976"/>
      <c r="CM41" s="2976"/>
      <c r="CN41" s="2976"/>
      <c r="CO41" s="2976"/>
      <c r="CP41" s="2976"/>
      <c r="CQ41" s="2976"/>
      <c r="CR41" s="2976"/>
      <c r="CS41" s="2976"/>
      <c r="CT41" s="2976"/>
      <c r="CU41" s="2976"/>
      <c r="CV41" s="2976"/>
      <c r="CW41" s="2976"/>
      <c r="CX41" s="2976"/>
      <c r="CY41" s="2976"/>
      <c r="CZ41" s="2976"/>
      <c r="DA41" s="2976"/>
      <c r="DB41" s="2976"/>
      <c r="DC41" s="2976"/>
      <c r="DD41" s="2976"/>
      <c r="DE41" s="2976"/>
      <c r="DF41" s="2976"/>
      <c r="DG41" s="2976"/>
      <c r="DH41" s="2976"/>
      <c r="DI41" s="2976"/>
      <c r="DJ41" s="2976"/>
      <c r="DK41" s="2976"/>
      <c r="DL41" s="2976"/>
    </row>
    <row r="42" spans="1:116" s="2981" customFormat="1" ht="26.25" customHeight="1">
      <c r="A42" s="2983">
        <v>1</v>
      </c>
      <c r="B42" s="2984" t="s">
        <v>3201</v>
      </c>
      <c r="C42" s="2983" t="s">
        <v>3162</v>
      </c>
      <c r="D42" s="2990">
        <v>175907.05300000001</v>
      </c>
      <c r="E42" s="2986">
        <f t="shared" si="0"/>
        <v>21108.84636</v>
      </c>
      <c r="F42" s="2984" t="s">
        <v>3160</v>
      </c>
      <c r="G42" s="2988"/>
      <c r="H42" s="2976"/>
      <c r="I42" s="2976"/>
      <c r="J42" s="2976"/>
      <c r="K42" s="2976"/>
      <c r="L42" s="2976"/>
      <c r="M42" s="2976"/>
      <c r="N42" s="2976"/>
      <c r="O42" s="2976"/>
      <c r="P42" s="2976"/>
      <c r="Q42" s="2976"/>
      <c r="R42" s="2976"/>
      <c r="S42" s="2976"/>
      <c r="T42" s="2976"/>
      <c r="U42" s="2976"/>
      <c r="V42" s="2976"/>
      <c r="W42" s="2976"/>
      <c r="X42" s="2976"/>
      <c r="Y42" s="2976"/>
      <c r="Z42" s="2976"/>
      <c r="AA42" s="2976"/>
      <c r="AB42" s="2976"/>
      <c r="AC42" s="2976"/>
      <c r="AD42" s="2976"/>
      <c r="AE42" s="2976"/>
      <c r="AF42" s="2976"/>
      <c r="AG42" s="2976"/>
      <c r="AH42" s="2976"/>
      <c r="AI42" s="2976"/>
      <c r="AJ42" s="2976"/>
      <c r="AK42" s="2976"/>
      <c r="AL42" s="2976"/>
      <c r="AM42" s="2976"/>
      <c r="AN42" s="2976"/>
      <c r="AO42" s="2976"/>
      <c r="AP42" s="2976"/>
      <c r="AQ42" s="2976"/>
      <c r="AR42" s="2976"/>
      <c r="AS42" s="2976"/>
      <c r="AT42" s="2976"/>
      <c r="AU42" s="2976"/>
      <c r="AV42" s="2976"/>
      <c r="AW42" s="2976"/>
      <c r="AX42" s="2976"/>
      <c r="AY42" s="2976"/>
      <c r="AZ42" s="2976"/>
      <c r="BA42" s="2976"/>
      <c r="BB42" s="2976"/>
      <c r="BC42" s="2976"/>
      <c r="BD42" s="2976"/>
      <c r="BE42" s="2976"/>
      <c r="BF42" s="2976"/>
      <c r="BG42" s="2976"/>
      <c r="BH42" s="2976"/>
      <c r="BI42" s="2976"/>
      <c r="BJ42" s="2976"/>
      <c r="BK42" s="2976"/>
      <c r="BL42" s="2976"/>
      <c r="BM42" s="2976"/>
      <c r="BN42" s="2976"/>
      <c r="BO42" s="2976"/>
      <c r="BP42" s="2976"/>
      <c r="BQ42" s="2976"/>
      <c r="BR42" s="2976"/>
      <c r="BS42" s="2976"/>
      <c r="BT42" s="2976"/>
      <c r="BU42" s="2976"/>
      <c r="BV42" s="2976"/>
      <c r="BW42" s="2976"/>
      <c r="BX42" s="2976"/>
      <c r="BY42" s="2976"/>
      <c r="BZ42" s="2976"/>
      <c r="CA42" s="2976"/>
      <c r="CB42" s="2976"/>
      <c r="CC42" s="2976"/>
      <c r="CD42" s="2976"/>
      <c r="CE42" s="2976"/>
      <c r="CF42" s="2976"/>
      <c r="CG42" s="2976"/>
      <c r="CH42" s="2976"/>
      <c r="CI42" s="2976"/>
      <c r="CJ42" s="2976"/>
      <c r="CK42" s="2976"/>
      <c r="CL42" s="2976"/>
      <c r="CM42" s="2976"/>
      <c r="CN42" s="2976"/>
      <c r="CO42" s="2976"/>
      <c r="CP42" s="2976"/>
      <c r="CQ42" s="2976"/>
      <c r="CR42" s="2976"/>
      <c r="CS42" s="2976"/>
      <c r="CT42" s="2976"/>
      <c r="CU42" s="2976"/>
      <c r="CV42" s="2976"/>
      <c r="CW42" s="2976"/>
      <c r="CX42" s="2976"/>
      <c r="CY42" s="2976"/>
      <c r="CZ42" s="2976"/>
      <c r="DA42" s="2976"/>
      <c r="DB42" s="2976"/>
      <c r="DC42" s="2976"/>
      <c r="DD42" s="2976"/>
      <c r="DE42" s="2976"/>
      <c r="DF42" s="2976"/>
      <c r="DG42" s="2976"/>
      <c r="DH42" s="2976"/>
      <c r="DI42" s="2976"/>
      <c r="DJ42" s="2976"/>
      <c r="DK42" s="2976"/>
      <c r="DL42" s="2976"/>
    </row>
    <row r="43" spans="1:116" s="2981" customFormat="1" ht="26.25" customHeight="1">
      <c r="A43" s="2983">
        <v>2</v>
      </c>
      <c r="B43" s="2984" t="s">
        <v>3202</v>
      </c>
      <c r="C43" s="2983" t="s">
        <v>3162</v>
      </c>
      <c r="D43" s="2990">
        <v>72170.95</v>
      </c>
      <c r="E43" s="2986">
        <f t="shared" si="0"/>
        <v>8660.5139999999992</v>
      </c>
      <c r="F43" s="2984" t="s">
        <v>3160</v>
      </c>
      <c r="G43" s="2988" t="s">
        <v>3163</v>
      </c>
      <c r="H43" s="2976"/>
      <c r="I43" s="2976"/>
      <c r="J43" s="2976"/>
      <c r="K43" s="2976"/>
      <c r="L43" s="2976"/>
      <c r="M43" s="2976"/>
      <c r="N43" s="2976"/>
      <c r="O43" s="2976"/>
      <c r="P43" s="2976"/>
      <c r="Q43" s="2976"/>
      <c r="R43" s="2976"/>
      <c r="S43" s="2976"/>
      <c r="T43" s="2976"/>
      <c r="U43" s="2976"/>
      <c r="V43" s="2976"/>
      <c r="W43" s="2976"/>
      <c r="X43" s="2976"/>
      <c r="Y43" s="2976"/>
      <c r="Z43" s="2976"/>
      <c r="AA43" s="2976"/>
      <c r="AB43" s="2976"/>
      <c r="AC43" s="2976"/>
      <c r="AD43" s="2976"/>
      <c r="AE43" s="2976"/>
      <c r="AF43" s="2976"/>
      <c r="AG43" s="2976"/>
      <c r="AH43" s="2976"/>
      <c r="AI43" s="2976"/>
      <c r="AJ43" s="2976"/>
      <c r="AK43" s="2976"/>
      <c r="AL43" s="2976"/>
      <c r="AM43" s="2976"/>
      <c r="AN43" s="2976"/>
      <c r="AO43" s="2976"/>
      <c r="AP43" s="2976"/>
      <c r="AQ43" s="2976"/>
      <c r="AR43" s="2976"/>
      <c r="AS43" s="2976"/>
      <c r="AT43" s="2976"/>
      <c r="AU43" s="2976"/>
      <c r="AV43" s="2976"/>
      <c r="AW43" s="2976"/>
      <c r="AX43" s="2976"/>
      <c r="AY43" s="2976"/>
      <c r="AZ43" s="2976"/>
      <c r="BA43" s="2976"/>
      <c r="BB43" s="2976"/>
      <c r="BC43" s="2976"/>
      <c r="BD43" s="2976"/>
      <c r="BE43" s="2976"/>
      <c r="BF43" s="2976"/>
      <c r="BG43" s="2976"/>
      <c r="BH43" s="2976"/>
      <c r="BI43" s="2976"/>
      <c r="BJ43" s="2976"/>
      <c r="BK43" s="2976"/>
      <c r="BL43" s="2976"/>
      <c r="BM43" s="2976"/>
      <c r="BN43" s="2976"/>
      <c r="BO43" s="2976"/>
      <c r="BP43" s="2976"/>
      <c r="BQ43" s="2976"/>
      <c r="BR43" s="2976"/>
      <c r="BS43" s="2976"/>
      <c r="BT43" s="2976"/>
      <c r="BU43" s="2976"/>
      <c r="BV43" s="2976"/>
      <c r="BW43" s="2976"/>
      <c r="BX43" s="2976"/>
      <c r="BY43" s="2976"/>
      <c r="BZ43" s="2976"/>
      <c r="CA43" s="2976"/>
      <c r="CB43" s="2976"/>
      <c r="CC43" s="2976"/>
      <c r="CD43" s="2976"/>
      <c r="CE43" s="2976"/>
      <c r="CF43" s="2976"/>
      <c r="CG43" s="2976"/>
      <c r="CH43" s="2976"/>
      <c r="CI43" s="2976"/>
      <c r="CJ43" s="2976"/>
      <c r="CK43" s="2976"/>
      <c r="CL43" s="2976"/>
      <c r="CM43" s="2976"/>
      <c r="CN43" s="2976"/>
      <c r="CO43" s="2976"/>
      <c r="CP43" s="2976"/>
      <c r="CQ43" s="2976"/>
      <c r="CR43" s="2976"/>
      <c r="CS43" s="2976"/>
      <c r="CT43" s="2976"/>
      <c r="CU43" s="2976"/>
      <c r="CV43" s="2976"/>
      <c r="CW43" s="2976"/>
      <c r="CX43" s="2976"/>
      <c r="CY43" s="2976"/>
      <c r="CZ43" s="2976"/>
      <c r="DA43" s="2976"/>
      <c r="DB43" s="2976"/>
      <c r="DC43" s="2976"/>
      <c r="DD43" s="2976"/>
      <c r="DE43" s="2976"/>
      <c r="DF43" s="2976"/>
      <c r="DG43" s="2976"/>
      <c r="DH43" s="2976"/>
      <c r="DI43" s="2976"/>
      <c r="DJ43" s="2976"/>
      <c r="DK43" s="2976"/>
      <c r="DL43" s="2976"/>
    </row>
    <row r="44" spans="1:116" s="2981" customFormat="1" ht="26.25" customHeight="1">
      <c r="A44" s="2983">
        <v>3</v>
      </c>
      <c r="B44" s="2984" t="s">
        <v>3203</v>
      </c>
      <c r="C44" s="2984" t="s">
        <v>3195</v>
      </c>
      <c r="D44" s="2986">
        <v>3870.91</v>
      </c>
      <c r="E44" s="2986">
        <f t="shared" si="0"/>
        <v>464.50919999999996</v>
      </c>
      <c r="F44" s="2984" t="s">
        <v>3160</v>
      </c>
      <c r="G44" s="2988" t="s">
        <v>3163</v>
      </c>
      <c r="H44" s="2976"/>
      <c r="I44" s="2976"/>
      <c r="J44" s="2976"/>
      <c r="K44" s="2976"/>
      <c r="L44" s="2976"/>
      <c r="M44" s="2976"/>
      <c r="N44" s="2976"/>
      <c r="O44" s="2976"/>
      <c r="P44" s="2976"/>
      <c r="Q44" s="2976"/>
      <c r="R44" s="2976"/>
      <c r="S44" s="2976"/>
      <c r="T44" s="2976"/>
      <c r="U44" s="2976"/>
      <c r="V44" s="2976"/>
      <c r="W44" s="2976"/>
      <c r="X44" s="2976"/>
      <c r="Y44" s="2976"/>
      <c r="Z44" s="2976"/>
      <c r="AA44" s="2976"/>
      <c r="AB44" s="2976"/>
      <c r="AC44" s="2976"/>
      <c r="AD44" s="2976"/>
      <c r="AE44" s="2976"/>
      <c r="AF44" s="2976"/>
      <c r="AG44" s="2976"/>
      <c r="AH44" s="2976"/>
      <c r="AI44" s="2976"/>
      <c r="AJ44" s="2976"/>
      <c r="AK44" s="2976"/>
      <c r="AL44" s="2976"/>
      <c r="AM44" s="2976"/>
      <c r="AN44" s="2976"/>
      <c r="AO44" s="2976"/>
      <c r="AP44" s="2976"/>
      <c r="AQ44" s="2976"/>
      <c r="AR44" s="2976"/>
      <c r="AS44" s="2976"/>
      <c r="AT44" s="2976"/>
      <c r="AU44" s="2976"/>
      <c r="AV44" s="2976"/>
      <c r="AW44" s="2976"/>
      <c r="AX44" s="2976"/>
      <c r="AY44" s="2976"/>
      <c r="AZ44" s="2976"/>
      <c r="BA44" s="2976"/>
      <c r="BB44" s="2976"/>
      <c r="BC44" s="2976"/>
      <c r="BD44" s="2976"/>
      <c r="BE44" s="2976"/>
      <c r="BF44" s="2976"/>
      <c r="BG44" s="2976"/>
      <c r="BH44" s="2976"/>
      <c r="BI44" s="2976"/>
      <c r="BJ44" s="2976"/>
      <c r="BK44" s="2976"/>
      <c r="BL44" s="2976"/>
      <c r="BM44" s="2976"/>
      <c r="BN44" s="2976"/>
      <c r="BO44" s="2976"/>
      <c r="BP44" s="2976"/>
      <c r="BQ44" s="2976"/>
      <c r="BR44" s="2976"/>
      <c r="BS44" s="2976"/>
      <c r="BT44" s="2976"/>
      <c r="BU44" s="2976"/>
      <c r="BV44" s="2976"/>
      <c r="BW44" s="2976"/>
      <c r="BX44" s="2976"/>
      <c r="BY44" s="2976"/>
      <c r="BZ44" s="2976"/>
      <c r="CA44" s="2976"/>
      <c r="CB44" s="2976"/>
      <c r="CC44" s="2976"/>
      <c r="CD44" s="2976"/>
      <c r="CE44" s="2976"/>
      <c r="CF44" s="2976"/>
      <c r="CG44" s="2976"/>
      <c r="CH44" s="2976"/>
      <c r="CI44" s="2976"/>
      <c r="CJ44" s="2976"/>
      <c r="CK44" s="2976"/>
      <c r="CL44" s="2976"/>
      <c r="CM44" s="2976"/>
      <c r="CN44" s="2976"/>
      <c r="CO44" s="2976"/>
      <c r="CP44" s="2976"/>
      <c r="CQ44" s="2976"/>
      <c r="CR44" s="2976"/>
      <c r="CS44" s="2976"/>
      <c r="CT44" s="2976"/>
      <c r="CU44" s="2976"/>
      <c r="CV44" s="2976"/>
      <c r="CW44" s="2976"/>
      <c r="CX44" s="2976"/>
      <c r="CY44" s="2976"/>
      <c r="CZ44" s="2976"/>
      <c r="DA44" s="2976"/>
      <c r="DB44" s="2976"/>
      <c r="DC44" s="2976"/>
      <c r="DD44" s="2976"/>
      <c r="DE44" s="2976"/>
      <c r="DF44" s="2976"/>
      <c r="DG44" s="2976"/>
      <c r="DH44" s="2976"/>
      <c r="DI44" s="2976"/>
      <c r="DJ44" s="2976"/>
      <c r="DK44" s="2976"/>
      <c r="DL44" s="2976"/>
    </row>
    <row r="45" spans="1:116" s="2981" customFormat="1" ht="26.25" customHeight="1">
      <c r="A45" s="2983">
        <v>4</v>
      </c>
      <c r="B45" s="2984" t="s">
        <v>3204</v>
      </c>
      <c r="C45" s="2984" t="s">
        <v>3195</v>
      </c>
      <c r="D45" s="2986">
        <v>18000</v>
      </c>
      <c r="E45" s="2986">
        <f t="shared" si="0"/>
        <v>2160</v>
      </c>
      <c r="F45" s="2984" t="s">
        <v>3205</v>
      </c>
      <c r="G45" s="2988" t="s">
        <v>3163</v>
      </c>
      <c r="H45" s="2976"/>
      <c r="I45" s="2976"/>
      <c r="J45" s="2976"/>
      <c r="K45" s="2976"/>
      <c r="L45" s="2976"/>
      <c r="M45" s="2976"/>
      <c r="N45" s="2976"/>
      <c r="O45" s="2976"/>
      <c r="P45" s="2976"/>
      <c r="Q45" s="2976"/>
      <c r="R45" s="2976"/>
      <c r="S45" s="2976"/>
      <c r="T45" s="2976"/>
      <c r="U45" s="2976"/>
      <c r="V45" s="2976"/>
      <c r="W45" s="2976"/>
      <c r="X45" s="2976"/>
      <c r="Y45" s="2976"/>
      <c r="Z45" s="2976"/>
      <c r="AA45" s="2976"/>
      <c r="AB45" s="2976"/>
      <c r="AC45" s="2976"/>
      <c r="AD45" s="2976"/>
      <c r="AE45" s="2976"/>
      <c r="AF45" s="2976"/>
      <c r="AG45" s="2976"/>
      <c r="AH45" s="2976"/>
      <c r="AI45" s="2976"/>
      <c r="AJ45" s="2976"/>
      <c r="AK45" s="2976"/>
      <c r="AL45" s="2976"/>
      <c r="AM45" s="2976"/>
      <c r="AN45" s="2976"/>
      <c r="AO45" s="2976"/>
      <c r="AP45" s="2976"/>
      <c r="AQ45" s="2976"/>
      <c r="AR45" s="2976"/>
      <c r="AS45" s="2976"/>
      <c r="AT45" s="2976"/>
      <c r="AU45" s="2976"/>
      <c r="AV45" s="2976"/>
      <c r="AW45" s="2976"/>
      <c r="AX45" s="2976"/>
      <c r="AY45" s="2976"/>
      <c r="AZ45" s="2976"/>
      <c r="BA45" s="2976"/>
      <c r="BB45" s="2976"/>
      <c r="BC45" s="2976"/>
      <c r="BD45" s="2976"/>
      <c r="BE45" s="2976"/>
      <c r="BF45" s="2976"/>
      <c r="BG45" s="2976"/>
      <c r="BH45" s="2976"/>
      <c r="BI45" s="2976"/>
      <c r="BJ45" s="2976"/>
      <c r="BK45" s="2976"/>
      <c r="BL45" s="2976"/>
      <c r="BM45" s="2976"/>
      <c r="BN45" s="2976"/>
      <c r="BO45" s="2976"/>
      <c r="BP45" s="2976"/>
      <c r="BQ45" s="2976"/>
      <c r="BR45" s="2976"/>
      <c r="BS45" s="2976"/>
      <c r="BT45" s="2976"/>
      <c r="BU45" s="2976"/>
      <c r="BV45" s="2976"/>
      <c r="BW45" s="2976"/>
      <c r="BX45" s="2976"/>
      <c r="BY45" s="2976"/>
      <c r="BZ45" s="2976"/>
      <c r="CA45" s="2976"/>
      <c r="CB45" s="2976"/>
      <c r="CC45" s="2976"/>
      <c r="CD45" s="2976"/>
      <c r="CE45" s="2976"/>
      <c r="CF45" s="2976"/>
      <c r="CG45" s="2976"/>
      <c r="CH45" s="2976"/>
      <c r="CI45" s="2976"/>
      <c r="CJ45" s="2976"/>
      <c r="CK45" s="2976"/>
      <c r="CL45" s="2976"/>
      <c r="CM45" s="2976"/>
      <c r="CN45" s="2976"/>
      <c r="CO45" s="2976"/>
      <c r="CP45" s="2976"/>
      <c r="CQ45" s="2976"/>
      <c r="CR45" s="2976"/>
      <c r="CS45" s="2976"/>
      <c r="CT45" s="2976"/>
      <c r="CU45" s="2976"/>
      <c r="CV45" s="2976"/>
      <c r="CW45" s="2976"/>
      <c r="CX45" s="2976"/>
      <c r="CY45" s="2976"/>
      <c r="CZ45" s="2976"/>
      <c r="DA45" s="2976"/>
      <c r="DB45" s="2976"/>
      <c r="DC45" s="2976"/>
      <c r="DD45" s="2976"/>
      <c r="DE45" s="2976"/>
      <c r="DF45" s="2976"/>
      <c r="DG45" s="2976"/>
      <c r="DH45" s="2976"/>
      <c r="DI45" s="2976"/>
      <c r="DJ45" s="2976"/>
      <c r="DK45" s="2976"/>
      <c r="DL45" s="2976"/>
    </row>
    <row r="46" spans="1:116" s="2981" customFormat="1" ht="24.75" customHeight="1">
      <c r="A46" s="2993"/>
      <c r="B46" s="2998" t="s">
        <v>40</v>
      </c>
      <c r="C46" s="2998"/>
      <c r="D46" s="2997">
        <f>SUM(D42:D45)</f>
        <v>269948.91300000006</v>
      </c>
      <c r="E46" s="2986">
        <f t="shared" si="0"/>
        <v>32393.869560000006</v>
      </c>
      <c r="F46" s="2996"/>
      <c r="G46" s="2988"/>
      <c r="H46" s="2976"/>
      <c r="I46" s="2976"/>
      <c r="J46" s="2976"/>
      <c r="K46" s="2976"/>
      <c r="L46" s="2976"/>
      <c r="M46" s="2976"/>
      <c r="N46" s="2976"/>
      <c r="O46" s="2976"/>
      <c r="P46" s="2976"/>
      <c r="Q46" s="2976"/>
      <c r="R46" s="2976"/>
      <c r="S46" s="2976"/>
      <c r="T46" s="2976"/>
      <c r="U46" s="2976"/>
      <c r="V46" s="2976"/>
      <c r="W46" s="2976"/>
      <c r="X46" s="2976"/>
      <c r="Y46" s="2976"/>
      <c r="Z46" s="2976"/>
      <c r="AA46" s="2976"/>
      <c r="AB46" s="2976"/>
      <c r="AC46" s="2976"/>
      <c r="AD46" s="2976"/>
      <c r="AE46" s="2976"/>
      <c r="AF46" s="2976"/>
      <c r="AG46" s="2976"/>
      <c r="AH46" s="2976"/>
      <c r="AI46" s="2976"/>
      <c r="AJ46" s="2976"/>
      <c r="AK46" s="2976"/>
      <c r="AL46" s="2976"/>
      <c r="AM46" s="2976"/>
      <c r="AN46" s="2976"/>
      <c r="AO46" s="2976"/>
      <c r="AP46" s="2976"/>
      <c r="AQ46" s="2976"/>
      <c r="AR46" s="2976"/>
      <c r="AS46" s="2976"/>
      <c r="AT46" s="2976"/>
      <c r="AU46" s="2976"/>
      <c r="AV46" s="2976"/>
      <c r="AW46" s="2976"/>
      <c r="AX46" s="2976"/>
      <c r="AY46" s="2976"/>
      <c r="AZ46" s="2976"/>
      <c r="BA46" s="2976"/>
      <c r="BB46" s="2976"/>
      <c r="BC46" s="2976"/>
      <c r="BD46" s="2976"/>
      <c r="BE46" s="2976"/>
      <c r="BF46" s="2976"/>
      <c r="BG46" s="2976"/>
      <c r="BH46" s="2976"/>
      <c r="BI46" s="2976"/>
      <c r="BJ46" s="2976"/>
      <c r="BK46" s="2976"/>
      <c r="BL46" s="2976"/>
      <c r="BM46" s="2976"/>
      <c r="BN46" s="2976"/>
      <c r="BO46" s="2976"/>
      <c r="BP46" s="2976"/>
      <c r="BQ46" s="2976"/>
      <c r="BR46" s="2976"/>
      <c r="BS46" s="2976"/>
      <c r="BT46" s="2976"/>
      <c r="BU46" s="2976"/>
      <c r="BV46" s="2976"/>
      <c r="BW46" s="2976"/>
      <c r="BX46" s="2976"/>
      <c r="BY46" s="2976"/>
      <c r="BZ46" s="2976"/>
      <c r="CA46" s="2976"/>
      <c r="CB46" s="2976"/>
      <c r="CC46" s="2976"/>
      <c r="CD46" s="2976"/>
      <c r="CE46" s="2976"/>
      <c r="CF46" s="2976"/>
      <c r="CG46" s="2976"/>
      <c r="CH46" s="2976"/>
      <c r="CI46" s="2976"/>
      <c r="CJ46" s="2976"/>
      <c r="CK46" s="2976"/>
      <c r="CL46" s="2976"/>
      <c r="CM46" s="2976"/>
      <c r="CN46" s="2976"/>
      <c r="CO46" s="2976"/>
      <c r="CP46" s="2976"/>
      <c r="CQ46" s="2976"/>
      <c r="CR46" s="2976"/>
      <c r="CS46" s="2976"/>
      <c r="CT46" s="2976"/>
      <c r="CU46" s="2976"/>
      <c r="CV46" s="2976"/>
      <c r="CW46" s="2976"/>
      <c r="CX46" s="2976"/>
      <c r="CY46" s="2976"/>
      <c r="CZ46" s="2976"/>
      <c r="DA46" s="2976"/>
      <c r="DB46" s="2976"/>
      <c r="DC46" s="2976"/>
      <c r="DD46" s="2976"/>
      <c r="DE46" s="2976"/>
      <c r="DF46" s="2976"/>
      <c r="DG46" s="2976"/>
      <c r="DH46" s="2976"/>
      <c r="DI46" s="2976"/>
      <c r="DJ46" s="2976"/>
      <c r="DK46" s="2976"/>
      <c r="DL46" s="2976"/>
    </row>
    <row r="47" spans="1:116" s="2981" customFormat="1" ht="33.75" customHeight="1">
      <c r="A47" s="3346" t="s">
        <v>3206</v>
      </c>
      <c r="B47" s="3346"/>
      <c r="C47" s="2982"/>
      <c r="D47" s="2997"/>
      <c r="E47" s="2986"/>
      <c r="F47" s="2996"/>
      <c r="G47" s="2988"/>
      <c r="H47" s="2976"/>
      <c r="I47" s="2976"/>
      <c r="J47" s="2976"/>
      <c r="K47" s="2976"/>
      <c r="L47" s="2976"/>
      <c r="M47" s="2976"/>
      <c r="N47" s="2976"/>
      <c r="O47" s="2976"/>
      <c r="P47" s="2976"/>
      <c r="Q47" s="2976"/>
      <c r="R47" s="2976"/>
      <c r="S47" s="2976"/>
      <c r="T47" s="2976"/>
      <c r="U47" s="2976"/>
      <c r="V47" s="2976"/>
      <c r="W47" s="2976"/>
      <c r="X47" s="2976"/>
      <c r="Y47" s="2976"/>
      <c r="Z47" s="2976"/>
      <c r="AA47" s="2976"/>
      <c r="AB47" s="2976"/>
      <c r="AC47" s="2976"/>
      <c r="AD47" s="2976"/>
      <c r="AE47" s="2976"/>
      <c r="AF47" s="2976"/>
      <c r="AG47" s="2976"/>
      <c r="AH47" s="2976"/>
      <c r="AI47" s="2976"/>
      <c r="AJ47" s="2976"/>
      <c r="AK47" s="2976"/>
      <c r="AL47" s="2976"/>
      <c r="AM47" s="2976"/>
      <c r="AN47" s="2976"/>
      <c r="AO47" s="2976"/>
      <c r="AP47" s="2976"/>
      <c r="AQ47" s="2976"/>
      <c r="AR47" s="2976"/>
      <c r="AS47" s="2976"/>
      <c r="AT47" s="2976"/>
      <c r="AU47" s="2976"/>
      <c r="AV47" s="2976"/>
      <c r="AW47" s="2976"/>
      <c r="AX47" s="2976"/>
      <c r="AY47" s="2976"/>
      <c r="AZ47" s="2976"/>
      <c r="BA47" s="2976"/>
      <c r="BB47" s="2976"/>
      <c r="BC47" s="2976"/>
      <c r="BD47" s="2976"/>
      <c r="BE47" s="2976"/>
      <c r="BF47" s="2976"/>
      <c r="BG47" s="2976"/>
      <c r="BH47" s="2976"/>
      <c r="BI47" s="2976"/>
      <c r="BJ47" s="2976"/>
      <c r="BK47" s="2976"/>
      <c r="BL47" s="2976"/>
      <c r="BM47" s="2976"/>
      <c r="BN47" s="2976"/>
      <c r="BO47" s="2976"/>
      <c r="BP47" s="2976"/>
      <c r="BQ47" s="2976"/>
      <c r="BR47" s="2976"/>
      <c r="BS47" s="2976"/>
      <c r="BT47" s="2976"/>
      <c r="BU47" s="2976"/>
      <c r="BV47" s="2976"/>
      <c r="BW47" s="2976"/>
      <c r="BX47" s="2976"/>
      <c r="BY47" s="2976"/>
      <c r="BZ47" s="2976"/>
      <c r="CA47" s="2976"/>
      <c r="CB47" s="2976"/>
      <c r="CC47" s="2976"/>
      <c r="CD47" s="2976"/>
      <c r="CE47" s="2976"/>
      <c r="CF47" s="2976"/>
      <c r="CG47" s="2976"/>
      <c r="CH47" s="2976"/>
      <c r="CI47" s="2976"/>
      <c r="CJ47" s="2976"/>
      <c r="CK47" s="2976"/>
      <c r="CL47" s="2976"/>
      <c r="CM47" s="2976"/>
      <c r="CN47" s="2976"/>
      <c r="CO47" s="2976"/>
      <c r="CP47" s="2976"/>
      <c r="CQ47" s="2976"/>
      <c r="CR47" s="2976"/>
      <c r="CS47" s="2976"/>
      <c r="CT47" s="2976"/>
      <c r="CU47" s="2976"/>
      <c r="CV47" s="2976"/>
      <c r="CW47" s="2976"/>
      <c r="CX47" s="2976"/>
      <c r="CY47" s="2976"/>
      <c r="CZ47" s="2976"/>
      <c r="DA47" s="2976"/>
      <c r="DB47" s="2976"/>
      <c r="DC47" s="2976"/>
      <c r="DD47" s="2976"/>
      <c r="DE47" s="2976"/>
      <c r="DF47" s="2976"/>
      <c r="DG47" s="2976"/>
      <c r="DH47" s="2976"/>
      <c r="DI47" s="2976"/>
      <c r="DJ47" s="2976"/>
      <c r="DK47" s="2976"/>
      <c r="DL47" s="2976"/>
    </row>
    <row r="48" spans="1:116" s="2981" customFormat="1" ht="27.75" customHeight="1">
      <c r="A48" s="2983">
        <v>1</v>
      </c>
      <c r="B48" s="2984" t="s">
        <v>3207</v>
      </c>
      <c r="C48" s="2984" t="s">
        <v>3195</v>
      </c>
      <c r="D48" s="2986">
        <v>85440</v>
      </c>
      <c r="E48" s="2986">
        <f t="shared" si="0"/>
        <v>10252.799999999999</v>
      </c>
      <c r="F48" s="2984" t="s">
        <v>3160</v>
      </c>
      <c r="G48" s="2988" t="s">
        <v>3163</v>
      </c>
      <c r="H48" s="2976"/>
      <c r="I48" s="2976"/>
      <c r="J48" s="2976"/>
      <c r="K48" s="2976"/>
      <c r="L48" s="2976"/>
      <c r="M48" s="2976"/>
      <c r="N48" s="2976"/>
      <c r="O48" s="2976"/>
      <c r="P48" s="2976"/>
      <c r="Q48" s="2976"/>
      <c r="R48" s="2976"/>
      <c r="S48" s="2976"/>
      <c r="T48" s="2976"/>
      <c r="U48" s="2976"/>
      <c r="V48" s="2976"/>
      <c r="W48" s="2976"/>
      <c r="X48" s="2976"/>
      <c r="Y48" s="2976"/>
      <c r="Z48" s="2976"/>
      <c r="AA48" s="2976"/>
      <c r="AB48" s="2976"/>
      <c r="AC48" s="2976"/>
      <c r="AD48" s="2976"/>
      <c r="AE48" s="2976"/>
      <c r="AF48" s="2976"/>
      <c r="AG48" s="2976"/>
      <c r="AH48" s="2976"/>
      <c r="AI48" s="2976"/>
      <c r="AJ48" s="2976"/>
      <c r="AK48" s="2976"/>
      <c r="AL48" s="2976"/>
      <c r="AM48" s="2976"/>
      <c r="AN48" s="2976"/>
      <c r="AO48" s="2976"/>
      <c r="AP48" s="2976"/>
      <c r="AQ48" s="2976"/>
      <c r="AR48" s="2976"/>
      <c r="AS48" s="2976"/>
      <c r="AT48" s="2976"/>
      <c r="AU48" s="2976"/>
      <c r="AV48" s="2976"/>
      <c r="AW48" s="2976"/>
      <c r="AX48" s="2976"/>
      <c r="AY48" s="2976"/>
      <c r="AZ48" s="2976"/>
      <c r="BA48" s="2976"/>
      <c r="BB48" s="2976"/>
      <c r="BC48" s="2976"/>
      <c r="BD48" s="2976"/>
      <c r="BE48" s="2976"/>
      <c r="BF48" s="2976"/>
      <c r="BG48" s="2976"/>
      <c r="BH48" s="2976"/>
      <c r="BI48" s="2976"/>
      <c r="BJ48" s="2976"/>
      <c r="BK48" s="2976"/>
      <c r="BL48" s="2976"/>
      <c r="BM48" s="2976"/>
      <c r="BN48" s="2976"/>
      <c r="BO48" s="2976"/>
      <c r="BP48" s="2976"/>
      <c r="BQ48" s="2976"/>
      <c r="BR48" s="2976"/>
      <c r="BS48" s="2976"/>
      <c r="BT48" s="2976"/>
      <c r="BU48" s="2976"/>
      <c r="BV48" s="2976"/>
      <c r="BW48" s="2976"/>
      <c r="BX48" s="2976"/>
      <c r="BY48" s="2976"/>
      <c r="BZ48" s="2976"/>
      <c r="CA48" s="2976"/>
      <c r="CB48" s="2976"/>
      <c r="CC48" s="2976"/>
      <c r="CD48" s="2976"/>
      <c r="CE48" s="2976"/>
      <c r="CF48" s="2976"/>
      <c r="CG48" s="2976"/>
      <c r="CH48" s="2976"/>
      <c r="CI48" s="2976"/>
      <c r="CJ48" s="2976"/>
      <c r="CK48" s="2976"/>
      <c r="CL48" s="2976"/>
      <c r="CM48" s="2976"/>
      <c r="CN48" s="2976"/>
      <c r="CO48" s="2976"/>
      <c r="CP48" s="2976"/>
      <c r="CQ48" s="2976"/>
      <c r="CR48" s="2976"/>
      <c r="CS48" s="2976"/>
      <c r="CT48" s="2976"/>
      <c r="CU48" s="2976"/>
      <c r="CV48" s="2976"/>
      <c r="CW48" s="2976"/>
      <c r="CX48" s="2976"/>
      <c r="CY48" s="2976"/>
      <c r="CZ48" s="2976"/>
      <c r="DA48" s="2976"/>
      <c r="DB48" s="2976"/>
      <c r="DC48" s="2976"/>
      <c r="DD48" s="2976"/>
      <c r="DE48" s="2976"/>
      <c r="DF48" s="2976"/>
      <c r="DG48" s="2976"/>
      <c r="DH48" s="2976"/>
      <c r="DI48" s="2976"/>
      <c r="DJ48" s="2976"/>
      <c r="DK48" s="2976"/>
      <c r="DL48" s="2976"/>
    </row>
    <row r="49" spans="1:116" s="2981" customFormat="1" ht="27.75" customHeight="1">
      <c r="A49" s="2983">
        <v>2</v>
      </c>
      <c r="B49" s="2984" t="s">
        <v>3208</v>
      </c>
      <c r="C49" s="2984" t="s">
        <v>3195</v>
      </c>
      <c r="D49" s="2986">
        <v>6488.48</v>
      </c>
      <c r="E49" s="2986">
        <f t="shared" si="0"/>
        <v>778.61759999999992</v>
      </c>
      <c r="F49" s="2984" t="s">
        <v>3160</v>
      </c>
      <c r="G49" s="2988" t="s">
        <v>3163</v>
      </c>
      <c r="H49" s="2976"/>
      <c r="I49" s="2976"/>
      <c r="J49" s="2976"/>
      <c r="K49" s="2976"/>
      <c r="L49" s="2976"/>
      <c r="M49" s="2976"/>
      <c r="N49" s="2976"/>
      <c r="O49" s="2976"/>
      <c r="P49" s="2976"/>
      <c r="Q49" s="2976"/>
      <c r="R49" s="2976"/>
      <c r="S49" s="2976"/>
      <c r="T49" s="2976"/>
      <c r="U49" s="2976"/>
      <c r="V49" s="2976"/>
      <c r="W49" s="2976"/>
      <c r="X49" s="2976"/>
      <c r="Y49" s="2976"/>
      <c r="Z49" s="2976"/>
      <c r="AA49" s="2976"/>
      <c r="AB49" s="2976"/>
      <c r="AC49" s="2976"/>
      <c r="AD49" s="2976"/>
      <c r="AE49" s="2976"/>
      <c r="AF49" s="2976"/>
      <c r="AG49" s="2976"/>
      <c r="AH49" s="2976"/>
      <c r="AI49" s="2976"/>
      <c r="AJ49" s="2976"/>
      <c r="AK49" s="2976"/>
      <c r="AL49" s="2976"/>
      <c r="AM49" s="2976"/>
      <c r="AN49" s="2976"/>
      <c r="AO49" s="2976"/>
      <c r="AP49" s="2976"/>
      <c r="AQ49" s="2976"/>
      <c r="AR49" s="2976"/>
      <c r="AS49" s="2976"/>
      <c r="AT49" s="2976"/>
      <c r="AU49" s="2976"/>
      <c r="AV49" s="2976"/>
      <c r="AW49" s="2976"/>
      <c r="AX49" s="2976"/>
      <c r="AY49" s="2976"/>
      <c r="AZ49" s="2976"/>
      <c r="BA49" s="2976"/>
      <c r="BB49" s="2976"/>
      <c r="BC49" s="2976"/>
      <c r="BD49" s="2976"/>
      <c r="BE49" s="2976"/>
      <c r="BF49" s="2976"/>
      <c r="BG49" s="2976"/>
      <c r="BH49" s="2976"/>
      <c r="BI49" s="2976"/>
      <c r="BJ49" s="2976"/>
      <c r="BK49" s="2976"/>
      <c r="BL49" s="2976"/>
      <c r="BM49" s="2976"/>
      <c r="BN49" s="2976"/>
      <c r="BO49" s="2976"/>
      <c r="BP49" s="2976"/>
      <c r="BQ49" s="2976"/>
      <c r="BR49" s="2976"/>
      <c r="BS49" s="2976"/>
      <c r="BT49" s="2976"/>
      <c r="BU49" s="2976"/>
      <c r="BV49" s="2976"/>
      <c r="BW49" s="2976"/>
      <c r="BX49" s="2976"/>
      <c r="BY49" s="2976"/>
      <c r="BZ49" s="2976"/>
      <c r="CA49" s="2976"/>
      <c r="CB49" s="2976"/>
      <c r="CC49" s="2976"/>
      <c r="CD49" s="2976"/>
      <c r="CE49" s="2976"/>
      <c r="CF49" s="2976"/>
      <c r="CG49" s="2976"/>
      <c r="CH49" s="2976"/>
      <c r="CI49" s="2976"/>
      <c r="CJ49" s="2976"/>
      <c r="CK49" s="2976"/>
      <c r="CL49" s="2976"/>
      <c r="CM49" s="2976"/>
      <c r="CN49" s="2976"/>
      <c r="CO49" s="2976"/>
      <c r="CP49" s="2976"/>
      <c r="CQ49" s="2976"/>
      <c r="CR49" s="2976"/>
      <c r="CS49" s="2976"/>
      <c r="CT49" s="2976"/>
      <c r="CU49" s="2976"/>
      <c r="CV49" s="2976"/>
      <c r="CW49" s="2976"/>
      <c r="CX49" s="2976"/>
      <c r="CY49" s="2976"/>
      <c r="CZ49" s="2976"/>
      <c r="DA49" s="2976"/>
      <c r="DB49" s="2976"/>
      <c r="DC49" s="2976"/>
      <c r="DD49" s="2976"/>
      <c r="DE49" s="2976"/>
      <c r="DF49" s="2976"/>
      <c r="DG49" s="2976"/>
      <c r="DH49" s="2976"/>
      <c r="DI49" s="2976"/>
      <c r="DJ49" s="2976"/>
      <c r="DK49" s="2976"/>
      <c r="DL49" s="2976"/>
    </row>
    <row r="50" spans="1:116" s="2981" customFormat="1" ht="33" customHeight="1">
      <c r="A50" s="2983">
        <v>3</v>
      </c>
      <c r="B50" s="2984" t="s">
        <v>3209</v>
      </c>
      <c r="C50" s="2984" t="s">
        <v>3195</v>
      </c>
      <c r="D50" s="2986">
        <v>62802.74</v>
      </c>
      <c r="E50" s="2986">
        <f t="shared" si="0"/>
        <v>7536.3287999999993</v>
      </c>
      <c r="F50" s="2984" t="s">
        <v>3160</v>
      </c>
      <c r="G50" s="2988" t="s">
        <v>3163</v>
      </c>
      <c r="H50" s="2976"/>
      <c r="I50" s="2976"/>
      <c r="J50" s="2976"/>
      <c r="K50" s="2976"/>
      <c r="L50" s="2976"/>
      <c r="M50" s="2976"/>
      <c r="N50" s="2976"/>
      <c r="O50" s="2976"/>
      <c r="P50" s="2976"/>
      <c r="Q50" s="2976"/>
      <c r="R50" s="2976"/>
      <c r="S50" s="2976"/>
      <c r="T50" s="2976"/>
      <c r="U50" s="2976"/>
      <c r="V50" s="2976"/>
      <c r="W50" s="2976"/>
      <c r="X50" s="2976"/>
      <c r="Y50" s="2976"/>
      <c r="Z50" s="2976"/>
      <c r="AA50" s="2976"/>
      <c r="AB50" s="2976"/>
      <c r="AC50" s="2976"/>
      <c r="AD50" s="2976"/>
      <c r="AE50" s="2976"/>
      <c r="AF50" s="2976"/>
      <c r="AG50" s="2976"/>
      <c r="AH50" s="2976"/>
      <c r="AI50" s="2976"/>
      <c r="AJ50" s="2976"/>
      <c r="AK50" s="2976"/>
      <c r="AL50" s="2976"/>
      <c r="AM50" s="2976"/>
      <c r="AN50" s="2976"/>
      <c r="AO50" s="2976"/>
      <c r="AP50" s="2976"/>
      <c r="AQ50" s="2976"/>
      <c r="AR50" s="2976"/>
      <c r="AS50" s="2976"/>
      <c r="AT50" s="2976"/>
      <c r="AU50" s="2976"/>
      <c r="AV50" s="2976"/>
      <c r="AW50" s="2976"/>
      <c r="AX50" s="2976"/>
      <c r="AY50" s="2976"/>
      <c r="AZ50" s="2976"/>
      <c r="BA50" s="2976"/>
      <c r="BB50" s="2976"/>
      <c r="BC50" s="2976"/>
      <c r="BD50" s="2976"/>
      <c r="BE50" s="2976"/>
      <c r="BF50" s="2976"/>
      <c r="BG50" s="2976"/>
      <c r="BH50" s="2976"/>
      <c r="BI50" s="2976"/>
      <c r="BJ50" s="2976"/>
      <c r="BK50" s="2976"/>
      <c r="BL50" s="2976"/>
      <c r="BM50" s="2976"/>
      <c r="BN50" s="2976"/>
      <c r="BO50" s="2976"/>
      <c r="BP50" s="2976"/>
      <c r="BQ50" s="2976"/>
      <c r="BR50" s="2976"/>
      <c r="BS50" s="2976"/>
      <c r="BT50" s="2976"/>
      <c r="BU50" s="2976"/>
      <c r="BV50" s="2976"/>
      <c r="BW50" s="2976"/>
      <c r="BX50" s="2976"/>
      <c r="BY50" s="2976"/>
      <c r="BZ50" s="2976"/>
      <c r="CA50" s="2976"/>
      <c r="CB50" s="2976"/>
      <c r="CC50" s="2976"/>
      <c r="CD50" s="2976"/>
      <c r="CE50" s="2976"/>
      <c r="CF50" s="2976"/>
      <c r="CG50" s="2976"/>
      <c r="CH50" s="2976"/>
      <c r="CI50" s="2976"/>
      <c r="CJ50" s="2976"/>
      <c r="CK50" s="2976"/>
      <c r="CL50" s="2976"/>
      <c r="CM50" s="2976"/>
      <c r="CN50" s="2976"/>
      <c r="CO50" s="2976"/>
      <c r="CP50" s="2976"/>
      <c r="CQ50" s="2976"/>
      <c r="CR50" s="2976"/>
      <c r="CS50" s="2976"/>
      <c r="CT50" s="2976"/>
      <c r="CU50" s="2976"/>
      <c r="CV50" s="2976"/>
      <c r="CW50" s="2976"/>
      <c r="CX50" s="2976"/>
      <c r="CY50" s="2976"/>
      <c r="CZ50" s="2976"/>
      <c r="DA50" s="2976"/>
      <c r="DB50" s="2976"/>
      <c r="DC50" s="2976"/>
      <c r="DD50" s="2976"/>
      <c r="DE50" s="2976"/>
      <c r="DF50" s="2976"/>
      <c r="DG50" s="2976"/>
      <c r="DH50" s="2976"/>
      <c r="DI50" s="2976"/>
      <c r="DJ50" s="2976"/>
      <c r="DK50" s="2976"/>
      <c r="DL50" s="2976"/>
    </row>
    <row r="51" spans="1:116" s="2981" customFormat="1" ht="33" customHeight="1">
      <c r="A51" s="2983">
        <v>4</v>
      </c>
      <c r="B51" s="2984" t="s">
        <v>3210</v>
      </c>
      <c r="C51" s="2984" t="s">
        <v>3195</v>
      </c>
      <c r="D51" s="2986">
        <v>75790.37</v>
      </c>
      <c r="E51" s="2986">
        <f t="shared" si="0"/>
        <v>9094.8444</v>
      </c>
      <c r="F51" s="2984" t="s">
        <v>3160</v>
      </c>
      <c r="G51" s="2988" t="s">
        <v>3163</v>
      </c>
      <c r="H51" s="2976"/>
      <c r="I51" s="2976"/>
      <c r="J51" s="2976"/>
      <c r="K51" s="2976"/>
      <c r="L51" s="2976"/>
      <c r="M51" s="2976"/>
      <c r="N51" s="2976"/>
      <c r="O51" s="2976"/>
      <c r="P51" s="2976"/>
      <c r="Q51" s="2976"/>
      <c r="R51" s="2976"/>
      <c r="S51" s="2976"/>
      <c r="T51" s="2976"/>
      <c r="U51" s="2976"/>
      <c r="V51" s="2976"/>
      <c r="W51" s="2976"/>
      <c r="X51" s="2976"/>
      <c r="Y51" s="2976"/>
      <c r="Z51" s="2976"/>
      <c r="AA51" s="2976"/>
      <c r="AB51" s="2976"/>
      <c r="AC51" s="2976"/>
      <c r="AD51" s="2976"/>
      <c r="AE51" s="2976"/>
      <c r="AF51" s="2976"/>
      <c r="AG51" s="2976"/>
      <c r="AH51" s="2976"/>
      <c r="AI51" s="2976"/>
      <c r="AJ51" s="2976"/>
      <c r="AK51" s="2976"/>
      <c r="AL51" s="2976"/>
      <c r="AM51" s="2976"/>
      <c r="AN51" s="2976"/>
      <c r="AO51" s="2976"/>
      <c r="AP51" s="2976"/>
      <c r="AQ51" s="2976"/>
      <c r="AR51" s="2976"/>
      <c r="AS51" s="2976"/>
      <c r="AT51" s="2976"/>
      <c r="AU51" s="2976"/>
      <c r="AV51" s="2976"/>
      <c r="AW51" s="2976"/>
      <c r="AX51" s="2976"/>
      <c r="AY51" s="2976"/>
      <c r="AZ51" s="2976"/>
      <c r="BA51" s="2976"/>
      <c r="BB51" s="2976"/>
      <c r="BC51" s="2976"/>
      <c r="BD51" s="2976"/>
      <c r="BE51" s="2976"/>
      <c r="BF51" s="2976"/>
      <c r="BG51" s="2976"/>
      <c r="BH51" s="2976"/>
      <c r="BI51" s="2976"/>
      <c r="BJ51" s="2976"/>
      <c r="BK51" s="2976"/>
      <c r="BL51" s="2976"/>
      <c r="BM51" s="2976"/>
      <c r="BN51" s="2976"/>
      <c r="BO51" s="2976"/>
      <c r="BP51" s="2976"/>
      <c r="BQ51" s="2976"/>
      <c r="BR51" s="2976"/>
      <c r="BS51" s="2976"/>
      <c r="BT51" s="2976"/>
      <c r="BU51" s="2976"/>
      <c r="BV51" s="2976"/>
      <c r="BW51" s="2976"/>
      <c r="BX51" s="2976"/>
      <c r="BY51" s="2976"/>
      <c r="BZ51" s="2976"/>
      <c r="CA51" s="2976"/>
      <c r="CB51" s="2976"/>
      <c r="CC51" s="2976"/>
      <c r="CD51" s="2976"/>
      <c r="CE51" s="2976"/>
      <c r="CF51" s="2976"/>
      <c r="CG51" s="2976"/>
      <c r="CH51" s="2976"/>
      <c r="CI51" s="2976"/>
      <c r="CJ51" s="2976"/>
      <c r="CK51" s="2976"/>
      <c r="CL51" s="2976"/>
      <c r="CM51" s="2976"/>
      <c r="CN51" s="2976"/>
      <c r="CO51" s="2976"/>
      <c r="CP51" s="2976"/>
      <c r="CQ51" s="2976"/>
      <c r="CR51" s="2976"/>
      <c r="CS51" s="2976"/>
      <c r="CT51" s="2976"/>
      <c r="CU51" s="2976"/>
      <c r="CV51" s="2976"/>
      <c r="CW51" s="2976"/>
      <c r="CX51" s="2976"/>
      <c r="CY51" s="2976"/>
      <c r="CZ51" s="2976"/>
      <c r="DA51" s="2976"/>
      <c r="DB51" s="2976"/>
      <c r="DC51" s="2976"/>
      <c r="DD51" s="2976"/>
      <c r="DE51" s="2976"/>
      <c r="DF51" s="2976"/>
      <c r="DG51" s="2976"/>
      <c r="DH51" s="2976"/>
      <c r="DI51" s="2976"/>
      <c r="DJ51" s="2976"/>
      <c r="DK51" s="2976"/>
      <c r="DL51" s="2976"/>
    </row>
    <row r="52" spans="1:116" s="2981" customFormat="1" ht="32.25" customHeight="1">
      <c r="A52" s="2983">
        <v>5</v>
      </c>
      <c r="B52" s="2984" t="s">
        <v>3211</v>
      </c>
      <c r="C52" s="2983"/>
      <c r="D52" s="2986">
        <v>35787</v>
      </c>
      <c r="E52" s="2986">
        <f t="shared" si="0"/>
        <v>4294.4399999999996</v>
      </c>
      <c r="F52" s="2984" t="s">
        <v>3160</v>
      </c>
      <c r="G52" s="2988" t="s">
        <v>3163</v>
      </c>
      <c r="H52" s="2976"/>
      <c r="I52" s="2976"/>
      <c r="J52" s="2976"/>
      <c r="K52" s="2976"/>
      <c r="L52" s="2976"/>
      <c r="M52" s="2976"/>
      <c r="N52" s="2976"/>
      <c r="O52" s="2976"/>
      <c r="P52" s="2976"/>
      <c r="Q52" s="2976"/>
      <c r="R52" s="2976"/>
      <c r="S52" s="2976"/>
      <c r="T52" s="2976"/>
      <c r="U52" s="2976"/>
      <c r="V52" s="2976"/>
      <c r="W52" s="2976"/>
      <c r="X52" s="2976"/>
      <c r="Y52" s="2976"/>
      <c r="Z52" s="2976"/>
      <c r="AA52" s="2976"/>
      <c r="AB52" s="2976"/>
      <c r="AC52" s="2976"/>
      <c r="AD52" s="2976"/>
      <c r="AE52" s="2976"/>
      <c r="AF52" s="2976"/>
      <c r="AG52" s="2976"/>
      <c r="AH52" s="2976"/>
      <c r="AI52" s="2976"/>
      <c r="AJ52" s="2976"/>
      <c r="AK52" s="2976"/>
      <c r="AL52" s="2976"/>
      <c r="AM52" s="2976"/>
      <c r="AN52" s="2976"/>
      <c r="AO52" s="2976"/>
      <c r="AP52" s="2976"/>
      <c r="AQ52" s="2976"/>
      <c r="AR52" s="2976"/>
      <c r="AS52" s="2976"/>
      <c r="AT52" s="2976"/>
      <c r="AU52" s="2976"/>
      <c r="AV52" s="2976"/>
      <c r="AW52" s="2976"/>
      <c r="AX52" s="2976"/>
      <c r="AY52" s="2976"/>
      <c r="AZ52" s="2976"/>
      <c r="BA52" s="2976"/>
      <c r="BB52" s="2976"/>
      <c r="BC52" s="2976"/>
      <c r="BD52" s="2976"/>
      <c r="BE52" s="2976"/>
      <c r="BF52" s="2976"/>
      <c r="BG52" s="2976"/>
      <c r="BH52" s="2976"/>
      <c r="BI52" s="2976"/>
      <c r="BJ52" s="2976"/>
      <c r="BK52" s="2976"/>
      <c r="BL52" s="2976"/>
      <c r="BM52" s="2976"/>
      <c r="BN52" s="2976"/>
      <c r="BO52" s="2976"/>
      <c r="BP52" s="2976"/>
      <c r="BQ52" s="2976"/>
      <c r="BR52" s="2976"/>
      <c r="BS52" s="2976"/>
      <c r="BT52" s="2976"/>
      <c r="BU52" s="2976"/>
      <c r="BV52" s="2976"/>
      <c r="BW52" s="2976"/>
      <c r="BX52" s="2976"/>
      <c r="BY52" s="2976"/>
      <c r="BZ52" s="2976"/>
      <c r="CA52" s="2976"/>
      <c r="CB52" s="2976"/>
      <c r="CC52" s="2976"/>
      <c r="CD52" s="2976"/>
      <c r="CE52" s="2976"/>
      <c r="CF52" s="2976"/>
      <c r="CG52" s="2976"/>
      <c r="CH52" s="2976"/>
      <c r="CI52" s="2976"/>
      <c r="CJ52" s="2976"/>
      <c r="CK52" s="2976"/>
      <c r="CL52" s="2976"/>
      <c r="CM52" s="2976"/>
      <c r="CN52" s="2976"/>
      <c r="CO52" s="2976"/>
      <c r="CP52" s="2976"/>
      <c r="CQ52" s="2976"/>
      <c r="CR52" s="2976"/>
      <c r="CS52" s="2976"/>
      <c r="CT52" s="2976"/>
      <c r="CU52" s="2976"/>
      <c r="CV52" s="2976"/>
      <c r="CW52" s="2976"/>
      <c r="CX52" s="2976"/>
      <c r="CY52" s="2976"/>
      <c r="CZ52" s="2976"/>
      <c r="DA52" s="2976"/>
      <c r="DB52" s="2976"/>
      <c r="DC52" s="2976"/>
      <c r="DD52" s="2976"/>
      <c r="DE52" s="2976"/>
      <c r="DF52" s="2976"/>
      <c r="DG52" s="2976"/>
      <c r="DH52" s="2976"/>
      <c r="DI52" s="2976"/>
      <c r="DJ52" s="2976"/>
      <c r="DK52" s="2976"/>
      <c r="DL52" s="2976"/>
    </row>
    <row r="53" spans="1:116" s="2981" customFormat="1" ht="27.75" customHeight="1">
      <c r="A53" s="2983">
        <v>6</v>
      </c>
      <c r="B53" s="2984" t="s">
        <v>3212</v>
      </c>
      <c r="C53" s="2983" t="s">
        <v>3162</v>
      </c>
      <c r="D53" s="3347">
        <v>90318</v>
      </c>
      <c r="E53" s="3348">
        <f t="shared" si="0"/>
        <v>10838.16</v>
      </c>
      <c r="F53" s="2984" t="s">
        <v>3160</v>
      </c>
      <c r="G53" s="2988" t="s">
        <v>3163</v>
      </c>
      <c r="H53" s="2976"/>
      <c r="I53" s="2976"/>
      <c r="J53" s="2976"/>
      <c r="K53" s="2976"/>
      <c r="L53" s="2976"/>
      <c r="M53" s="2976"/>
      <c r="N53" s="2976"/>
      <c r="O53" s="2976"/>
      <c r="P53" s="2976"/>
      <c r="Q53" s="2976"/>
      <c r="R53" s="2976"/>
      <c r="S53" s="2976"/>
      <c r="T53" s="2976"/>
      <c r="U53" s="2976"/>
      <c r="V53" s="2976"/>
      <c r="W53" s="2976"/>
      <c r="X53" s="2976"/>
      <c r="Y53" s="2976"/>
      <c r="Z53" s="2976"/>
      <c r="AA53" s="2976"/>
      <c r="AB53" s="2976"/>
      <c r="AC53" s="2976"/>
      <c r="AD53" s="2976"/>
      <c r="AE53" s="2976"/>
      <c r="AF53" s="2976"/>
      <c r="AG53" s="2976"/>
      <c r="AH53" s="2976"/>
      <c r="AI53" s="2976"/>
      <c r="AJ53" s="2976"/>
      <c r="AK53" s="2976"/>
      <c r="AL53" s="2976"/>
      <c r="AM53" s="2976"/>
      <c r="AN53" s="2976"/>
      <c r="AO53" s="2976"/>
      <c r="AP53" s="2976"/>
      <c r="AQ53" s="2976"/>
      <c r="AR53" s="2976"/>
      <c r="AS53" s="2976"/>
      <c r="AT53" s="2976"/>
      <c r="AU53" s="2976"/>
      <c r="AV53" s="2976"/>
      <c r="AW53" s="2976"/>
      <c r="AX53" s="2976"/>
      <c r="AY53" s="2976"/>
      <c r="AZ53" s="2976"/>
      <c r="BA53" s="2976"/>
      <c r="BB53" s="2976"/>
      <c r="BC53" s="2976"/>
      <c r="BD53" s="2976"/>
      <c r="BE53" s="2976"/>
      <c r="BF53" s="2976"/>
      <c r="BG53" s="2976"/>
      <c r="BH53" s="2976"/>
      <c r="BI53" s="2976"/>
      <c r="BJ53" s="2976"/>
      <c r="BK53" s="2976"/>
      <c r="BL53" s="2976"/>
      <c r="BM53" s="2976"/>
      <c r="BN53" s="2976"/>
      <c r="BO53" s="2976"/>
      <c r="BP53" s="2976"/>
      <c r="BQ53" s="2976"/>
      <c r="BR53" s="2976"/>
      <c r="BS53" s="2976"/>
      <c r="BT53" s="2976"/>
      <c r="BU53" s="2976"/>
      <c r="BV53" s="2976"/>
      <c r="BW53" s="2976"/>
      <c r="BX53" s="2976"/>
      <c r="BY53" s="2976"/>
      <c r="BZ53" s="2976"/>
      <c r="CA53" s="2976"/>
      <c r="CB53" s="2976"/>
      <c r="CC53" s="2976"/>
      <c r="CD53" s="2976"/>
      <c r="CE53" s="2976"/>
      <c r="CF53" s="2976"/>
      <c r="CG53" s="2976"/>
      <c r="CH53" s="2976"/>
      <c r="CI53" s="2976"/>
      <c r="CJ53" s="2976"/>
      <c r="CK53" s="2976"/>
      <c r="CL53" s="2976"/>
      <c r="CM53" s="2976"/>
      <c r="CN53" s="2976"/>
      <c r="CO53" s="2976"/>
      <c r="CP53" s="2976"/>
      <c r="CQ53" s="2976"/>
      <c r="CR53" s="2976"/>
      <c r="CS53" s="2976"/>
      <c r="CT53" s="2976"/>
      <c r="CU53" s="2976"/>
      <c r="CV53" s="2976"/>
      <c r="CW53" s="2976"/>
      <c r="CX53" s="2976"/>
      <c r="CY53" s="2976"/>
      <c r="CZ53" s="2976"/>
      <c r="DA53" s="2976"/>
      <c r="DB53" s="2976"/>
      <c r="DC53" s="2976"/>
      <c r="DD53" s="2976"/>
      <c r="DE53" s="2976"/>
      <c r="DF53" s="2976"/>
      <c r="DG53" s="2976"/>
      <c r="DH53" s="2976"/>
      <c r="DI53" s="2976"/>
      <c r="DJ53" s="2976"/>
      <c r="DK53" s="2976"/>
      <c r="DL53" s="2976"/>
    </row>
    <row r="54" spans="1:116" s="2981" customFormat="1" ht="27.75" customHeight="1">
      <c r="A54" s="2983">
        <v>7</v>
      </c>
      <c r="B54" s="2984" t="s">
        <v>3213</v>
      </c>
      <c r="C54" s="2983" t="s">
        <v>3162</v>
      </c>
      <c r="D54" s="3347"/>
      <c r="E54" s="3348"/>
      <c r="F54" s="2984" t="s">
        <v>3160</v>
      </c>
      <c r="G54" s="2988" t="s">
        <v>3163</v>
      </c>
      <c r="H54" s="2976"/>
      <c r="I54" s="2976"/>
      <c r="J54" s="2976"/>
      <c r="K54" s="2976"/>
      <c r="L54" s="2976"/>
      <c r="M54" s="2976"/>
      <c r="N54" s="2976"/>
      <c r="O54" s="2976"/>
      <c r="P54" s="2976"/>
      <c r="Q54" s="2976"/>
      <c r="R54" s="2976"/>
      <c r="S54" s="2976"/>
      <c r="T54" s="2976"/>
      <c r="U54" s="2976"/>
      <c r="V54" s="2976"/>
      <c r="W54" s="2976"/>
      <c r="X54" s="2976"/>
      <c r="Y54" s="2976"/>
      <c r="Z54" s="2976"/>
      <c r="AA54" s="2976"/>
      <c r="AB54" s="2976"/>
      <c r="AC54" s="2976"/>
      <c r="AD54" s="2976"/>
      <c r="AE54" s="2976"/>
      <c r="AF54" s="2976"/>
      <c r="AG54" s="2976"/>
      <c r="AH54" s="2976"/>
      <c r="AI54" s="2976"/>
      <c r="AJ54" s="2976"/>
      <c r="AK54" s="2976"/>
      <c r="AL54" s="2976"/>
      <c r="AM54" s="2976"/>
      <c r="AN54" s="2976"/>
      <c r="AO54" s="2976"/>
      <c r="AP54" s="2976"/>
      <c r="AQ54" s="2976"/>
      <c r="AR54" s="2976"/>
      <c r="AS54" s="2976"/>
      <c r="AT54" s="2976"/>
      <c r="AU54" s="2976"/>
      <c r="AV54" s="2976"/>
      <c r="AW54" s="2976"/>
      <c r="AX54" s="2976"/>
      <c r="AY54" s="2976"/>
      <c r="AZ54" s="2976"/>
      <c r="BA54" s="2976"/>
      <c r="BB54" s="2976"/>
      <c r="BC54" s="2976"/>
      <c r="BD54" s="2976"/>
      <c r="BE54" s="2976"/>
      <c r="BF54" s="2976"/>
      <c r="BG54" s="2976"/>
      <c r="BH54" s="2976"/>
      <c r="BI54" s="2976"/>
      <c r="BJ54" s="2976"/>
      <c r="BK54" s="2976"/>
      <c r="BL54" s="2976"/>
      <c r="BM54" s="2976"/>
      <c r="BN54" s="2976"/>
      <c r="BO54" s="2976"/>
      <c r="BP54" s="2976"/>
      <c r="BQ54" s="2976"/>
      <c r="BR54" s="2976"/>
      <c r="BS54" s="2976"/>
      <c r="BT54" s="2976"/>
      <c r="BU54" s="2976"/>
      <c r="BV54" s="2976"/>
      <c r="BW54" s="2976"/>
      <c r="BX54" s="2976"/>
      <c r="BY54" s="2976"/>
      <c r="BZ54" s="2976"/>
      <c r="CA54" s="2976"/>
      <c r="CB54" s="2976"/>
      <c r="CC54" s="2976"/>
      <c r="CD54" s="2976"/>
      <c r="CE54" s="2976"/>
      <c r="CF54" s="2976"/>
      <c r="CG54" s="2976"/>
      <c r="CH54" s="2976"/>
      <c r="CI54" s="2976"/>
      <c r="CJ54" s="2976"/>
      <c r="CK54" s="2976"/>
      <c r="CL54" s="2976"/>
      <c r="CM54" s="2976"/>
      <c r="CN54" s="2976"/>
      <c r="CO54" s="2976"/>
      <c r="CP54" s="2976"/>
      <c r="CQ54" s="2976"/>
      <c r="CR54" s="2976"/>
      <c r="CS54" s="2976"/>
      <c r="CT54" s="2976"/>
      <c r="CU54" s="2976"/>
      <c r="CV54" s="2976"/>
      <c r="CW54" s="2976"/>
      <c r="CX54" s="2976"/>
      <c r="CY54" s="2976"/>
      <c r="CZ54" s="2976"/>
      <c r="DA54" s="2976"/>
      <c r="DB54" s="2976"/>
      <c r="DC54" s="2976"/>
      <c r="DD54" s="2976"/>
      <c r="DE54" s="2976"/>
      <c r="DF54" s="2976"/>
      <c r="DG54" s="2976"/>
      <c r="DH54" s="2976"/>
      <c r="DI54" s="2976"/>
      <c r="DJ54" s="2976"/>
      <c r="DK54" s="2976"/>
      <c r="DL54" s="2976"/>
    </row>
    <row r="55" spans="1:116" s="2981" customFormat="1" ht="27.75" customHeight="1">
      <c r="A55" s="2983">
        <v>8</v>
      </c>
      <c r="B55" s="2984" t="s">
        <v>3214</v>
      </c>
      <c r="C55" s="2983" t="s">
        <v>3162</v>
      </c>
      <c r="D55" s="3347"/>
      <c r="E55" s="3348"/>
      <c r="F55" s="2984" t="s">
        <v>3160</v>
      </c>
      <c r="G55" s="2988" t="s">
        <v>3163</v>
      </c>
      <c r="H55" s="2976"/>
      <c r="I55" s="2976"/>
      <c r="J55" s="2976"/>
      <c r="K55" s="2976"/>
      <c r="L55" s="2976"/>
      <c r="M55" s="2976"/>
      <c r="N55" s="2976"/>
      <c r="O55" s="2976"/>
      <c r="P55" s="2976"/>
      <c r="Q55" s="2976"/>
      <c r="R55" s="2976"/>
      <c r="S55" s="2976"/>
      <c r="T55" s="2976"/>
      <c r="U55" s="2976"/>
      <c r="V55" s="2976"/>
      <c r="W55" s="2976"/>
      <c r="X55" s="2976"/>
      <c r="Y55" s="2976"/>
      <c r="Z55" s="2976"/>
      <c r="AA55" s="2976"/>
      <c r="AB55" s="2976"/>
      <c r="AC55" s="2976"/>
      <c r="AD55" s="2976"/>
      <c r="AE55" s="2976"/>
      <c r="AF55" s="2976"/>
      <c r="AG55" s="2976"/>
      <c r="AH55" s="2976"/>
      <c r="AI55" s="2976"/>
      <c r="AJ55" s="2976"/>
      <c r="AK55" s="2976"/>
      <c r="AL55" s="2976"/>
      <c r="AM55" s="2976"/>
      <c r="AN55" s="2976"/>
      <c r="AO55" s="2976"/>
      <c r="AP55" s="2976"/>
      <c r="AQ55" s="2976"/>
      <c r="AR55" s="2976"/>
      <c r="AS55" s="2976"/>
      <c r="AT55" s="2976"/>
      <c r="AU55" s="2976"/>
      <c r="AV55" s="2976"/>
      <c r="AW55" s="2976"/>
      <c r="AX55" s="2976"/>
      <c r="AY55" s="2976"/>
      <c r="AZ55" s="2976"/>
      <c r="BA55" s="2976"/>
      <c r="BB55" s="2976"/>
      <c r="BC55" s="2976"/>
      <c r="BD55" s="2976"/>
      <c r="BE55" s="2976"/>
      <c r="BF55" s="2976"/>
      <c r="BG55" s="2976"/>
      <c r="BH55" s="2976"/>
      <c r="BI55" s="2976"/>
      <c r="BJ55" s="2976"/>
      <c r="BK55" s="2976"/>
      <c r="BL55" s="2976"/>
      <c r="BM55" s="2976"/>
      <c r="BN55" s="2976"/>
      <c r="BO55" s="2976"/>
      <c r="BP55" s="2976"/>
      <c r="BQ55" s="2976"/>
      <c r="BR55" s="2976"/>
      <c r="BS55" s="2976"/>
      <c r="BT55" s="2976"/>
      <c r="BU55" s="2976"/>
      <c r="BV55" s="2976"/>
      <c r="BW55" s="2976"/>
      <c r="BX55" s="2976"/>
      <c r="BY55" s="2976"/>
      <c r="BZ55" s="2976"/>
      <c r="CA55" s="2976"/>
      <c r="CB55" s="2976"/>
      <c r="CC55" s="2976"/>
      <c r="CD55" s="2976"/>
      <c r="CE55" s="2976"/>
      <c r="CF55" s="2976"/>
      <c r="CG55" s="2976"/>
      <c r="CH55" s="2976"/>
      <c r="CI55" s="2976"/>
      <c r="CJ55" s="2976"/>
      <c r="CK55" s="2976"/>
      <c r="CL55" s="2976"/>
      <c r="CM55" s="2976"/>
      <c r="CN55" s="2976"/>
      <c r="CO55" s="2976"/>
      <c r="CP55" s="2976"/>
      <c r="CQ55" s="2976"/>
      <c r="CR55" s="2976"/>
      <c r="CS55" s="2976"/>
      <c r="CT55" s="2976"/>
      <c r="CU55" s="2976"/>
      <c r="CV55" s="2976"/>
      <c r="CW55" s="2976"/>
      <c r="CX55" s="2976"/>
      <c r="CY55" s="2976"/>
      <c r="CZ55" s="2976"/>
      <c r="DA55" s="2976"/>
      <c r="DB55" s="2976"/>
      <c r="DC55" s="2976"/>
      <c r="DD55" s="2976"/>
      <c r="DE55" s="2976"/>
      <c r="DF55" s="2976"/>
      <c r="DG55" s="2976"/>
      <c r="DH55" s="2976"/>
      <c r="DI55" s="2976"/>
      <c r="DJ55" s="2976"/>
      <c r="DK55" s="2976"/>
      <c r="DL55" s="2976"/>
    </row>
    <row r="56" spans="1:116" s="2981" customFormat="1" ht="27.75" customHeight="1">
      <c r="A56" s="2983">
        <v>9</v>
      </c>
      <c r="B56" s="2984" t="s">
        <v>3215</v>
      </c>
      <c r="C56" s="2983"/>
      <c r="D56" s="3347"/>
      <c r="E56" s="3348"/>
      <c r="F56" s="2984" t="s">
        <v>3160</v>
      </c>
      <c r="G56" s="2988" t="s">
        <v>3163</v>
      </c>
      <c r="H56" s="2976"/>
      <c r="I56" s="2976"/>
      <c r="J56" s="2976"/>
      <c r="K56" s="2976"/>
      <c r="L56" s="2976"/>
      <c r="M56" s="2976"/>
      <c r="N56" s="2976"/>
      <c r="O56" s="2976"/>
      <c r="P56" s="2976"/>
      <c r="Q56" s="2976"/>
      <c r="R56" s="2976"/>
      <c r="S56" s="2976"/>
      <c r="T56" s="2976"/>
      <c r="U56" s="2976"/>
      <c r="V56" s="2976"/>
      <c r="W56" s="2976"/>
      <c r="X56" s="2976"/>
      <c r="Y56" s="2976"/>
      <c r="Z56" s="2976"/>
      <c r="AA56" s="2976"/>
      <c r="AB56" s="2976"/>
      <c r="AC56" s="2976"/>
      <c r="AD56" s="2976"/>
      <c r="AE56" s="2976"/>
      <c r="AF56" s="2976"/>
      <c r="AG56" s="2976"/>
      <c r="AH56" s="2976"/>
      <c r="AI56" s="2976"/>
      <c r="AJ56" s="2976"/>
      <c r="AK56" s="2976"/>
      <c r="AL56" s="2976"/>
      <c r="AM56" s="2976"/>
      <c r="AN56" s="2976"/>
      <c r="AO56" s="2976"/>
      <c r="AP56" s="2976"/>
      <c r="AQ56" s="2976"/>
      <c r="AR56" s="2976"/>
      <c r="AS56" s="2976"/>
      <c r="AT56" s="2976"/>
      <c r="AU56" s="2976"/>
      <c r="AV56" s="2976"/>
      <c r="AW56" s="2976"/>
      <c r="AX56" s="2976"/>
      <c r="AY56" s="2976"/>
      <c r="AZ56" s="2976"/>
      <c r="BA56" s="2976"/>
      <c r="BB56" s="2976"/>
      <c r="BC56" s="2976"/>
      <c r="BD56" s="2976"/>
      <c r="BE56" s="2976"/>
      <c r="BF56" s="2976"/>
      <c r="BG56" s="2976"/>
      <c r="BH56" s="2976"/>
      <c r="BI56" s="2976"/>
      <c r="BJ56" s="2976"/>
      <c r="BK56" s="2976"/>
      <c r="BL56" s="2976"/>
      <c r="BM56" s="2976"/>
      <c r="BN56" s="2976"/>
      <c r="BO56" s="2976"/>
      <c r="BP56" s="2976"/>
      <c r="BQ56" s="2976"/>
      <c r="BR56" s="2976"/>
      <c r="BS56" s="2976"/>
      <c r="BT56" s="2976"/>
      <c r="BU56" s="2976"/>
      <c r="BV56" s="2976"/>
      <c r="BW56" s="2976"/>
      <c r="BX56" s="2976"/>
      <c r="BY56" s="2976"/>
      <c r="BZ56" s="2976"/>
      <c r="CA56" s="2976"/>
      <c r="CB56" s="2976"/>
      <c r="CC56" s="2976"/>
      <c r="CD56" s="2976"/>
      <c r="CE56" s="2976"/>
      <c r="CF56" s="2976"/>
      <c r="CG56" s="2976"/>
      <c r="CH56" s="2976"/>
      <c r="CI56" s="2976"/>
      <c r="CJ56" s="2976"/>
      <c r="CK56" s="2976"/>
      <c r="CL56" s="2976"/>
      <c r="CM56" s="2976"/>
      <c r="CN56" s="2976"/>
      <c r="CO56" s="2976"/>
      <c r="CP56" s="2976"/>
      <c r="CQ56" s="2976"/>
      <c r="CR56" s="2976"/>
      <c r="CS56" s="2976"/>
      <c r="CT56" s="2976"/>
      <c r="CU56" s="2976"/>
      <c r="CV56" s="2976"/>
      <c r="CW56" s="2976"/>
      <c r="CX56" s="2976"/>
      <c r="CY56" s="2976"/>
      <c r="CZ56" s="2976"/>
      <c r="DA56" s="2976"/>
      <c r="DB56" s="2976"/>
      <c r="DC56" s="2976"/>
      <c r="DD56" s="2976"/>
      <c r="DE56" s="2976"/>
      <c r="DF56" s="2976"/>
      <c r="DG56" s="2976"/>
      <c r="DH56" s="2976"/>
      <c r="DI56" s="2976"/>
      <c r="DJ56" s="2976"/>
      <c r="DK56" s="2976"/>
      <c r="DL56" s="2976"/>
    </row>
    <row r="57" spans="1:116" s="2981" customFormat="1" ht="27.75" customHeight="1">
      <c r="A57" s="2983">
        <v>10</v>
      </c>
      <c r="B57" s="2984" t="s">
        <v>3216</v>
      </c>
      <c r="C57" s="2983" t="s">
        <v>3162</v>
      </c>
      <c r="D57" s="3347"/>
      <c r="E57" s="3348"/>
      <c r="F57" s="2984" t="s">
        <v>3160</v>
      </c>
      <c r="G57" s="2988" t="s">
        <v>3163</v>
      </c>
      <c r="H57" s="2976"/>
      <c r="I57" s="2976"/>
      <c r="J57" s="2976"/>
      <c r="K57" s="2976"/>
      <c r="L57" s="2976"/>
      <c r="M57" s="2976"/>
      <c r="N57" s="2976"/>
      <c r="O57" s="2976"/>
      <c r="P57" s="2976"/>
      <c r="Q57" s="2976"/>
      <c r="R57" s="2976"/>
      <c r="S57" s="2976"/>
      <c r="T57" s="2976"/>
      <c r="U57" s="2976"/>
      <c r="V57" s="2976"/>
      <c r="W57" s="2976"/>
      <c r="X57" s="2976"/>
      <c r="Y57" s="2976"/>
      <c r="Z57" s="2976"/>
      <c r="AA57" s="2976"/>
      <c r="AB57" s="2976"/>
      <c r="AC57" s="2976"/>
      <c r="AD57" s="2976"/>
      <c r="AE57" s="2976"/>
      <c r="AF57" s="2976"/>
      <c r="AG57" s="2976"/>
      <c r="AH57" s="2976"/>
      <c r="AI57" s="2976"/>
      <c r="AJ57" s="2976"/>
      <c r="AK57" s="2976"/>
      <c r="AL57" s="2976"/>
      <c r="AM57" s="2976"/>
      <c r="AN57" s="2976"/>
      <c r="AO57" s="2976"/>
      <c r="AP57" s="2976"/>
      <c r="AQ57" s="2976"/>
      <c r="AR57" s="2976"/>
      <c r="AS57" s="2976"/>
      <c r="AT57" s="2976"/>
      <c r="AU57" s="2976"/>
      <c r="AV57" s="2976"/>
      <c r="AW57" s="2976"/>
      <c r="AX57" s="2976"/>
      <c r="AY57" s="2976"/>
      <c r="AZ57" s="2976"/>
      <c r="BA57" s="2976"/>
      <c r="BB57" s="2976"/>
      <c r="BC57" s="2976"/>
      <c r="BD57" s="2976"/>
      <c r="BE57" s="2976"/>
      <c r="BF57" s="2976"/>
      <c r="BG57" s="2976"/>
      <c r="BH57" s="2976"/>
      <c r="BI57" s="2976"/>
      <c r="BJ57" s="2976"/>
      <c r="BK57" s="2976"/>
      <c r="BL57" s="2976"/>
      <c r="BM57" s="2976"/>
      <c r="BN57" s="2976"/>
      <c r="BO57" s="2976"/>
      <c r="BP57" s="2976"/>
      <c r="BQ57" s="2976"/>
      <c r="BR57" s="2976"/>
      <c r="BS57" s="2976"/>
      <c r="BT57" s="2976"/>
      <c r="BU57" s="2976"/>
      <c r="BV57" s="2976"/>
      <c r="BW57" s="2976"/>
      <c r="BX57" s="2976"/>
      <c r="BY57" s="2976"/>
      <c r="BZ57" s="2976"/>
      <c r="CA57" s="2976"/>
      <c r="CB57" s="2976"/>
      <c r="CC57" s="2976"/>
      <c r="CD57" s="2976"/>
      <c r="CE57" s="2976"/>
      <c r="CF57" s="2976"/>
      <c r="CG57" s="2976"/>
      <c r="CH57" s="2976"/>
      <c r="CI57" s="2976"/>
      <c r="CJ57" s="2976"/>
      <c r="CK57" s="2976"/>
      <c r="CL57" s="2976"/>
      <c r="CM57" s="2976"/>
      <c r="CN57" s="2976"/>
      <c r="CO57" s="2976"/>
      <c r="CP57" s="2976"/>
      <c r="CQ57" s="2976"/>
      <c r="CR57" s="2976"/>
      <c r="CS57" s="2976"/>
      <c r="CT57" s="2976"/>
      <c r="CU57" s="2976"/>
      <c r="CV57" s="2976"/>
      <c r="CW57" s="2976"/>
      <c r="CX57" s="2976"/>
      <c r="CY57" s="2976"/>
      <c r="CZ57" s="2976"/>
      <c r="DA57" s="2976"/>
      <c r="DB57" s="2976"/>
      <c r="DC57" s="2976"/>
      <c r="DD57" s="2976"/>
      <c r="DE57" s="2976"/>
      <c r="DF57" s="2976"/>
      <c r="DG57" s="2976"/>
      <c r="DH57" s="2976"/>
      <c r="DI57" s="2976"/>
      <c r="DJ57" s="2976"/>
      <c r="DK57" s="2976"/>
      <c r="DL57" s="2976"/>
    </row>
    <row r="58" spans="1:116" s="2981" customFormat="1" ht="27.75" customHeight="1">
      <c r="A58" s="2983">
        <v>11</v>
      </c>
      <c r="B58" s="2984" t="s">
        <v>3217</v>
      </c>
      <c r="C58" s="2983" t="s">
        <v>3181</v>
      </c>
      <c r="D58" s="2986">
        <v>11554.21</v>
      </c>
      <c r="E58" s="2986">
        <f>D58*0.12</f>
        <v>1386.5051999999998</v>
      </c>
      <c r="F58" s="2984" t="s">
        <v>3160</v>
      </c>
      <c r="G58" s="2988" t="s">
        <v>3163</v>
      </c>
      <c r="H58" s="2976"/>
      <c r="I58" s="2976"/>
      <c r="J58" s="2976"/>
      <c r="K58" s="2976"/>
      <c r="L58" s="2976"/>
      <c r="M58" s="2976"/>
      <c r="N58" s="2976"/>
      <c r="O58" s="2976"/>
      <c r="P58" s="2976"/>
      <c r="Q58" s="2976"/>
      <c r="R58" s="2976"/>
      <c r="S58" s="2976"/>
      <c r="T58" s="2976"/>
      <c r="U58" s="2976"/>
      <c r="V58" s="2976"/>
      <c r="W58" s="2976"/>
      <c r="X58" s="2976"/>
      <c r="Y58" s="2976"/>
      <c r="Z58" s="2976"/>
      <c r="AA58" s="2976"/>
      <c r="AB58" s="2976"/>
      <c r="AC58" s="2976"/>
      <c r="AD58" s="2976"/>
      <c r="AE58" s="2976"/>
      <c r="AF58" s="2976"/>
      <c r="AG58" s="2976"/>
      <c r="AH58" s="2976"/>
      <c r="AI58" s="2976"/>
      <c r="AJ58" s="2976"/>
      <c r="AK58" s="2976"/>
      <c r="AL58" s="2976"/>
      <c r="AM58" s="2976"/>
      <c r="AN58" s="2976"/>
      <c r="AO58" s="2976"/>
      <c r="AP58" s="2976"/>
      <c r="AQ58" s="2976"/>
      <c r="AR58" s="2976"/>
      <c r="AS58" s="2976"/>
      <c r="AT58" s="2976"/>
      <c r="AU58" s="2976"/>
      <c r="AV58" s="2976"/>
      <c r="AW58" s="2976"/>
      <c r="AX58" s="2976"/>
      <c r="AY58" s="2976"/>
      <c r="AZ58" s="2976"/>
      <c r="BA58" s="2976"/>
      <c r="BB58" s="2976"/>
      <c r="BC58" s="2976"/>
      <c r="BD58" s="2976"/>
      <c r="BE58" s="2976"/>
      <c r="BF58" s="2976"/>
      <c r="BG58" s="2976"/>
      <c r="BH58" s="2976"/>
      <c r="BI58" s="2976"/>
      <c r="BJ58" s="2976"/>
      <c r="BK58" s="2976"/>
      <c r="BL58" s="2976"/>
      <c r="BM58" s="2976"/>
      <c r="BN58" s="2976"/>
      <c r="BO58" s="2976"/>
      <c r="BP58" s="2976"/>
      <c r="BQ58" s="2976"/>
      <c r="BR58" s="2976"/>
      <c r="BS58" s="2976"/>
      <c r="BT58" s="2976"/>
      <c r="BU58" s="2976"/>
      <c r="BV58" s="2976"/>
      <c r="BW58" s="2976"/>
      <c r="BX58" s="2976"/>
      <c r="BY58" s="2976"/>
      <c r="BZ58" s="2976"/>
      <c r="CA58" s="2976"/>
      <c r="CB58" s="2976"/>
      <c r="CC58" s="2976"/>
      <c r="CD58" s="2976"/>
      <c r="CE58" s="2976"/>
      <c r="CF58" s="2976"/>
      <c r="CG58" s="2976"/>
      <c r="CH58" s="2976"/>
      <c r="CI58" s="2976"/>
      <c r="CJ58" s="2976"/>
      <c r="CK58" s="2976"/>
      <c r="CL58" s="2976"/>
      <c r="CM58" s="2976"/>
      <c r="CN58" s="2976"/>
      <c r="CO58" s="2976"/>
      <c r="CP58" s="2976"/>
      <c r="CQ58" s="2976"/>
      <c r="CR58" s="2976"/>
      <c r="CS58" s="2976"/>
      <c r="CT58" s="2976"/>
      <c r="CU58" s="2976"/>
      <c r="CV58" s="2976"/>
      <c r="CW58" s="2976"/>
      <c r="CX58" s="2976"/>
      <c r="CY58" s="2976"/>
      <c r="CZ58" s="2976"/>
      <c r="DA58" s="2976"/>
      <c r="DB58" s="2976"/>
      <c r="DC58" s="2976"/>
      <c r="DD58" s="2976"/>
      <c r="DE58" s="2976"/>
      <c r="DF58" s="2976"/>
      <c r="DG58" s="2976"/>
      <c r="DH58" s="2976"/>
      <c r="DI58" s="2976"/>
      <c r="DJ58" s="2976"/>
      <c r="DK58" s="2976"/>
      <c r="DL58" s="2976"/>
    </row>
    <row r="59" spans="1:116" s="2981" customFormat="1" ht="27.75" customHeight="1">
      <c r="A59" s="2983">
        <v>12</v>
      </c>
      <c r="B59" s="2984" t="s">
        <v>3218</v>
      </c>
      <c r="C59" s="2983" t="s">
        <v>3162</v>
      </c>
      <c r="D59" s="2999">
        <v>2460</v>
      </c>
      <c r="E59" s="2986">
        <f t="shared" ref="E59:E65" si="1">D59*0.12</f>
        <v>295.2</v>
      </c>
      <c r="F59" s="2984" t="s">
        <v>3160</v>
      </c>
      <c r="G59" s="2988" t="s">
        <v>3163</v>
      </c>
      <c r="H59" s="2976"/>
      <c r="I59" s="2976"/>
      <c r="J59" s="2976"/>
      <c r="K59" s="2976"/>
      <c r="L59" s="2976"/>
      <c r="M59" s="2976"/>
      <c r="N59" s="2976"/>
      <c r="O59" s="2976"/>
      <c r="P59" s="2976"/>
      <c r="Q59" s="2976"/>
      <c r="R59" s="2976"/>
      <c r="S59" s="2976"/>
      <c r="T59" s="2976"/>
      <c r="U59" s="2976"/>
      <c r="V59" s="2976"/>
      <c r="W59" s="2976"/>
      <c r="X59" s="2976"/>
      <c r="Y59" s="2976"/>
      <c r="Z59" s="2976"/>
      <c r="AA59" s="2976"/>
      <c r="AB59" s="2976"/>
      <c r="AC59" s="2976"/>
      <c r="AD59" s="2976"/>
      <c r="AE59" s="2976"/>
      <c r="AF59" s="2976"/>
      <c r="AG59" s="2976"/>
      <c r="AH59" s="2976"/>
      <c r="AI59" s="2976"/>
      <c r="AJ59" s="2976"/>
      <c r="AK59" s="2976"/>
      <c r="AL59" s="2976"/>
      <c r="AM59" s="2976"/>
      <c r="AN59" s="2976"/>
      <c r="AO59" s="2976"/>
      <c r="AP59" s="2976"/>
      <c r="AQ59" s="2976"/>
      <c r="AR59" s="2976"/>
      <c r="AS59" s="2976"/>
      <c r="AT59" s="2976"/>
      <c r="AU59" s="2976"/>
      <c r="AV59" s="2976"/>
      <c r="AW59" s="2976"/>
      <c r="AX59" s="2976"/>
      <c r="AY59" s="2976"/>
      <c r="AZ59" s="2976"/>
      <c r="BA59" s="2976"/>
      <c r="BB59" s="2976"/>
      <c r="BC59" s="2976"/>
      <c r="BD59" s="2976"/>
      <c r="BE59" s="2976"/>
      <c r="BF59" s="2976"/>
      <c r="BG59" s="2976"/>
      <c r="BH59" s="2976"/>
      <c r="BI59" s="2976"/>
      <c r="BJ59" s="2976"/>
      <c r="BK59" s="2976"/>
      <c r="BL59" s="2976"/>
      <c r="BM59" s="2976"/>
      <c r="BN59" s="2976"/>
      <c r="BO59" s="2976"/>
      <c r="BP59" s="2976"/>
      <c r="BQ59" s="2976"/>
      <c r="BR59" s="2976"/>
      <c r="BS59" s="2976"/>
      <c r="BT59" s="2976"/>
      <c r="BU59" s="2976"/>
      <c r="BV59" s="2976"/>
      <c r="BW59" s="2976"/>
      <c r="BX59" s="2976"/>
      <c r="BY59" s="2976"/>
      <c r="BZ59" s="2976"/>
      <c r="CA59" s="2976"/>
      <c r="CB59" s="2976"/>
      <c r="CC59" s="2976"/>
      <c r="CD59" s="2976"/>
      <c r="CE59" s="2976"/>
      <c r="CF59" s="2976"/>
      <c r="CG59" s="2976"/>
      <c r="CH59" s="2976"/>
      <c r="CI59" s="2976"/>
      <c r="CJ59" s="2976"/>
      <c r="CK59" s="2976"/>
      <c r="CL59" s="2976"/>
      <c r="CM59" s="2976"/>
      <c r="CN59" s="2976"/>
      <c r="CO59" s="2976"/>
      <c r="CP59" s="2976"/>
      <c r="CQ59" s="2976"/>
      <c r="CR59" s="2976"/>
      <c r="CS59" s="2976"/>
      <c r="CT59" s="2976"/>
      <c r="CU59" s="2976"/>
      <c r="CV59" s="2976"/>
      <c r="CW59" s="2976"/>
      <c r="CX59" s="2976"/>
      <c r="CY59" s="2976"/>
      <c r="CZ59" s="2976"/>
      <c r="DA59" s="2976"/>
      <c r="DB59" s="2976"/>
      <c r="DC59" s="2976"/>
      <c r="DD59" s="2976"/>
      <c r="DE59" s="2976"/>
      <c r="DF59" s="2976"/>
      <c r="DG59" s="2976"/>
      <c r="DH59" s="2976"/>
      <c r="DI59" s="2976"/>
      <c r="DJ59" s="2976"/>
      <c r="DK59" s="2976"/>
      <c r="DL59" s="2976"/>
    </row>
    <row r="60" spans="1:116" s="2981" customFormat="1" ht="27.75" customHeight="1">
      <c r="A60" s="2983">
        <v>13</v>
      </c>
      <c r="B60" s="2984" t="s">
        <v>3219</v>
      </c>
      <c r="C60" s="2983" t="s">
        <v>3162</v>
      </c>
      <c r="D60" s="2986">
        <v>8060.37</v>
      </c>
      <c r="E60" s="2986">
        <f t="shared" si="1"/>
        <v>967.24439999999993</v>
      </c>
      <c r="F60" s="2984" t="s">
        <v>3160</v>
      </c>
      <c r="G60" s="2988" t="s">
        <v>3163</v>
      </c>
      <c r="H60" s="2976"/>
      <c r="I60" s="2976"/>
      <c r="J60" s="2976"/>
      <c r="K60" s="2976"/>
      <c r="L60" s="2976"/>
      <c r="M60" s="2976"/>
      <c r="N60" s="2976"/>
      <c r="O60" s="2976"/>
      <c r="P60" s="2976"/>
      <c r="Q60" s="2976"/>
      <c r="R60" s="2976"/>
      <c r="S60" s="2976"/>
      <c r="T60" s="2976"/>
      <c r="U60" s="2976"/>
      <c r="V60" s="2976"/>
      <c r="W60" s="2976"/>
      <c r="X60" s="2976"/>
      <c r="Y60" s="2976"/>
      <c r="Z60" s="2976"/>
      <c r="AA60" s="2976"/>
      <c r="AB60" s="2976"/>
      <c r="AC60" s="2976"/>
      <c r="AD60" s="2976"/>
      <c r="AE60" s="2976"/>
      <c r="AF60" s="2976"/>
      <c r="AG60" s="2976"/>
      <c r="AH60" s="2976"/>
      <c r="AI60" s="2976"/>
      <c r="AJ60" s="2976"/>
      <c r="AK60" s="2976"/>
      <c r="AL60" s="2976"/>
      <c r="AM60" s="2976"/>
      <c r="AN60" s="2976"/>
      <c r="AO60" s="2976"/>
      <c r="AP60" s="2976"/>
      <c r="AQ60" s="2976"/>
      <c r="AR60" s="2976"/>
      <c r="AS60" s="2976"/>
      <c r="AT60" s="2976"/>
      <c r="AU60" s="2976"/>
      <c r="AV60" s="2976"/>
      <c r="AW60" s="2976"/>
      <c r="AX60" s="2976"/>
      <c r="AY60" s="2976"/>
      <c r="AZ60" s="2976"/>
      <c r="BA60" s="2976"/>
      <c r="BB60" s="2976"/>
      <c r="BC60" s="2976"/>
      <c r="BD60" s="2976"/>
      <c r="BE60" s="2976"/>
      <c r="BF60" s="2976"/>
      <c r="BG60" s="2976"/>
      <c r="BH60" s="2976"/>
      <c r="BI60" s="2976"/>
      <c r="BJ60" s="2976"/>
      <c r="BK60" s="2976"/>
      <c r="BL60" s="2976"/>
      <c r="BM60" s="2976"/>
      <c r="BN60" s="2976"/>
      <c r="BO60" s="2976"/>
      <c r="BP60" s="2976"/>
      <c r="BQ60" s="2976"/>
      <c r="BR60" s="2976"/>
      <c r="BS60" s="2976"/>
      <c r="BT60" s="2976"/>
      <c r="BU60" s="2976"/>
      <c r="BV60" s="2976"/>
      <c r="BW60" s="2976"/>
      <c r="BX60" s="2976"/>
      <c r="BY60" s="2976"/>
      <c r="BZ60" s="2976"/>
      <c r="CA60" s="2976"/>
      <c r="CB60" s="2976"/>
      <c r="CC60" s="2976"/>
      <c r="CD60" s="2976"/>
      <c r="CE60" s="2976"/>
      <c r="CF60" s="2976"/>
      <c r="CG60" s="2976"/>
      <c r="CH60" s="2976"/>
      <c r="CI60" s="2976"/>
      <c r="CJ60" s="2976"/>
      <c r="CK60" s="2976"/>
      <c r="CL60" s="2976"/>
      <c r="CM60" s="2976"/>
      <c r="CN60" s="2976"/>
      <c r="CO60" s="2976"/>
      <c r="CP60" s="2976"/>
      <c r="CQ60" s="2976"/>
      <c r="CR60" s="2976"/>
      <c r="CS60" s="2976"/>
      <c r="CT60" s="2976"/>
      <c r="CU60" s="2976"/>
      <c r="CV60" s="2976"/>
      <c r="CW60" s="2976"/>
      <c r="CX60" s="2976"/>
      <c r="CY60" s="2976"/>
      <c r="CZ60" s="2976"/>
      <c r="DA60" s="2976"/>
      <c r="DB60" s="2976"/>
      <c r="DC60" s="2976"/>
      <c r="DD60" s="2976"/>
      <c r="DE60" s="2976"/>
      <c r="DF60" s="2976"/>
      <c r="DG60" s="2976"/>
      <c r="DH60" s="2976"/>
      <c r="DI60" s="2976"/>
      <c r="DJ60" s="2976"/>
      <c r="DK60" s="2976"/>
      <c r="DL60" s="2976"/>
    </row>
    <row r="61" spans="1:116" s="2981" customFormat="1" ht="27.75" customHeight="1">
      <c r="A61" s="2983">
        <v>14</v>
      </c>
      <c r="B61" s="2984" t="s">
        <v>3220</v>
      </c>
      <c r="C61" s="2983" t="s">
        <v>3162</v>
      </c>
      <c r="D61" s="2986">
        <v>262844.46000000002</v>
      </c>
      <c r="E61" s="2986">
        <f t="shared" si="1"/>
        <v>31541.335200000001</v>
      </c>
      <c r="F61" s="2984" t="s">
        <v>3160</v>
      </c>
      <c r="G61" s="2988" t="s">
        <v>3163</v>
      </c>
      <c r="H61" s="2976"/>
      <c r="I61" s="2976"/>
      <c r="J61" s="2976"/>
      <c r="K61" s="2976"/>
      <c r="L61" s="2976"/>
      <c r="M61" s="2976"/>
      <c r="N61" s="2976"/>
      <c r="O61" s="2976"/>
      <c r="P61" s="2976"/>
      <c r="Q61" s="2976"/>
      <c r="R61" s="2976"/>
      <c r="S61" s="2976"/>
      <c r="T61" s="2976"/>
      <c r="U61" s="2976"/>
      <c r="V61" s="2976"/>
      <c r="W61" s="2976"/>
      <c r="X61" s="2976"/>
      <c r="Y61" s="2976"/>
      <c r="Z61" s="2976"/>
      <c r="AA61" s="2976"/>
      <c r="AB61" s="2976"/>
      <c r="AC61" s="2976"/>
      <c r="AD61" s="2976"/>
      <c r="AE61" s="2976"/>
      <c r="AF61" s="2976"/>
      <c r="AG61" s="2976"/>
      <c r="AH61" s="2976"/>
      <c r="AI61" s="2976"/>
      <c r="AJ61" s="2976"/>
      <c r="AK61" s="2976"/>
      <c r="AL61" s="2976"/>
      <c r="AM61" s="2976"/>
      <c r="AN61" s="2976"/>
      <c r="AO61" s="2976"/>
      <c r="AP61" s="2976"/>
      <c r="AQ61" s="2976"/>
      <c r="AR61" s="2976"/>
      <c r="AS61" s="2976"/>
      <c r="AT61" s="2976"/>
      <c r="AU61" s="2976"/>
      <c r="AV61" s="2976"/>
      <c r="AW61" s="2976"/>
      <c r="AX61" s="2976"/>
      <c r="AY61" s="2976"/>
      <c r="AZ61" s="2976"/>
      <c r="BA61" s="2976"/>
      <c r="BB61" s="2976"/>
      <c r="BC61" s="2976"/>
      <c r="BD61" s="2976"/>
      <c r="BE61" s="2976"/>
      <c r="BF61" s="2976"/>
      <c r="BG61" s="2976"/>
      <c r="BH61" s="2976"/>
      <c r="BI61" s="2976"/>
      <c r="BJ61" s="2976"/>
      <c r="BK61" s="2976"/>
      <c r="BL61" s="2976"/>
      <c r="BM61" s="2976"/>
      <c r="BN61" s="2976"/>
      <c r="BO61" s="2976"/>
      <c r="BP61" s="2976"/>
      <c r="BQ61" s="2976"/>
      <c r="BR61" s="2976"/>
      <c r="BS61" s="2976"/>
      <c r="BT61" s="2976"/>
      <c r="BU61" s="2976"/>
      <c r="BV61" s="2976"/>
      <c r="BW61" s="2976"/>
      <c r="BX61" s="2976"/>
      <c r="BY61" s="2976"/>
      <c r="BZ61" s="2976"/>
      <c r="CA61" s="2976"/>
      <c r="CB61" s="2976"/>
      <c r="CC61" s="2976"/>
      <c r="CD61" s="2976"/>
      <c r="CE61" s="2976"/>
      <c r="CF61" s="2976"/>
      <c r="CG61" s="2976"/>
      <c r="CH61" s="2976"/>
      <c r="CI61" s="2976"/>
      <c r="CJ61" s="2976"/>
      <c r="CK61" s="2976"/>
      <c r="CL61" s="2976"/>
      <c r="CM61" s="2976"/>
      <c r="CN61" s="2976"/>
      <c r="CO61" s="2976"/>
      <c r="CP61" s="2976"/>
      <c r="CQ61" s="2976"/>
      <c r="CR61" s="2976"/>
      <c r="CS61" s="2976"/>
      <c r="CT61" s="2976"/>
      <c r="CU61" s="2976"/>
      <c r="CV61" s="2976"/>
      <c r="CW61" s="2976"/>
      <c r="CX61" s="2976"/>
      <c r="CY61" s="2976"/>
      <c r="CZ61" s="2976"/>
      <c r="DA61" s="2976"/>
      <c r="DB61" s="2976"/>
      <c r="DC61" s="2976"/>
      <c r="DD61" s="2976"/>
      <c r="DE61" s="2976"/>
      <c r="DF61" s="2976"/>
      <c r="DG61" s="2976"/>
      <c r="DH61" s="2976"/>
      <c r="DI61" s="2976"/>
      <c r="DJ61" s="2976"/>
      <c r="DK61" s="2976"/>
      <c r="DL61" s="2976"/>
    </row>
    <row r="62" spans="1:116" s="2981" customFormat="1" ht="27.75" customHeight="1">
      <c r="A62" s="2983">
        <v>15</v>
      </c>
      <c r="B62" s="2984" t="s">
        <v>3221</v>
      </c>
      <c r="C62" s="2983"/>
      <c r="D62" s="2990">
        <v>51833.45</v>
      </c>
      <c r="E62" s="2986">
        <f t="shared" si="1"/>
        <v>6220.0139999999992</v>
      </c>
      <c r="F62" s="2984" t="s">
        <v>3160</v>
      </c>
      <c r="G62" s="2988" t="s">
        <v>3163</v>
      </c>
      <c r="H62" s="2976"/>
      <c r="I62" s="2976"/>
      <c r="J62" s="2976"/>
      <c r="K62" s="2976"/>
      <c r="L62" s="2976"/>
      <c r="M62" s="2976"/>
      <c r="N62" s="2976"/>
      <c r="O62" s="2976"/>
      <c r="P62" s="2976"/>
      <c r="Q62" s="2976"/>
      <c r="R62" s="2976"/>
      <c r="S62" s="2976"/>
      <c r="T62" s="2976"/>
      <c r="U62" s="2976"/>
      <c r="V62" s="2976"/>
      <c r="W62" s="2976"/>
      <c r="X62" s="2976"/>
      <c r="Y62" s="2976"/>
      <c r="Z62" s="2976"/>
      <c r="AA62" s="2976"/>
      <c r="AB62" s="2976"/>
      <c r="AC62" s="2976"/>
      <c r="AD62" s="2976"/>
      <c r="AE62" s="2976"/>
      <c r="AF62" s="2976"/>
      <c r="AG62" s="2976"/>
      <c r="AH62" s="2976"/>
      <c r="AI62" s="2976"/>
      <c r="AJ62" s="2976"/>
      <c r="AK62" s="2976"/>
      <c r="AL62" s="2976"/>
      <c r="AM62" s="2976"/>
      <c r="AN62" s="2976"/>
      <c r="AO62" s="2976"/>
      <c r="AP62" s="2976"/>
      <c r="AQ62" s="2976"/>
      <c r="AR62" s="2976"/>
      <c r="AS62" s="2976"/>
      <c r="AT62" s="2976"/>
      <c r="AU62" s="2976"/>
      <c r="AV62" s="2976"/>
      <c r="AW62" s="2976"/>
      <c r="AX62" s="2976"/>
      <c r="AY62" s="2976"/>
      <c r="AZ62" s="2976"/>
      <c r="BA62" s="2976"/>
      <c r="BB62" s="2976"/>
      <c r="BC62" s="2976"/>
      <c r="BD62" s="2976"/>
      <c r="BE62" s="2976"/>
      <c r="BF62" s="2976"/>
      <c r="BG62" s="2976"/>
      <c r="BH62" s="2976"/>
      <c r="BI62" s="2976"/>
      <c r="BJ62" s="2976"/>
      <c r="BK62" s="2976"/>
      <c r="BL62" s="2976"/>
      <c r="BM62" s="2976"/>
      <c r="BN62" s="2976"/>
      <c r="BO62" s="2976"/>
      <c r="BP62" s="2976"/>
      <c r="BQ62" s="2976"/>
      <c r="BR62" s="2976"/>
      <c r="BS62" s="2976"/>
      <c r="BT62" s="2976"/>
      <c r="BU62" s="2976"/>
      <c r="BV62" s="2976"/>
      <c r="BW62" s="2976"/>
      <c r="BX62" s="2976"/>
      <c r="BY62" s="2976"/>
      <c r="BZ62" s="2976"/>
      <c r="CA62" s="2976"/>
      <c r="CB62" s="2976"/>
      <c r="CC62" s="2976"/>
      <c r="CD62" s="2976"/>
      <c r="CE62" s="2976"/>
      <c r="CF62" s="2976"/>
      <c r="CG62" s="2976"/>
      <c r="CH62" s="2976"/>
      <c r="CI62" s="2976"/>
      <c r="CJ62" s="2976"/>
      <c r="CK62" s="2976"/>
      <c r="CL62" s="2976"/>
      <c r="CM62" s="2976"/>
      <c r="CN62" s="2976"/>
      <c r="CO62" s="2976"/>
      <c r="CP62" s="2976"/>
      <c r="CQ62" s="2976"/>
      <c r="CR62" s="2976"/>
      <c r="CS62" s="2976"/>
      <c r="CT62" s="2976"/>
      <c r="CU62" s="2976"/>
      <c r="CV62" s="2976"/>
      <c r="CW62" s="2976"/>
      <c r="CX62" s="2976"/>
      <c r="CY62" s="2976"/>
      <c r="CZ62" s="2976"/>
      <c r="DA62" s="2976"/>
      <c r="DB62" s="2976"/>
      <c r="DC62" s="2976"/>
      <c r="DD62" s="2976"/>
      <c r="DE62" s="2976"/>
      <c r="DF62" s="2976"/>
      <c r="DG62" s="2976"/>
      <c r="DH62" s="2976"/>
      <c r="DI62" s="2976"/>
      <c r="DJ62" s="2976"/>
      <c r="DK62" s="2976"/>
      <c r="DL62" s="2976"/>
    </row>
    <row r="63" spans="1:116" s="2981" customFormat="1" ht="27.75" customHeight="1">
      <c r="A63" s="2983">
        <v>16</v>
      </c>
      <c r="B63" s="2984" t="s">
        <v>3222</v>
      </c>
      <c r="C63" s="2983" t="s">
        <v>3162</v>
      </c>
      <c r="D63" s="2986">
        <v>6367.82</v>
      </c>
      <c r="E63" s="2986">
        <f t="shared" si="1"/>
        <v>764.13839999999993</v>
      </c>
      <c r="F63" s="2984" t="s">
        <v>3160</v>
      </c>
      <c r="G63" s="2988" t="s">
        <v>3163</v>
      </c>
      <c r="H63" s="2976"/>
      <c r="I63" s="2976"/>
      <c r="J63" s="2976"/>
      <c r="K63" s="2976"/>
      <c r="L63" s="2976"/>
      <c r="M63" s="2976"/>
      <c r="N63" s="2976"/>
      <c r="O63" s="2976"/>
      <c r="P63" s="2976"/>
      <c r="Q63" s="2976"/>
      <c r="R63" s="2976"/>
      <c r="S63" s="2976"/>
      <c r="T63" s="2976"/>
      <c r="U63" s="2976"/>
      <c r="V63" s="2976"/>
      <c r="W63" s="2976"/>
      <c r="X63" s="2976"/>
      <c r="Y63" s="2976"/>
      <c r="Z63" s="2976"/>
      <c r="AA63" s="2976"/>
      <c r="AB63" s="2976"/>
      <c r="AC63" s="2976"/>
      <c r="AD63" s="2976"/>
      <c r="AE63" s="2976"/>
      <c r="AF63" s="2976"/>
      <c r="AG63" s="2976"/>
      <c r="AH63" s="2976"/>
      <c r="AI63" s="2976"/>
      <c r="AJ63" s="2976"/>
      <c r="AK63" s="2976"/>
      <c r="AL63" s="2976"/>
      <c r="AM63" s="2976"/>
      <c r="AN63" s="2976"/>
      <c r="AO63" s="2976"/>
      <c r="AP63" s="2976"/>
      <c r="AQ63" s="2976"/>
      <c r="AR63" s="2976"/>
      <c r="AS63" s="2976"/>
      <c r="AT63" s="2976"/>
      <c r="AU63" s="2976"/>
      <c r="AV63" s="2976"/>
      <c r="AW63" s="2976"/>
      <c r="AX63" s="2976"/>
      <c r="AY63" s="2976"/>
      <c r="AZ63" s="2976"/>
      <c r="BA63" s="2976"/>
      <c r="BB63" s="2976"/>
      <c r="BC63" s="2976"/>
      <c r="BD63" s="2976"/>
      <c r="BE63" s="2976"/>
      <c r="BF63" s="2976"/>
      <c r="BG63" s="2976"/>
      <c r="BH63" s="2976"/>
      <c r="BI63" s="2976"/>
      <c r="BJ63" s="2976"/>
      <c r="BK63" s="2976"/>
      <c r="BL63" s="2976"/>
      <c r="BM63" s="2976"/>
      <c r="BN63" s="2976"/>
      <c r="BO63" s="2976"/>
      <c r="BP63" s="2976"/>
      <c r="BQ63" s="2976"/>
      <c r="BR63" s="2976"/>
      <c r="BS63" s="2976"/>
      <c r="BT63" s="2976"/>
      <c r="BU63" s="2976"/>
      <c r="BV63" s="2976"/>
      <c r="BW63" s="2976"/>
      <c r="BX63" s="2976"/>
      <c r="BY63" s="2976"/>
      <c r="BZ63" s="2976"/>
      <c r="CA63" s="2976"/>
      <c r="CB63" s="2976"/>
      <c r="CC63" s="2976"/>
      <c r="CD63" s="2976"/>
      <c r="CE63" s="2976"/>
      <c r="CF63" s="2976"/>
      <c r="CG63" s="2976"/>
      <c r="CH63" s="2976"/>
      <c r="CI63" s="2976"/>
      <c r="CJ63" s="2976"/>
      <c r="CK63" s="2976"/>
      <c r="CL63" s="2976"/>
      <c r="CM63" s="2976"/>
      <c r="CN63" s="2976"/>
      <c r="CO63" s="2976"/>
      <c r="CP63" s="2976"/>
      <c r="CQ63" s="2976"/>
      <c r="CR63" s="2976"/>
      <c r="CS63" s="2976"/>
      <c r="CT63" s="2976"/>
      <c r="CU63" s="2976"/>
      <c r="CV63" s="2976"/>
      <c r="CW63" s="2976"/>
      <c r="CX63" s="2976"/>
      <c r="CY63" s="2976"/>
      <c r="CZ63" s="2976"/>
      <c r="DA63" s="2976"/>
      <c r="DB63" s="2976"/>
      <c r="DC63" s="2976"/>
      <c r="DD63" s="2976"/>
      <c r="DE63" s="2976"/>
      <c r="DF63" s="2976"/>
      <c r="DG63" s="2976"/>
      <c r="DH63" s="2976"/>
      <c r="DI63" s="2976"/>
      <c r="DJ63" s="2976"/>
      <c r="DK63" s="2976"/>
      <c r="DL63" s="2976"/>
    </row>
    <row r="64" spans="1:116" s="2981" customFormat="1" ht="27.75" customHeight="1">
      <c r="A64" s="2983">
        <v>17</v>
      </c>
      <c r="B64" s="2984" t="s">
        <v>3223</v>
      </c>
      <c r="C64" s="2983" t="s">
        <v>3162</v>
      </c>
      <c r="D64" s="2986">
        <v>68378.06</v>
      </c>
      <c r="E64" s="2986">
        <f t="shared" si="1"/>
        <v>8205.3671999999988</v>
      </c>
      <c r="F64" s="2984" t="s">
        <v>3160</v>
      </c>
      <c r="G64" s="2988" t="s">
        <v>3163</v>
      </c>
      <c r="H64" s="2976"/>
      <c r="I64" s="2976"/>
      <c r="J64" s="2976"/>
      <c r="K64" s="2976"/>
      <c r="L64" s="2976"/>
      <c r="M64" s="2976"/>
      <c r="N64" s="2976"/>
      <c r="O64" s="2976"/>
      <c r="P64" s="2976"/>
      <c r="Q64" s="2976"/>
      <c r="R64" s="2976"/>
      <c r="S64" s="2976"/>
      <c r="T64" s="2976"/>
      <c r="U64" s="2976"/>
      <c r="V64" s="2976"/>
      <c r="W64" s="2976"/>
      <c r="X64" s="2976"/>
      <c r="Y64" s="2976"/>
      <c r="Z64" s="2976"/>
      <c r="AA64" s="2976"/>
      <c r="AB64" s="2976"/>
      <c r="AC64" s="2976"/>
      <c r="AD64" s="2976"/>
      <c r="AE64" s="2976"/>
      <c r="AF64" s="2976"/>
      <c r="AG64" s="2976"/>
      <c r="AH64" s="2976"/>
      <c r="AI64" s="2976"/>
      <c r="AJ64" s="2976"/>
      <c r="AK64" s="2976"/>
      <c r="AL64" s="2976"/>
      <c r="AM64" s="2976"/>
      <c r="AN64" s="2976"/>
      <c r="AO64" s="2976"/>
      <c r="AP64" s="2976"/>
      <c r="AQ64" s="2976"/>
      <c r="AR64" s="2976"/>
      <c r="AS64" s="2976"/>
      <c r="AT64" s="2976"/>
      <c r="AU64" s="2976"/>
      <c r="AV64" s="2976"/>
      <c r="AW64" s="2976"/>
      <c r="AX64" s="2976"/>
      <c r="AY64" s="2976"/>
      <c r="AZ64" s="2976"/>
      <c r="BA64" s="2976"/>
      <c r="BB64" s="2976"/>
      <c r="BC64" s="2976"/>
      <c r="BD64" s="2976"/>
      <c r="BE64" s="2976"/>
      <c r="BF64" s="2976"/>
      <c r="BG64" s="2976"/>
      <c r="BH64" s="2976"/>
      <c r="BI64" s="2976"/>
      <c r="BJ64" s="2976"/>
      <c r="BK64" s="2976"/>
      <c r="BL64" s="2976"/>
      <c r="BM64" s="2976"/>
      <c r="BN64" s="2976"/>
      <c r="BO64" s="2976"/>
      <c r="BP64" s="2976"/>
      <c r="BQ64" s="2976"/>
      <c r="BR64" s="2976"/>
      <c r="BS64" s="2976"/>
      <c r="BT64" s="2976"/>
      <c r="BU64" s="2976"/>
      <c r="BV64" s="2976"/>
      <c r="BW64" s="2976"/>
      <c r="BX64" s="2976"/>
      <c r="BY64" s="2976"/>
      <c r="BZ64" s="2976"/>
      <c r="CA64" s="2976"/>
      <c r="CB64" s="2976"/>
      <c r="CC64" s="2976"/>
      <c r="CD64" s="2976"/>
      <c r="CE64" s="2976"/>
      <c r="CF64" s="2976"/>
      <c r="CG64" s="2976"/>
      <c r="CH64" s="2976"/>
      <c r="CI64" s="2976"/>
      <c r="CJ64" s="2976"/>
      <c r="CK64" s="2976"/>
      <c r="CL64" s="2976"/>
      <c r="CM64" s="2976"/>
      <c r="CN64" s="2976"/>
      <c r="CO64" s="2976"/>
      <c r="CP64" s="2976"/>
      <c r="CQ64" s="2976"/>
      <c r="CR64" s="2976"/>
      <c r="CS64" s="2976"/>
      <c r="CT64" s="2976"/>
      <c r="CU64" s="2976"/>
      <c r="CV64" s="2976"/>
      <c r="CW64" s="2976"/>
      <c r="CX64" s="2976"/>
      <c r="CY64" s="2976"/>
      <c r="CZ64" s="2976"/>
      <c r="DA64" s="2976"/>
      <c r="DB64" s="2976"/>
      <c r="DC64" s="2976"/>
      <c r="DD64" s="2976"/>
      <c r="DE64" s="2976"/>
      <c r="DF64" s="2976"/>
      <c r="DG64" s="2976"/>
      <c r="DH64" s="2976"/>
      <c r="DI64" s="2976"/>
      <c r="DJ64" s="2976"/>
      <c r="DK64" s="2976"/>
      <c r="DL64" s="2976"/>
    </row>
    <row r="65" spans="1:116" s="2981" customFormat="1" ht="28.5" customHeight="1">
      <c r="A65" s="2993"/>
      <c r="B65" s="2998" t="s">
        <v>40</v>
      </c>
      <c r="C65" s="2998"/>
      <c r="D65" s="2997">
        <f>SUM(D48:D64)</f>
        <v>768124.96</v>
      </c>
      <c r="E65" s="2986">
        <f t="shared" si="1"/>
        <v>92174.99519999999</v>
      </c>
      <c r="F65" s="2996"/>
      <c r="G65" s="2988"/>
      <c r="H65" s="2976"/>
      <c r="I65" s="2976"/>
      <c r="J65" s="2976"/>
      <c r="K65" s="2976"/>
      <c r="L65" s="2976"/>
      <c r="M65" s="2976"/>
      <c r="N65" s="2976"/>
      <c r="O65" s="2976"/>
      <c r="P65" s="2976"/>
      <c r="Q65" s="2976"/>
      <c r="R65" s="2976"/>
      <c r="S65" s="2976"/>
      <c r="T65" s="2976"/>
      <c r="U65" s="2976"/>
      <c r="V65" s="2976"/>
      <c r="W65" s="2976"/>
      <c r="X65" s="2976"/>
      <c r="Y65" s="2976"/>
      <c r="Z65" s="2976"/>
      <c r="AA65" s="2976"/>
      <c r="AB65" s="2976"/>
      <c r="AC65" s="2976"/>
      <c r="AD65" s="2976"/>
      <c r="AE65" s="2976"/>
      <c r="AF65" s="2976"/>
      <c r="AG65" s="2976"/>
      <c r="AH65" s="2976"/>
      <c r="AI65" s="2976"/>
      <c r="AJ65" s="2976"/>
      <c r="AK65" s="2976"/>
      <c r="AL65" s="2976"/>
      <c r="AM65" s="2976"/>
      <c r="AN65" s="2976"/>
      <c r="AO65" s="2976"/>
      <c r="AP65" s="2976"/>
      <c r="AQ65" s="2976"/>
      <c r="AR65" s="2976"/>
      <c r="AS65" s="2976"/>
      <c r="AT65" s="2976"/>
      <c r="AU65" s="2976"/>
      <c r="AV65" s="2976"/>
      <c r="AW65" s="2976"/>
      <c r="AX65" s="2976"/>
      <c r="AY65" s="2976"/>
      <c r="AZ65" s="2976"/>
      <c r="BA65" s="2976"/>
      <c r="BB65" s="2976"/>
      <c r="BC65" s="2976"/>
      <c r="BD65" s="2976"/>
      <c r="BE65" s="2976"/>
      <c r="BF65" s="2976"/>
      <c r="BG65" s="2976"/>
      <c r="BH65" s="2976"/>
      <c r="BI65" s="2976"/>
      <c r="BJ65" s="2976"/>
      <c r="BK65" s="2976"/>
      <c r="BL65" s="2976"/>
      <c r="BM65" s="2976"/>
      <c r="BN65" s="2976"/>
      <c r="BO65" s="2976"/>
      <c r="BP65" s="2976"/>
      <c r="BQ65" s="2976"/>
      <c r="BR65" s="2976"/>
      <c r="BS65" s="2976"/>
      <c r="BT65" s="2976"/>
      <c r="BU65" s="2976"/>
      <c r="BV65" s="2976"/>
      <c r="BW65" s="2976"/>
      <c r="BX65" s="2976"/>
      <c r="BY65" s="2976"/>
      <c r="BZ65" s="2976"/>
      <c r="CA65" s="2976"/>
      <c r="CB65" s="2976"/>
      <c r="CC65" s="2976"/>
      <c r="CD65" s="2976"/>
      <c r="CE65" s="2976"/>
      <c r="CF65" s="2976"/>
      <c r="CG65" s="2976"/>
      <c r="CH65" s="2976"/>
      <c r="CI65" s="2976"/>
      <c r="CJ65" s="2976"/>
      <c r="CK65" s="2976"/>
      <c r="CL65" s="2976"/>
      <c r="CM65" s="2976"/>
      <c r="CN65" s="2976"/>
      <c r="CO65" s="2976"/>
      <c r="CP65" s="2976"/>
      <c r="CQ65" s="2976"/>
      <c r="CR65" s="2976"/>
      <c r="CS65" s="2976"/>
      <c r="CT65" s="2976"/>
      <c r="CU65" s="2976"/>
      <c r="CV65" s="2976"/>
      <c r="CW65" s="2976"/>
      <c r="CX65" s="2976"/>
      <c r="CY65" s="2976"/>
      <c r="CZ65" s="2976"/>
      <c r="DA65" s="2976"/>
      <c r="DB65" s="2976"/>
      <c r="DC65" s="2976"/>
      <c r="DD65" s="2976"/>
      <c r="DE65" s="2976"/>
      <c r="DF65" s="2976"/>
      <c r="DG65" s="2976"/>
      <c r="DH65" s="2976"/>
      <c r="DI65" s="2976"/>
      <c r="DJ65" s="2976"/>
      <c r="DK65" s="2976"/>
      <c r="DL65" s="2976"/>
    </row>
    <row r="66" spans="1:116" s="2981" customFormat="1" ht="27" customHeight="1">
      <c r="A66" s="2998"/>
      <c r="B66" s="3000" t="s">
        <v>37</v>
      </c>
      <c r="C66" s="3000"/>
      <c r="D66" s="3001">
        <f>D40+D46+D65</f>
        <v>3115019.1290000007</v>
      </c>
      <c r="E66" s="3001">
        <f>E40+E46+E65</f>
        <v>371799.20475999999</v>
      </c>
      <c r="F66" s="3002"/>
      <c r="G66" s="3003"/>
      <c r="H66" s="2976"/>
      <c r="I66" s="2976"/>
      <c r="J66" s="2976"/>
      <c r="K66" s="2976"/>
      <c r="L66" s="2976"/>
      <c r="M66" s="2976"/>
      <c r="N66" s="2976"/>
      <c r="O66" s="2976"/>
      <c r="P66" s="2976"/>
      <c r="Q66" s="2976"/>
      <c r="R66" s="2976"/>
      <c r="S66" s="2976"/>
      <c r="T66" s="2976"/>
      <c r="U66" s="2976"/>
      <c r="V66" s="2976"/>
      <c r="W66" s="2976"/>
      <c r="X66" s="2976"/>
      <c r="Y66" s="2976"/>
      <c r="Z66" s="2976"/>
      <c r="AA66" s="2976"/>
      <c r="AB66" s="2976"/>
      <c r="AC66" s="2976"/>
      <c r="AD66" s="2976"/>
      <c r="AE66" s="2976"/>
      <c r="AF66" s="2976"/>
      <c r="AG66" s="2976"/>
      <c r="AH66" s="2976"/>
      <c r="AI66" s="2976"/>
      <c r="AJ66" s="2976"/>
      <c r="AK66" s="2976"/>
      <c r="AL66" s="2976"/>
      <c r="AM66" s="2976"/>
      <c r="AN66" s="2976"/>
      <c r="AO66" s="2976"/>
      <c r="AP66" s="2976"/>
      <c r="AQ66" s="2976"/>
      <c r="AR66" s="2976"/>
      <c r="AS66" s="2976"/>
      <c r="AT66" s="2976"/>
      <c r="AU66" s="2976"/>
      <c r="AV66" s="2976"/>
      <c r="AW66" s="2976"/>
      <c r="AX66" s="2976"/>
      <c r="AY66" s="2976"/>
      <c r="AZ66" s="2976"/>
      <c r="BA66" s="2976"/>
      <c r="BB66" s="2976"/>
      <c r="BC66" s="2976"/>
      <c r="BD66" s="2976"/>
      <c r="BE66" s="2976"/>
      <c r="BF66" s="2976"/>
      <c r="BG66" s="2976"/>
      <c r="BH66" s="2976"/>
      <c r="BI66" s="2976"/>
      <c r="BJ66" s="2976"/>
      <c r="BK66" s="2976"/>
      <c r="BL66" s="2976"/>
      <c r="BM66" s="2976"/>
      <c r="BN66" s="2976"/>
      <c r="BO66" s="2976"/>
      <c r="BP66" s="2976"/>
      <c r="BQ66" s="2976"/>
      <c r="BR66" s="2976"/>
      <c r="BS66" s="2976"/>
      <c r="BT66" s="2976"/>
      <c r="BU66" s="2976"/>
      <c r="BV66" s="2976"/>
      <c r="BW66" s="2976"/>
      <c r="BX66" s="2976"/>
      <c r="BY66" s="2976"/>
      <c r="BZ66" s="2976"/>
      <c r="CA66" s="2976"/>
      <c r="CB66" s="2976"/>
      <c r="CC66" s="2976"/>
      <c r="CD66" s="2976"/>
      <c r="CE66" s="2976"/>
      <c r="CF66" s="2976"/>
      <c r="CG66" s="2976"/>
      <c r="CH66" s="2976"/>
      <c r="CI66" s="2976"/>
      <c r="CJ66" s="2976"/>
      <c r="CK66" s="2976"/>
      <c r="CL66" s="2976"/>
      <c r="CM66" s="2976"/>
      <c r="CN66" s="2976"/>
      <c r="CO66" s="2976"/>
      <c r="CP66" s="2976"/>
      <c r="CQ66" s="2976"/>
      <c r="CR66" s="2976"/>
      <c r="CS66" s="2976"/>
      <c r="CT66" s="2976"/>
      <c r="CU66" s="2976"/>
      <c r="CV66" s="2976"/>
      <c r="CW66" s="2976"/>
      <c r="CX66" s="2976"/>
      <c r="CY66" s="2976"/>
      <c r="CZ66" s="2976"/>
      <c r="DA66" s="2976"/>
      <c r="DB66" s="2976"/>
      <c r="DC66" s="2976"/>
      <c r="DD66" s="2976"/>
      <c r="DE66" s="2976"/>
      <c r="DF66" s="2976"/>
      <c r="DG66" s="2976"/>
      <c r="DH66" s="2976"/>
      <c r="DI66" s="2976"/>
      <c r="DJ66" s="2976"/>
      <c r="DK66" s="2976"/>
      <c r="DL66" s="2976"/>
    </row>
    <row r="67" spans="1:116" ht="39.950000000000003" customHeight="1">
      <c r="A67" s="3004"/>
      <c r="B67" s="3005"/>
      <c r="C67" s="3005"/>
      <c r="D67" s="3004"/>
      <c r="E67" s="3004"/>
    </row>
    <row r="68" spans="1:116" ht="39.950000000000003" customHeight="1">
      <c r="A68" s="3004"/>
      <c r="B68" s="3005"/>
      <c r="C68" s="3005"/>
      <c r="D68" s="3004"/>
      <c r="E68" s="3004"/>
    </row>
    <row r="69" spans="1:116" ht="39.950000000000003" customHeight="1">
      <c r="A69" s="3004"/>
      <c r="B69" s="3005"/>
      <c r="C69" s="3005"/>
      <c r="D69" s="3004"/>
      <c r="E69" s="3004"/>
    </row>
    <row r="70" spans="1:116" ht="39.950000000000003" customHeight="1">
      <c r="A70" s="3004"/>
      <c r="B70" s="3005"/>
      <c r="C70" s="3005"/>
      <c r="D70" s="3004"/>
      <c r="E70" s="3004"/>
    </row>
    <row r="71" spans="1:116" ht="39.950000000000003" customHeight="1">
      <c r="B71" s="3004"/>
      <c r="C71" s="3004"/>
      <c r="D71" s="3005"/>
      <c r="E71" s="3005"/>
      <c r="F71" s="3004"/>
    </row>
    <row r="72" spans="1:116" ht="39.950000000000003" customHeight="1">
      <c r="B72" s="3004"/>
      <c r="C72" s="3004"/>
      <c r="D72" s="3005"/>
      <c r="E72" s="3005"/>
      <c r="F72" s="3004"/>
    </row>
    <row r="73" spans="1:116" ht="39.950000000000003" customHeight="1">
      <c r="B73" s="3004"/>
      <c r="C73" s="3004"/>
      <c r="D73" s="3005"/>
      <c r="E73" s="3005"/>
      <c r="F73" s="3004"/>
    </row>
    <row r="74" spans="1:116" ht="39.950000000000003" customHeight="1">
      <c r="B74" s="3004"/>
      <c r="C74" s="3004"/>
      <c r="D74" s="3005"/>
      <c r="E74" s="3005"/>
      <c r="F74" s="3004"/>
    </row>
    <row r="75" spans="1:116" ht="39.950000000000003" customHeight="1">
      <c r="B75" s="3004"/>
      <c r="C75" s="3004"/>
      <c r="D75" s="3005"/>
      <c r="E75" s="3005"/>
      <c r="F75" s="3004"/>
    </row>
    <row r="76" spans="1:116" ht="39.950000000000003" customHeight="1">
      <c r="B76" s="3004"/>
      <c r="C76" s="3004"/>
      <c r="D76" s="3005"/>
      <c r="E76" s="3005"/>
      <c r="F76" s="3004"/>
    </row>
    <row r="77" spans="1:116" ht="39.950000000000003" customHeight="1">
      <c r="B77" s="3004"/>
      <c r="C77" s="3004"/>
      <c r="D77" s="3005"/>
      <c r="E77" s="3005"/>
      <c r="F77" s="3004"/>
    </row>
    <row r="78" spans="1:116" ht="39.950000000000003" customHeight="1">
      <c r="B78" s="3004"/>
      <c r="C78" s="3004"/>
      <c r="D78" s="3005"/>
      <c r="E78" s="3005"/>
      <c r="F78" s="3004"/>
    </row>
    <row r="79" spans="1:116" ht="39.950000000000003" customHeight="1">
      <c r="B79" s="3004"/>
      <c r="C79" s="3004"/>
      <c r="D79" s="3005"/>
      <c r="E79" s="3005"/>
      <c r="F79" s="3004"/>
    </row>
    <row r="80" spans="1:116" ht="39.950000000000003" customHeight="1">
      <c r="B80" s="3004"/>
      <c r="C80" s="3004"/>
      <c r="D80" s="3005"/>
      <c r="E80" s="3005"/>
      <c r="F80" s="3004"/>
    </row>
    <row r="81" spans="2:6" ht="39.950000000000003" customHeight="1">
      <c r="B81" s="3004"/>
      <c r="C81" s="3004"/>
      <c r="D81" s="3005"/>
      <c r="E81" s="3005"/>
      <c r="F81" s="3004"/>
    </row>
    <row r="82" spans="2:6" ht="39.950000000000003" customHeight="1">
      <c r="B82" s="3004"/>
      <c r="C82" s="3004"/>
      <c r="D82" s="3005"/>
      <c r="E82" s="3005"/>
      <c r="F82" s="3004"/>
    </row>
    <row r="83" spans="2:6" ht="39.950000000000003" customHeight="1">
      <c r="B83" s="3004"/>
      <c r="C83" s="3004"/>
      <c r="D83" s="3005"/>
      <c r="E83" s="3005"/>
      <c r="F83" s="3004"/>
    </row>
    <row r="84" spans="2:6" ht="39.950000000000003" customHeight="1">
      <c r="B84" s="3004"/>
      <c r="C84" s="3004"/>
      <c r="D84" s="3005"/>
      <c r="E84" s="3005"/>
      <c r="F84" s="3004"/>
    </row>
    <row r="85" spans="2:6" ht="39.950000000000003" customHeight="1">
      <c r="B85" s="3004"/>
      <c r="C85" s="3004"/>
      <c r="D85" s="3005"/>
      <c r="E85" s="3005"/>
      <c r="F85" s="3004"/>
    </row>
    <row r="86" spans="2:6" ht="39.950000000000003" customHeight="1">
      <c r="B86" s="3004"/>
      <c r="C86" s="3004"/>
      <c r="D86" s="3005"/>
      <c r="E86" s="3005"/>
      <c r="F86" s="3004"/>
    </row>
    <row r="87" spans="2:6" ht="39.950000000000003" customHeight="1">
      <c r="B87" s="3004"/>
      <c r="C87" s="3004"/>
      <c r="D87" s="3005"/>
      <c r="E87" s="3005"/>
      <c r="F87" s="3004"/>
    </row>
    <row r="88" spans="2:6" ht="39.950000000000003" customHeight="1">
      <c r="B88" s="3004"/>
      <c r="C88" s="3004"/>
      <c r="D88" s="3005"/>
      <c r="E88" s="3005"/>
      <c r="F88" s="3004"/>
    </row>
    <row r="89" spans="2:6" ht="39.950000000000003" customHeight="1">
      <c r="B89" s="3004"/>
      <c r="C89" s="3004"/>
      <c r="D89" s="3005"/>
      <c r="E89" s="3005"/>
      <c r="F89" s="3004"/>
    </row>
    <row r="90" spans="2:6" ht="39.950000000000003" customHeight="1">
      <c r="B90" s="3004"/>
      <c r="C90" s="3004"/>
      <c r="D90" s="3005"/>
      <c r="E90" s="3005"/>
      <c r="F90" s="3004"/>
    </row>
    <row r="91" spans="2:6" ht="39.950000000000003" customHeight="1">
      <c r="B91" s="3004"/>
      <c r="C91" s="3004"/>
      <c r="D91" s="3005"/>
      <c r="E91" s="3005"/>
    </row>
    <row r="92" spans="2:6" ht="39.950000000000003" customHeight="1">
      <c r="B92" s="3004"/>
      <c r="C92" s="3004"/>
      <c r="D92" s="3005"/>
      <c r="E92" s="3005"/>
    </row>
    <row r="93" spans="2:6" ht="39.950000000000003" customHeight="1">
      <c r="B93" s="3004"/>
      <c r="C93" s="3004"/>
      <c r="D93" s="3005"/>
      <c r="E93" s="3005"/>
    </row>
    <row r="94" spans="2:6" ht="39.950000000000003" customHeight="1">
      <c r="B94" s="3004"/>
      <c r="C94" s="3004"/>
      <c r="D94" s="3005"/>
      <c r="E94" s="3005"/>
    </row>
    <row r="95" spans="2:6" ht="39.950000000000003" customHeight="1">
      <c r="B95" s="3004"/>
      <c r="C95" s="3004"/>
      <c r="D95" s="3005"/>
      <c r="E95" s="3005"/>
    </row>
    <row r="96" spans="2:6" ht="39.950000000000003" customHeight="1">
      <c r="B96" s="3004"/>
      <c r="C96" s="3004"/>
      <c r="D96" s="3005"/>
      <c r="E96" s="3005"/>
    </row>
    <row r="97" spans="2:5" ht="39.950000000000003" customHeight="1">
      <c r="B97" s="3004"/>
      <c r="C97" s="3004"/>
      <c r="D97" s="3005"/>
      <c r="E97" s="3005"/>
    </row>
    <row r="98" spans="2:5" ht="39.950000000000003" customHeight="1">
      <c r="B98" s="3004"/>
      <c r="C98" s="3004"/>
      <c r="D98" s="3005"/>
      <c r="E98" s="3005"/>
    </row>
    <row r="99" spans="2:5" ht="39.950000000000003" customHeight="1">
      <c r="B99" s="3004"/>
      <c r="C99" s="3004"/>
      <c r="D99" s="3005"/>
      <c r="E99" s="3005"/>
    </row>
    <row r="100" spans="2:5" ht="39.950000000000003" customHeight="1">
      <c r="B100" s="3004"/>
      <c r="C100" s="3004"/>
      <c r="D100" s="3005"/>
      <c r="E100" s="3005"/>
    </row>
    <row r="101" spans="2:5" ht="39.950000000000003" customHeight="1">
      <c r="B101" s="3004"/>
      <c r="C101" s="3004"/>
      <c r="D101" s="3005"/>
      <c r="E101" s="3005"/>
    </row>
    <row r="102" spans="2:5" ht="39.950000000000003" customHeight="1">
      <c r="B102" s="3004"/>
      <c r="C102" s="3004"/>
      <c r="D102" s="3005"/>
      <c r="E102" s="3005"/>
    </row>
    <row r="103" spans="2:5" ht="39.950000000000003" customHeight="1">
      <c r="B103" s="3004"/>
      <c r="C103" s="3004"/>
      <c r="D103" s="3005"/>
      <c r="E103" s="3005"/>
    </row>
    <row r="104" spans="2:5" ht="39.950000000000003" customHeight="1">
      <c r="B104" s="3004"/>
      <c r="C104" s="3004"/>
      <c r="D104" s="3005"/>
      <c r="E104" s="3005"/>
    </row>
    <row r="105" spans="2:5" ht="39.950000000000003" customHeight="1">
      <c r="B105" s="3004"/>
      <c r="C105" s="3004"/>
      <c r="D105" s="3005"/>
      <c r="E105" s="3005"/>
    </row>
    <row r="106" spans="2:5" ht="39.950000000000003" customHeight="1">
      <c r="B106" s="3004"/>
      <c r="C106" s="3004"/>
      <c r="D106" s="3005"/>
      <c r="E106" s="3005"/>
    </row>
    <row r="107" spans="2:5" ht="39.950000000000003" customHeight="1">
      <c r="B107" s="3004"/>
      <c r="C107" s="3004"/>
      <c r="D107" s="3005"/>
      <c r="E107" s="3005"/>
    </row>
    <row r="108" spans="2:5" ht="39.950000000000003" customHeight="1">
      <c r="B108" s="3004"/>
      <c r="C108" s="3004"/>
      <c r="D108" s="3005"/>
      <c r="E108" s="3005"/>
    </row>
    <row r="109" spans="2:5" ht="39.950000000000003" customHeight="1">
      <c r="B109" s="3004"/>
      <c r="C109" s="3004"/>
      <c r="D109" s="3005"/>
      <c r="E109" s="3005"/>
    </row>
    <row r="110" spans="2:5" ht="39.950000000000003" customHeight="1">
      <c r="B110" s="3004"/>
      <c r="C110" s="3004"/>
      <c r="D110" s="3005"/>
      <c r="E110" s="3005"/>
    </row>
    <row r="111" spans="2:5" ht="39.950000000000003" customHeight="1">
      <c r="B111" s="3004"/>
      <c r="C111" s="3004"/>
      <c r="D111" s="3005"/>
      <c r="E111" s="3005"/>
    </row>
    <row r="112" spans="2:5" ht="39.950000000000003" customHeight="1">
      <c r="B112" s="3004"/>
      <c r="C112" s="3004"/>
      <c r="D112" s="3005"/>
      <c r="E112" s="3005"/>
    </row>
    <row r="113" spans="2:5" ht="39.950000000000003" customHeight="1">
      <c r="B113" s="3004"/>
      <c r="C113" s="3004"/>
      <c r="D113" s="3005"/>
      <c r="E113" s="3005"/>
    </row>
    <row r="114" spans="2:5" ht="39.950000000000003" customHeight="1">
      <c r="B114" s="3004"/>
      <c r="C114" s="3004"/>
      <c r="D114" s="3005"/>
      <c r="E114" s="3005"/>
    </row>
    <row r="115" spans="2:5" ht="39.950000000000003" customHeight="1">
      <c r="B115" s="3004"/>
      <c r="C115" s="3004"/>
      <c r="D115" s="3005"/>
      <c r="E115" s="3005"/>
    </row>
    <row r="116" spans="2:5" ht="39.950000000000003" customHeight="1">
      <c r="B116" s="3004"/>
      <c r="C116" s="3004"/>
      <c r="D116" s="3005"/>
      <c r="E116" s="3005"/>
    </row>
    <row r="117" spans="2:5" ht="39.950000000000003" customHeight="1">
      <c r="B117" s="3004"/>
      <c r="C117" s="3004"/>
      <c r="D117" s="3005"/>
      <c r="E117" s="3005"/>
    </row>
    <row r="118" spans="2:5">
      <c r="B118" s="3004"/>
      <c r="C118" s="3004"/>
      <c r="D118" s="3005"/>
      <c r="E118" s="3005"/>
    </row>
    <row r="119" spans="2:5">
      <c r="B119" s="3004"/>
      <c r="C119" s="3004"/>
      <c r="D119" s="3005"/>
      <c r="E119" s="3005"/>
    </row>
    <row r="120" spans="2:5">
      <c r="B120" s="3004"/>
      <c r="C120" s="3004"/>
      <c r="D120" s="3005"/>
      <c r="E120" s="3005"/>
    </row>
    <row r="121" spans="2:5">
      <c r="B121" s="3004"/>
      <c r="C121" s="3004"/>
      <c r="D121" s="3005"/>
      <c r="E121" s="3005"/>
    </row>
    <row r="122" spans="2:5">
      <c r="B122" s="3004"/>
      <c r="C122" s="3004"/>
      <c r="D122" s="3005"/>
      <c r="E122" s="3005"/>
    </row>
    <row r="123" spans="2:5">
      <c r="B123" s="3004"/>
      <c r="C123" s="3004"/>
      <c r="D123" s="3005"/>
      <c r="E123" s="3005"/>
    </row>
    <row r="124" spans="2:5">
      <c r="B124" s="3004"/>
      <c r="C124" s="3004"/>
      <c r="D124" s="3005"/>
      <c r="E124" s="3005"/>
    </row>
    <row r="125" spans="2:5">
      <c r="B125" s="3004"/>
      <c r="C125" s="3004"/>
      <c r="D125" s="3005"/>
      <c r="E125" s="3005"/>
    </row>
    <row r="126" spans="2:5">
      <c r="B126" s="3004"/>
      <c r="C126" s="3004"/>
      <c r="D126" s="3005"/>
      <c r="E126" s="3005"/>
    </row>
    <row r="127" spans="2:5">
      <c r="B127" s="3004"/>
      <c r="C127" s="3004"/>
      <c r="D127" s="3005"/>
      <c r="E127" s="3005"/>
    </row>
    <row r="128" spans="2:5">
      <c r="B128" s="3004"/>
      <c r="C128" s="3004"/>
      <c r="D128" s="3005"/>
      <c r="E128" s="3005"/>
    </row>
    <row r="129" spans="2:5">
      <c r="B129" s="3004"/>
      <c r="C129" s="3004"/>
      <c r="D129" s="3005"/>
      <c r="E129" s="3005"/>
    </row>
    <row r="130" spans="2:5">
      <c r="B130" s="3004"/>
      <c r="C130" s="3004"/>
      <c r="D130" s="3005"/>
      <c r="E130" s="3005"/>
    </row>
    <row r="131" spans="2:5">
      <c r="B131" s="3004"/>
      <c r="C131" s="3004"/>
      <c r="D131" s="3005"/>
      <c r="E131" s="3005"/>
    </row>
    <row r="132" spans="2:5">
      <c r="B132" s="3004"/>
      <c r="C132" s="3004"/>
      <c r="D132" s="3005"/>
      <c r="E132" s="3005"/>
    </row>
    <row r="133" spans="2:5">
      <c r="B133" s="3004"/>
      <c r="C133" s="3004"/>
      <c r="D133" s="3005"/>
      <c r="E133" s="3005"/>
    </row>
    <row r="134" spans="2:5">
      <c r="B134" s="3004"/>
      <c r="C134" s="3004"/>
      <c r="D134" s="3005"/>
      <c r="E134" s="3005"/>
    </row>
    <row r="135" spans="2:5">
      <c r="B135" s="3004"/>
      <c r="C135" s="3004"/>
      <c r="D135" s="3005"/>
      <c r="E135" s="3005"/>
    </row>
    <row r="136" spans="2:5">
      <c r="B136" s="3004"/>
      <c r="C136" s="3004"/>
      <c r="D136" s="3005"/>
      <c r="E136" s="3005"/>
    </row>
    <row r="137" spans="2:5">
      <c r="B137" s="3004"/>
      <c r="C137" s="3004"/>
      <c r="D137" s="3005"/>
      <c r="E137" s="3005"/>
    </row>
    <row r="138" spans="2:5">
      <c r="B138" s="3004"/>
      <c r="C138" s="3004"/>
      <c r="D138" s="3005"/>
      <c r="E138" s="3005"/>
    </row>
    <row r="139" spans="2:5">
      <c r="B139" s="3004"/>
      <c r="C139" s="3004"/>
      <c r="D139" s="3005"/>
      <c r="E139" s="3005"/>
    </row>
    <row r="140" spans="2:5">
      <c r="B140" s="3004"/>
      <c r="C140" s="3004"/>
      <c r="D140" s="3005"/>
      <c r="E140" s="3005"/>
    </row>
    <row r="141" spans="2:5">
      <c r="B141" s="3004"/>
      <c r="C141" s="3004"/>
      <c r="D141" s="3005"/>
      <c r="E141" s="3005"/>
    </row>
    <row r="142" spans="2:5">
      <c r="B142" s="3004"/>
      <c r="C142" s="3004"/>
      <c r="D142" s="3005"/>
      <c r="E142" s="3005"/>
    </row>
    <row r="143" spans="2:5">
      <c r="B143" s="3004"/>
      <c r="C143" s="3004"/>
      <c r="D143" s="3005"/>
      <c r="E143" s="3005"/>
    </row>
    <row r="144" spans="2:5">
      <c r="B144" s="3004"/>
      <c r="C144" s="3004"/>
      <c r="D144" s="3005"/>
      <c r="E144" s="3005"/>
    </row>
    <row r="145" spans="2:5">
      <c r="B145" s="3004"/>
      <c r="C145" s="3004"/>
      <c r="D145" s="3005"/>
      <c r="E145" s="3005"/>
    </row>
    <row r="146" spans="2:5">
      <c r="B146" s="3004"/>
      <c r="C146" s="3004"/>
      <c r="D146" s="3005"/>
      <c r="E146" s="3005"/>
    </row>
    <row r="147" spans="2:5">
      <c r="B147" s="3004"/>
      <c r="C147" s="3004"/>
      <c r="D147" s="3005"/>
      <c r="E147" s="3005"/>
    </row>
    <row r="148" spans="2:5">
      <c r="B148" s="3004"/>
      <c r="C148" s="3004"/>
      <c r="D148" s="3005"/>
      <c r="E148" s="3005"/>
    </row>
    <row r="149" spans="2:5">
      <c r="B149" s="3004"/>
      <c r="C149" s="3004"/>
      <c r="D149" s="3005"/>
      <c r="E149" s="3005"/>
    </row>
    <row r="150" spans="2:5">
      <c r="B150" s="3004"/>
      <c r="C150" s="3004"/>
      <c r="D150" s="3005"/>
      <c r="E150" s="3005"/>
    </row>
    <row r="151" spans="2:5">
      <c r="B151" s="3004"/>
      <c r="C151" s="3004"/>
      <c r="D151" s="3005"/>
      <c r="E151" s="3005"/>
    </row>
    <row r="152" spans="2:5">
      <c r="B152" s="3004"/>
      <c r="C152" s="3004"/>
      <c r="D152" s="3005"/>
      <c r="E152" s="3005"/>
    </row>
    <row r="153" spans="2:5">
      <c r="B153" s="3004"/>
      <c r="C153" s="3004"/>
      <c r="D153" s="3005"/>
      <c r="E153" s="3005"/>
    </row>
    <row r="154" spans="2:5">
      <c r="B154" s="3004"/>
      <c r="C154" s="3004"/>
      <c r="D154" s="3005"/>
      <c r="E154" s="3005"/>
    </row>
    <row r="155" spans="2:5">
      <c r="B155" s="3004"/>
      <c r="C155" s="3004"/>
      <c r="D155" s="3005"/>
      <c r="E155" s="3005"/>
    </row>
    <row r="156" spans="2:5">
      <c r="B156" s="3004"/>
      <c r="C156" s="3004"/>
      <c r="D156" s="3005"/>
      <c r="E156" s="3005"/>
    </row>
    <row r="157" spans="2:5">
      <c r="B157" s="3004"/>
      <c r="C157" s="3004"/>
      <c r="D157" s="3005"/>
      <c r="E157" s="3005"/>
    </row>
    <row r="158" spans="2:5">
      <c r="B158" s="3004"/>
      <c r="C158" s="3004"/>
      <c r="D158" s="3005"/>
      <c r="E158" s="3005"/>
    </row>
    <row r="159" spans="2:5">
      <c r="B159" s="3004"/>
      <c r="C159" s="3004"/>
      <c r="D159" s="3005"/>
      <c r="E159" s="3005"/>
    </row>
    <row r="160" spans="2:5">
      <c r="B160" s="3004"/>
      <c r="C160" s="3004"/>
      <c r="D160" s="3005"/>
      <c r="E160" s="3005"/>
    </row>
    <row r="161" spans="2:5">
      <c r="B161" s="3004"/>
      <c r="C161" s="3004"/>
      <c r="D161" s="3005"/>
      <c r="E161" s="3005"/>
    </row>
    <row r="162" spans="2:5">
      <c r="B162" s="3004"/>
      <c r="C162" s="3004"/>
      <c r="D162" s="3005"/>
      <c r="E162" s="3005"/>
    </row>
    <row r="163" spans="2:5">
      <c r="B163" s="3004"/>
      <c r="C163" s="3004"/>
      <c r="D163" s="3005"/>
      <c r="E163" s="3005"/>
    </row>
    <row r="164" spans="2:5">
      <c r="B164" s="3004"/>
      <c r="C164" s="3004"/>
      <c r="D164" s="3005"/>
      <c r="E164" s="3005"/>
    </row>
    <row r="165" spans="2:5">
      <c r="B165" s="3004"/>
      <c r="C165" s="3004"/>
      <c r="D165" s="3005"/>
      <c r="E165" s="3005"/>
    </row>
    <row r="166" spans="2:5">
      <c r="B166" s="3004"/>
      <c r="C166" s="3004"/>
      <c r="D166" s="3005"/>
      <c r="E166" s="3005"/>
    </row>
    <row r="167" spans="2:5">
      <c r="B167" s="3004"/>
      <c r="C167" s="3004"/>
      <c r="D167" s="3005"/>
      <c r="E167" s="3005"/>
    </row>
    <row r="168" spans="2:5">
      <c r="B168" s="3004"/>
      <c r="C168" s="3004"/>
      <c r="D168" s="3005"/>
      <c r="E168" s="3005"/>
    </row>
    <row r="169" spans="2:5">
      <c r="B169" s="3004"/>
      <c r="C169" s="3004"/>
      <c r="D169" s="3005"/>
      <c r="E169" s="3005"/>
    </row>
    <row r="170" spans="2:5">
      <c r="B170" s="3004"/>
      <c r="C170" s="3004"/>
      <c r="D170" s="3005"/>
      <c r="E170" s="3005"/>
    </row>
    <row r="171" spans="2:5">
      <c r="B171" s="3004"/>
      <c r="C171" s="3004"/>
      <c r="D171" s="3005"/>
      <c r="E171" s="3005"/>
    </row>
    <row r="172" spans="2:5">
      <c r="B172" s="3004"/>
      <c r="C172" s="3004"/>
      <c r="D172" s="3005"/>
      <c r="E172" s="3005"/>
    </row>
    <row r="173" spans="2:5">
      <c r="B173" s="3004"/>
      <c r="C173" s="3004"/>
      <c r="D173" s="3005"/>
      <c r="E173" s="3005"/>
    </row>
    <row r="174" spans="2:5">
      <c r="B174" s="3004"/>
      <c r="C174" s="3004"/>
      <c r="D174" s="3005"/>
      <c r="E174" s="3005"/>
    </row>
    <row r="175" spans="2:5">
      <c r="B175" s="3004"/>
      <c r="C175" s="3004"/>
      <c r="D175" s="3005"/>
      <c r="E175" s="3005"/>
    </row>
    <row r="176" spans="2:5">
      <c r="B176" s="3004"/>
      <c r="C176" s="3004"/>
      <c r="D176" s="3005"/>
      <c r="E176" s="3005"/>
    </row>
    <row r="177" spans="2:5">
      <c r="B177" s="3004"/>
      <c r="C177" s="3004"/>
      <c r="D177" s="3005"/>
      <c r="E177" s="3005"/>
    </row>
    <row r="178" spans="2:5">
      <c r="B178" s="3004"/>
      <c r="C178" s="3004"/>
      <c r="D178" s="3005"/>
      <c r="E178" s="3005"/>
    </row>
    <row r="179" spans="2:5">
      <c r="B179" s="3004"/>
      <c r="C179" s="3004"/>
      <c r="D179" s="3005"/>
      <c r="E179" s="3005"/>
    </row>
    <row r="180" spans="2:5">
      <c r="B180" s="3004"/>
      <c r="C180" s="3004"/>
      <c r="D180" s="3005"/>
      <c r="E180" s="3005"/>
    </row>
    <row r="181" spans="2:5">
      <c r="B181" s="3004"/>
      <c r="C181" s="3004"/>
      <c r="D181" s="3005"/>
      <c r="E181" s="3005"/>
    </row>
    <row r="182" spans="2:5">
      <c r="B182" s="3004"/>
      <c r="C182" s="3004"/>
      <c r="D182" s="3005"/>
      <c r="E182" s="3005"/>
    </row>
    <row r="183" spans="2:5">
      <c r="B183" s="3004"/>
      <c r="C183" s="3004"/>
      <c r="D183" s="3005"/>
      <c r="E183" s="3005"/>
    </row>
    <row r="184" spans="2:5">
      <c r="B184" s="3004"/>
      <c r="C184" s="3004"/>
      <c r="D184" s="3005"/>
      <c r="E184" s="3005"/>
    </row>
    <row r="185" spans="2:5">
      <c r="B185" s="3004"/>
      <c r="C185" s="3004"/>
      <c r="D185" s="3005"/>
      <c r="E185" s="3005"/>
    </row>
    <row r="186" spans="2:5">
      <c r="B186" s="3004"/>
      <c r="C186" s="3004"/>
      <c r="D186" s="3005"/>
      <c r="E186" s="3005"/>
    </row>
    <row r="187" spans="2:5">
      <c r="B187" s="3004"/>
      <c r="C187" s="3004"/>
      <c r="D187" s="3005"/>
      <c r="E187" s="3005"/>
    </row>
    <row r="188" spans="2:5">
      <c r="B188" s="3004"/>
      <c r="C188" s="3004"/>
      <c r="D188" s="3005"/>
      <c r="E188" s="3005"/>
    </row>
    <row r="189" spans="2:5">
      <c r="B189" s="3004"/>
      <c r="C189" s="3004"/>
      <c r="D189" s="3005"/>
      <c r="E189" s="3005"/>
    </row>
    <row r="190" spans="2:5">
      <c r="B190" s="3004"/>
      <c r="C190" s="3004"/>
      <c r="D190" s="3005"/>
      <c r="E190" s="3005"/>
    </row>
    <row r="191" spans="2:5">
      <c r="B191" s="3004"/>
      <c r="C191" s="3004"/>
      <c r="D191" s="3005"/>
      <c r="E191" s="3005"/>
    </row>
    <row r="192" spans="2:5">
      <c r="B192" s="3004"/>
      <c r="C192" s="3004"/>
      <c r="D192" s="3005"/>
      <c r="E192" s="3005"/>
    </row>
    <row r="193" spans="2:5">
      <c r="B193" s="3004"/>
      <c r="C193" s="3004"/>
      <c r="D193" s="3005"/>
      <c r="E193" s="3005"/>
    </row>
    <row r="194" spans="2:5">
      <c r="B194" s="3004"/>
      <c r="C194" s="3004"/>
      <c r="D194" s="3005"/>
      <c r="E194" s="3005"/>
    </row>
    <row r="195" spans="2:5">
      <c r="B195" s="3004"/>
      <c r="C195" s="3004"/>
      <c r="D195" s="3005"/>
      <c r="E195" s="3005"/>
    </row>
    <row r="196" spans="2:5">
      <c r="B196" s="3004"/>
      <c r="C196" s="3004"/>
      <c r="D196" s="3005"/>
      <c r="E196" s="3005"/>
    </row>
    <row r="197" spans="2:5">
      <c r="B197" s="3004"/>
      <c r="C197" s="3004"/>
      <c r="D197" s="3005"/>
      <c r="E197" s="3005"/>
    </row>
    <row r="198" spans="2:5">
      <c r="B198" s="3004"/>
      <c r="C198" s="3004"/>
      <c r="D198" s="3005"/>
      <c r="E198" s="3005"/>
    </row>
    <row r="199" spans="2:5">
      <c r="B199" s="3004"/>
      <c r="C199" s="3004"/>
      <c r="D199" s="3005"/>
      <c r="E199" s="3005"/>
    </row>
    <row r="200" spans="2:5">
      <c r="B200" s="3004"/>
      <c r="C200" s="3004"/>
      <c r="D200" s="3005"/>
      <c r="E200" s="3005"/>
    </row>
    <row r="201" spans="2:5">
      <c r="B201" s="3004"/>
      <c r="C201" s="3004"/>
      <c r="D201" s="3005"/>
      <c r="E201" s="3005"/>
    </row>
    <row r="202" spans="2:5">
      <c r="B202" s="3004"/>
      <c r="C202" s="3004"/>
      <c r="D202" s="3005"/>
      <c r="E202" s="3005"/>
    </row>
    <row r="203" spans="2:5">
      <c r="B203" s="3004"/>
      <c r="C203" s="3004"/>
      <c r="D203" s="3005"/>
      <c r="E203" s="3005"/>
    </row>
    <row r="204" spans="2:5">
      <c r="B204" s="3004"/>
      <c r="C204" s="3004"/>
      <c r="D204" s="3005"/>
      <c r="E204" s="3005"/>
    </row>
    <row r="205" spans="2:5">
      <c r="B205" s="3004"/>
      <c r="C205" s="3004"/>
      <c r="D205" s="3005"/>
      <c r="E205" s="3005"/>
    </row>
    <row r="206" spans="2:5">
      <c r="B206" s="3004"/>
      <c r="C206" s="3004"/>
      <c r="D206" s="3005"/>
      <c r="E206" s="3005"/>
    </row>
    <row r="207" spans="2:5">
      <c r="B207" s="3004"/>
      <c r="C207" s="3004"/>
      <c r="D207" s="3005"/>
      <c r="E207" s="3005"/>
    </row>
    <row r="208" spans="2:5">
      <c r="B208" s="3004"/>
      <c r="C208" s="3004"/>
      <c r="D208" s="3006"/>
      <c r="E208" s="3006"/>
    </row>
    <row r="209" spans="2:5">
      <c r="B209" s="3004"/>
      <c r="C209" s="3004"/>
      <c r="D209" s="3006"/>
      <c r="E209" s="3006"/>
    </row>
    <row r="210" spans="2:5">
      <c r="B210" s="3004"/>
      <c r="C210" s="3004"/>
      <c r="D210" s="3006"/>
      <c r="E210" s="3006"/>
    </row>
    <row r="211" spans="2:5">
      <c r="B211" s="3004"/>
      <c r="C211" s="3004"/>
      <c r="D211" s="3006"/>
      <c r="E211" s="3006"/>
    </row>
    <row r="212" spans="2:5">
      <c r="B212" s="3004"/>
      <c r="C212" s="3004"/>
      <c r="D212" s="3006"/>
      <c r="E212" s="3006"/>
    </row>
    <row r="213" spans="2:5">
      <c r="B213" s="3004"/>
      <c r="C213" s="3004"/>
      <c r="D213" s="3006"/>
      <c r="E213" s="3006"/>
    </row>
    <row r="214" spans="2:5">
      <c r="B214" s="3004"/>
      <c r="C214" s="3004"/>
      <c r="D214" s="3006"/>
      <c r="E214" s="3006"/>
    </row>
    <row r="215" spans="2:5">
      <c r="B215" s="3004"/>
      <c r="C215" s="3004"/>
      <c r="D215" s="3006"/>
      <c r="E215" s="3006"/>
    </row>
    <row r="216" spans="2:5">
      <c r="B216" s="3004"/>
      <c r="C216" s="3004"/>
      <c r="D216" s="3006"/>
      <c r="E216" s="3006"/>
    </row>
    <row r="217" spans="2:5">
      <c r="B217" s="3004"/>
      <c r="C217" s="3004"/>
      <c r="D217" s="3006"/>
      <c r="E217" s="3006"/>
    </row>
    <row r="218" spans="2:5">
      <c r="B218" s="3004"/>
      <c r="C218" s="3004"/>
      <c r="D218" s="3006"/>
      <c r="E218" s="3006"/>
    </row>
    <row r="219" spans="2:5">
      <c r="B219" s="3004"/>
      <c r="C219" s="3004"/>
      <c r="D219" s="3006"/>
      <c r="E219" s="3006"/>
    </row>
    <row r="220" spans="2:5">
      <c r="B220" s="3004"/>
      <c r="C220" s="3004"/>
      <c r="D220" s="3006"/>
      <c r="E220" s="3006"/>
    </row>
    <row r="221" spans="2:5">
      <c r="B221" s="3004"/>
      <c r="C221" s="3004"/>
      <c r="D221" s="3006"/>
      <c r="E221" s="3006"/>
    </row>
    <row r="222" spans="2:5">
      <c r="B222" s="3004"/>
      <c r="C222" s="3004"/>
      <c r="D222" s="3006"/>
      <c r="E222" s="3006"/>
    </row>
    <row r="223" spans="2:5">
      <c r="B223" s="3004"/>
      <c r="C223" s="3004"/>
      <c r="D223" s="3006"/>
      <c r="E223" s="3006"/>
    </row>
    <row r="224" spans="2:5">
      <c r="B224" s="3004"/>
      <c r="C224" s="3004"/>
      <c r="D224" s="3006"/>
      <c r="E224" s="3006"/>
    </row>
    <row r="225" spans="2:5">
      <c r="B225" s="3004"/>
      <c r="C225" s="3004"/>
      <c r="D225" s="3006"/>
      <c r="E225" s="3006"/>
    </row>
    <row r="226" spans="2:5">
      <c r="B226" s="3004"/>
      <c r="C226" s="3004"/>
      <c r="D226" s="3006"/>
      <c r="E226" s="3006"/>
    </row>
    <row r="227" spans="2:5">
      <c r="B227" s="3004"/>
      <c r="C227" s="3004"/>
      <c r="D227" s="3006"/>
      <c r="E227" s="3006"/>
    </row>
    <row r="228" spans="2:5">
      <c r="B228" s="3004"/>
      <c r="C228" s="3004"/>
      <c r="D228" s="3006"/>
      <c r="E228" s="3006"/>
    </row>
    <row r="229" spans="2:5">
      <c r="B229" s="3004"/>
      <c r="C229" s="3004"/>
      <c r="D229" s="3006"/>
      <c r="E229" s="3006"/>
    </row>
    <row r="230" spans="2:5">
      <c r="B230" s="3004"/>
      <c r="C230" s="3004"/>
      <c r="D230" s="3006"/>
      <c r="E230" s="3006"/>
    </row>
    <row r="231" spans="2:5">
      <c r="B231" s="3004"/>
      <c r="C231" s="3004"/>
      <c r="D231" s="3006"/>
      <c r="E231" s="3006"/>
    </row>
    <row r="232" spans="2:5">
      <c r="B232" s="3004"/>
      <c r="C232" s="3004"/>
      <c r="D232" s="3006"/>
      <c r="E232" s="3006"/>
    </row>
    <row r="233" spans="2:5">
      <c r="B233" s="3004"/>
      <c r="C233" s="3004"/>
      <c r="D233" s="3006"/>
      <c r="E233" s="3006"/>
    </row>
    <row r="234" spans="2:5">
      <c r="B234" s="3004"/>
      <c r="C234" s="3004"/>
      <c r="D234" s="3006"/>
      <c r="E234" s="3006"/>
    </row>
    <row r="235" spans="2:5">
      <c r="B235" s="3004"/>
      <c r="C235" s="3004"/>
      <c r="D235" s="3006"/>
      <c r="E235" s="3006"/>
    </row>
    <row r="236" spans="2:5">
      <c r="B236" s="3004"/>
      <c r="C236" s="3004"/>
      <c r="D236" s="3006"/>
      <c r="E236" s="3006"/>
    </row>
    <row r="237" spans="2:5">
      <c r="B237" s="3004"/>
      <c r="C237" s="3004"/>
      <c r="D237" s="3006"/>
      <c r="E237" s="3006"/>
    </row>
    <row r="238" spans="2:5">
      <c r="B238" s="3004"/>
      <c r="C238" s="3004"/>
      <c r="D238" s="3006"/>
      <c r="E238" s="3006"/>
    </row>
    <row r="239" spans="2:5">
      <c r="B239" s="3004"/>
      <c r="C239" s="3004"/>
      <c r="D239" s="3006"/>
      <c r="E239" s="3006"/>
    </row>
    <row r="240" spans="2:5">
      <c r="B240" s="3004"/>
      <c r="C240" s="3004"/>
      <c r="D240" s="3006"/>
      <c r="E240" s="3006"/>
    </row>
    <row r="241" spans="2:5">
      <c r="B241" s="3004"/>
      <c r="C241" s="3004"/>
      <c r="D241" s="3006"/>
      <c r="E241" s="3006"/>
    </row>
    <row r="242" spans="2:5">
      <c r="B242" s="3004"/>
      <c r="C242" s="3004"/>
      <c r="D242" s="3006"/>
      <c r="E242" s="3006"/>
    </row>
    <row r="243" spans="2:5">
      <c r="B243" s="3004"/>
      <c r="C243" s="3004"/>
      <c r="D243" s="3006"/>
      <c r="E243" s="3006"/>
    </row>
    <row r="244" spans="2:5">
      <c r="B244" s="3004"/>
      <c r="C244" s="3004"/>
      <c r="D244" s="3006"/>
      <c r="E244" s="3006"/>
    </row>
    <row r="245" spans="2:5">
      <c r="B245" s="3004"/>
      <c r="C245" s="3004"/>
      <c r="D245" s="3006"/>
      <c r="E245" s="3006"/>
    </row>
    <row r="246" spans="2:5">
      <c r="B246" s="3004"/>
      <c r="C246" s="3004"/>
    </row>
    <row r="247" spans="2:5">
      <c r="B247" s="3004"/>
      <c r="C247" s="3004"/>
    </row>
    <row r="248" spans="2:5">
      <c r="B248" s="3004"/>
      <c r="C248" s="3004"/>
    </row>
    <row r="249" spans="2:5">
      <c r="B249" s="3004"/>
      <c r="C249" s="3004"/>
    </row>
    <row r="250" spans="2:5">
      <c r="B250" s="3004"/>
      <c r="C250" s="3004"/>
    </row>
    <row r="251" spans="2:5">
      <c r="B251" s="3004"/>
      <c r="C251" s="3004"/>
    </row>
    <row r="252" spans="2:5">
      <c r="B252" s="3004"/>
      <c r="C252" s="3004"/>
    </row>
    <row r="253" spans="2:5">
      <c r="B253" s="3004"/>
      <c r="C253" s="3004"/>
    </row>
    <row r="254" spans="2:5">
      <c r="B254" s="3004"/>
      <c r="C254" s="3004"/>
    </row>
    <row r="255" spans="2:5">
      <c r="B255" s="3004"/>
      <c r="C255" s="3004"/>
    </row>
    <row r="256" spans="2:5">
      <c r="B256" s="3004"/>
      <c r="C256" s="3004"/>
    </row>
    <row r="257" spans="2:3">
      <c r="B257" s="3004"/>
      <c r="C257" s="3004"/>
    </row>
    <row r="258" spans="2:3">
      <c r="B258" s="3004"/>
      <c r="C258" s="3004"/>
    </row>
    <row r="259" spans="2:3">
      <c r="B259" s="3004"/>
      <c r="C259" s="3004"/>
    </row>
    <row r="260" spans="2:3">
      <c r="B260" s="3004"/>
      <c r="C260" s="3004"/>
    </row>
    <row r="261" spans="2:3">
      <c r="B261" s="3004"/>
      <c r="C261" s="3004"/>
    </row>
    <row r="262" spans="2:3">
      <c r="B262" s="3004"/>
      <c r="C262" s="3004"/>
    </row>
    <row r="263" spans="2:3">
      <c r="B263" s="3004"/>
      <c r="C263" s="3004"/>
    </row>
    <row r="264" spans="2:3">
      <c r="B264" s="3004"/>
      <c r="C264" s="3004"/>
    </row>
    <row r="265" spans="2:3">
      <c r="B265" s="3004"/>
      <c r="C265" s="3004"/>
    </row>
    <row r="266" spans="2:3">
      <c r="B266" s="3004"/>
      <c r="C266" s="3004"/>
    </row>
    <row r="267" spans="2:3">
      <c r="B267" s="3004"/>
      <c r="C267" s="3004"/>
    </row>
    <row r="268" spans="2:3">
      <c r="B268" s="3004"/>
      <c r="C268" s="3004"/>
    </row>
    <row r="269" spans="2:3">
      <c r="B269" s="3004"/>
      <c r="C269" s="3004"/>
    </row>
    <row r="270" spans="2:3">
      <c r="B270" s="3004"/>
      <c r="C270" s="3004"/>
    </row>
    <row r="271" spans="2:3">
      <c r="B271" s="3004"/>
      <c r="C271" s="3004"/>
    </row>
    <row r="272" spans="2:3">
      <c r="B272" s="3004"/>
      <c r="C272" s="3004"/>
    </row>
    <row r="273" spans="2:3">
      <c r="B273" s="3004"/>
      <c r="C273" s="3004"/>
    </row>
    <row r="274" spans="2:3">
      <c r="B274" s="3004"/>
      <c r="C274" s="3004"/>
    </row>
    <row r="275" spans="2:3">
      <c r="B275" s="3004"/>
      <c r="C275" s="3004"/>
    </row>
    <row r="276" spans="2:3">
      <c r="B276" s="3004"/>
      <c r="C276" s="3004"/>
    </row>
    <row r="277" spans="2:3">
      <c r="B277" s="3004"/>
      <c r="C277" s="3004"/>
    </row>
    <row r="278" spans="2:3">
      <c r="B278" s="3004"/>
      <c r="C278" s="3004"/>
    </row>
    <row r="279" spans="2:3">
      <c r="B279" s="3004"/>
      <c r="C279" s="3004"/>
    </row>
    <row r="280" spans="2:3">
      <c r="B280" s="3004"/>
      <c r="C280" s="3004"/>
    </row>
    <row r="281" spans="2:3">
      <c r="B281" s="3004"/>
      <c r="C281" s="3004"/>
    </row>
    <row r="282" spans="2:3">
      <c r="B282" s="3004"/>
      <c r="C282" s="3004"/>
    </row>
    <row r="283" spans="2:3">
      <c r="B283" s="3004"/>
      <c r="C283" s="3004"/>
    </row>
    <row r="284" spans="2:3">
      <c r="B284" s="3004"/>
      <c r="C284" s="3004"/>
    </row>
    <row r="285" spans="2:3">
      <c r="B285" s="3004"/>
      <c r="C285" s="3004"/>
    </row>
    <row r="286" spans="2:3">
      <c r="B286" s="3004"/>
      <c r="C286" s="3004"/>
    </row>
    <row r="287" spans="2:3">
      <c r="B287" s="3004"/>
      <c r="C287" s="3004"/>
    </row>
    <row r="288" spans="2:3">
      <c r="B288" s="3004"/>
      <c r="C288" s="3004"/>
    </row>
    <row r="289" spans="2:3">
      <c r="B289" s="3004"/>
      <c r="C289" s="3004"/>
    </row>
    <row r="290" spans="2:3">
      <c r="B290" s="3004"/>
      <c r="C290" s="3004"/>
    </row>
    <row r="291" spans="2:3">
      <c r="B291" s="3004"/>
      <c r="C291" s="3004"/>
    </row>
    <row r="292" spans="2:3">
      <c r="B292" s="3004"/>
      <c r="C292" s="3004"/>
    </row>
    <row r="293" spans="2:3">
      <c r="B293" s="3004"/>
      <c r="C293" s="3004"/>
    </row>
    <row r="294" spans="2:3">
      <c r="B294" s="3004"/>
      <c r="C294" s="3004"/>
    </row>
    <row r="295" spans="2:3">
      <c r="B295" s="3004"/>
      <c r="C295" s="3004"/>
    </row>
    <row r="296" spans="2:3">
      <c r="B296" s="3004"/>
      <c r="C296" s="3004"/>
    </row>
    <row r="297" spans="2:3">
      <c r="B297" s="3004"/>
      <c r="C297" s="3004"/>
    </row>
    <row r="298" spans="2:3">
      <c r="B298" s="3004"/>
      <c r="C298" s="3004"/>
    </row>
    <row r="299" spans="2:3">
      <c r="B299" s="3004"/>
      <c r="C299" s="3004"/>
    </row>
    <row r="300" spans="2:3">
      <c r="B300" s="3004"/>
      <c r="C300" s="3004"/>
    </row>
    <row r="301" spans="2:3">
      <c r="B301" s="3004"/>
      <c r="C301" s="3004"/>
    </row>
    <row r="302" spans="2:3">
      <c r="B302" s="3004"/>
      <c r="C302" s="3004"/>
    </row>
    <row r="303" spans="2:3">
      <c r="B303" s="3004"/>
      <c r="C303" s="3004"/>
    </row>
    <row r="304" spans="2:3">
      <c r="B304" s="3004"/>
      <c r="C304" s="3004"/>
    </row>
    <row r="305" spans="2:3">
      <c r="B305" s="3004"/>
      <c r="C305" s="3004"/>
    </row>
    <row r="306" spans="2:3">
      <c r="B306" s="3004"/>
      <c r="C306" s="3004"/>
    </row>
    <row r="307" spans="2:3">
      <c r="B307" s="3004"/>
      <c r="C307" s="3004"/>
    </row>
    <row r="308" spans="2:3">
      <c r="B308" s="3004"/>
      <c r="C308" s="3004"/>
    </row>
    <row r="309" spans="2:3">
      <c r="B309" s="3004"/>
      <c r="C309" s="3004"/>
    </row>
    <row r="310" spans="2:3">
      <c r="B310" s="3004"/>
      <c r="C310" s="3004"/>
    </row>
    <row r="311" spans="2:3">
      <c r="B311" s="3004"/>
      <c r="C311" s="3004"/>
    </row>
    <row r="312" spans="2:3">
      <c r="B312" s="3004"/>
      <c r="C312" s="3004"/>
    </row>
  </sheetData>
  <mergeCells count="6">
    <mergeCell ref="A1:F1"/>
    <mergeCell ref="A3:B3"/>
    <mergeCell ref="A41:B41"/>
    <mergeCell ref="A47:B47"/>
    <mergeCell ref="D53:D57"/>
    <mergeCell ref="E53:E57"/>
  </mergeCells>
  <phoneticPr fontId="143" type="noConversion"/>
  <pageMargins left="0.74803149606299213" right="0.74803149606299213" top="0.98425196850393704" bottom="0.98425196850393704" header="0.51181102362204722" footer="0.51181102362204722"/>
  <pageSetup paperSize="9" orientation="landscape" horizontalDpi="0" verticalDpi="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7" customWidth="1"/>
    <col min="2" max="9" width="12.125" style="1947" customWidth="1"/>
    <col min="10" max="16384" width="9" style="1947"/>
  </cols>
  <sheetData>
    <row r="1" spans="1:9" ht="18.75" thickBot="1">
      <c r="A1" s="3036" t="str">
        <f>IF(项目基本情况!B9="房地产市场价值","估价结果一览表","结果表-2")</f>
        <v>结果表-2</v>
      </c>
      <c r="B1" s="3036"/>
      <c r="C1" s="3036"/>
      <c r="D1" s="3036"/>
      <c r="E1" s="3036"/>
      <c r="F1" s="3036"/>
      <c r="G1" s="3036"/>
      <c r="H1" s="3036"/>
      <c r="I1" s="3036"/>
    </row>
    <row r="2" spans="1:9" ht="30" customHeight="1" thickTop="1">
      <c r="A2" s="3037" t="s">
        <v>1641</v>
      </c>
      <c r="B2" s="3037" t="s">
        <v>1642</v>
      </c>
      <c r="C2" s="3037" t="s">
        <v>1643</v>
      </c>
      <c r="D2" s="3037" t="str">
        <f>结果表!D116</f>
        <v>出让国有建设用地使用权价值</v>
      </c>
      <c r="E2" s="3037"/>
      <c r="F2" s="3037" t="str">
        <f>结果表!F116</f>
        <v>在建建筑物价值</v>
      </c>
      <c r="G2" s="3037"/>
      <c r="H2" s="3037" t="str">
        <f>IF(项目基本情况!B9="房地产市场价值","房地产市场价值","房地产价值")</f>
        <v>房地产价值</v>
      </c>
      <c r="I2" s="3037"/>
    </row>
    <row r="3" spans="1:9" ht="15">
      <c r="A3" s="3031"/>
      <c r="B3" s="3031"/>
      <c r="C3" s="3031"/>
      <c r="D3" s="1046" t="s">
        <v>1638</v>
      </c>
      <c r="E3" s="1046" t="s">
        <v>1644</v>
      </c>
      <c r="F3" s="1046" t="s">
        <v>1638</v>
      </c>
      <c r="G3" s="1046" t="s">
        <v>1639</v>
      </c>
      <c r="H3" s="1046" t="s">
        <v>1638</v>
      </c>
      <c r="I3" s="1046" t="s">
        <v>1639</v>
      </c>
    </row>
    <row r="4" spans="1:9" ht="45">
      <c r="A4" s="1975" t="str">
        <f>项目基本情况!S2</f>
        <v>贵州省遵义市新蒲新区府前路出让国有建设用地使用权及在建建筑物房地产</v>
      </c>
      <c r="B4" s="1046">
        <f>项目基本情况!C17</f>
        <v>178615</v>
      </c>
      <c r="C4" s="1046">
        <f>项目基本情况!C18</f>
        <v>81202</v>
      </c>
      <c r="D4" s="1046">
        <f ca="1">结果表!D118</f>
        <v>20561</v>
      </c>
      <c r="E4" s="1046">
        <f ca="1">结果表!E118</f>
        <v>1151</v>
      </c>
      <c r="F4" s="1046">
        <f ca="1">结果表!F118</f>
        <v>112090</v>
      </c>
      <c r="G4" s="1046">
        <f ca="1">结果表!G118</f>
        <v>6276</v>
      </c>
      <c r="H4" s="1046">
        <f ca="1">结果表!H118</f>
        <v>132651</v>
      </c>
      <c r="I4" s="1046">
        <f ca="1">结果表!I118</f>
        <v>7427</v>
      </c>
    </row>
    <row r="5" spans="1:9" ht="30" customHeight="1">
      <c r="A5" s="3031" t="s">
        <v>1640</v>
      </c>
      <c r="B5" s="3031"/>
      <c r="C5" s="3031"/>
      <c r="D5" s="3032" t="str">
        <f ca="1">结果表!D119</f>
        <v>贰亿零伍佰陆拾壹万元整</v>
      </c>
      <c r="E5" s="3032"/>
      <c r="F5" s="3032" t="str">
        <f ca="1">结果表!F119</f>
        <v>壹拾壹亿贰仟零玖拾万元整</v>
      </c>
      <c r="G5" s="3032"/>
      <c r="H5" s="3032" t="str">
        <f ca="1">结果表!H119</f>
        <v>壹拾叁亿贰仟陆佰伍拾壹万元整</v>
      </c>
      <c r="I5" s="3032"/>
    </row>
    <row r="6" spans="1:9" ht="15.75">
      <c r="A6" s="3030" t="str">
        <f>结果表!A120</f>
        <v>估价师知悉的法定优先受偿款</v>
      </c>
      <c r="B6" s="3030"/>
      <c r="C6" s="3030"/>
      <c r="D6" s="3030">
        <f>结果表!D120</f>
        <v>0</v>
      </c>
      <c r="E6" s="3030"/>
      <c r="F6" s="3030"/>
      <c r="G6" s="3030"/>
      <c r="H6" s="3030"/>
      <c r="I6" s="3030"/>
    </row>
    <row r="7" spans="1:9" ht="15">
      <c r="A7" s="3031" t="s">
        <v>1640</v>
      </c>
      <c r="B7" s="3031"/>
      <c r="C7" s="3031"/>
      <c r="D7" s="3033" t="str">
        <f>结果表!D121</f>
        <v>零元整</v>
      </c>
      <c r="E7" s="3034"/>
      <c r="F7" s="3034"/>
      <c r="G7" s="3034"/>
      <c r="H7" s="3034"/>
      <c r="I7" s="3035"/>
    </row>
    <row r="8" spans="1:9" ht="15.75">
      <c r="A8" s="3030" t="str">
        <f>结果表!A122</f>
        <v>房地产抵押价值</v>
      </c>
      <c r="B8" s="3030"/>
      <c r="C8" s="3030"/>
      <c r="D8" s="3030">
        <f ca="1">结果表!D122</f>
        <v>132651</v>
      </c>
      <c r="E8" s="3030"/>
      <c r="F8" s="3030"/>
      <c r="G8" s="3030"/>
      <c r="H8" s="3030"/>
      <c r="I8" s="3030"/>
    </row>
    <row r="9" spans="1:9" ht="15">
      <c r="A9" s="3031" t="s">
        <v>1640</v>
      </c>
      <c r="B9" s="3031"/>
      <c r="C9" s="3031"/>
      <c r="D9" s="3032" t="str">
        <f ca="1">结果表!D123</f>
        <v>壹拾叁亿贰仟陆佰伍拾壹万元整</v>
      </c>
      <c r="E9" s="3032"/>
      <c r="F9" s="3032"/>
      <c r="G9" s="3032"/>
      <c r="H9" s="3032"/>
      <c r="I9" s="3032"/>
    </row>
    <row r="10" spans="1:9" ht="15.75">
      <c r="A10" s="3030" t="str">
        <f>结果表!A124</f>
        <v/>
      </c>
      <c r="B10" s="3030"/>
      <c r="C10" s="3030"/>
      <c r="D10" s="3030" t="str">
        <f>结果表!D124</f>
        <v>——</v>
      </c>
      <c r="E10" s="3030"/>
      <c r="F10" s="3030"/>
      <c r="G10" s="3030"/>
      <c r="H10" s="3030"/>
      <c r="I10" s="3030"/>
    </row>
    <row r="11" spans="1:9" ht="15">
      <c r="A11" s="3031" t="s">
        <v>1640</v>
      </c>
      <c r="B11" s="3031"/>
      <c r="C11" s="3031"/>
      <c r="D11" s="3032" t="e">
        <f>结果表!D125</f>
        <v>#VALUE!</v>
      </c>
      <c r="E11" s="3032"/>
      <c r="F11" s="3032"/>
      <c r="G11" s="3032"/>
      <c r="H11" s="3032"/>
      <c r="I11" s="3032"/>
    </row>
    <row r="12" spans="1:9" ht="15.75">
      <c r="A12" s="3030" t="str">
        <f>结果表!A126</f>
        <v/>
      </c>
      <c r="B12" s="3030"/>
      <c r="C12" s="3030"/>
      <c r="D12" s="3030" t="str">
        <f>结果表!D126</f>
        <v>——</v>
      </c>
      <c r="E12" s="3030"/>
      <c r="F12" s="3030"/>
      <c r="G12" s="3030"/>
      <c r="H12" s="3030"/>
      <c r="I12" s="3030"/>
    </row>
    <row r="13" spans="1:9" ht="15.75" thickBot="1">
      <c r="A13" s="3027" t="s">
        <v>1640</v>
      </c>
      <c r="B13" s="3027"/>
      <c r="C13" s="3027"/>
      <c r="D13" s="3028" t="e">
        <f>结果表!D127</f>
        <v>#VALUE!</v>
      </c>
      <c r="E13" s="3028"/>
      <c r="F13" s="3028"/>
      <c r="G13" s="3028"/>
      <c r="H13" s="3028"/>
      <c r="I13" s="3028"/>
    </row>
    <row r="14" spans="1:9" ht="15" thickTop="1">
      <c r="A14" s="3029" t="s">
        <v>1645</v>
      </c>
      <c r="B14" s="3029"/>
      <c r="C14" s="3029"/>
      <c r="D14" s="3029"/>
      <c r="E14" s="3029"/>
      <c r="F14" s="3029"/>
      <c r="G14" s="3029"/>
      <c r="H14" s="3029"/>
      <c r="I14" s="3029"/>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7" customWidth="1"/>
    <col min="2" max="3" width="22.375" style="1947" customWidth="1"/>
    <col min="4" max="4" width="23" style="1947" customWidth="1"/>
    <col min="5" max="16384" width="9" style="1947"/>
  </cols>
  <sheetData>
    <row r="1" spans="1:4" ht="18.75">
      <c r="A1" s="3044" t="s">
        <v>1662</v>
      </c>
      <c r="B1" s="3044"/>
      <c r="C1" s="3044"/>
      <c r="D1" s="3044"/>
    </row>
    <row r="2" spans="1:4" ht="18">
      <c r="A2" s="3045" t="s">
        <v>1646</v>
      </c>
      <c r="B2" s="3045"/>
      <c r="C2" s="3045"/>
      <c r="D2" s="3045"/>
    </row>
    <row r="3" spans="1:4" ht="18.75">
      <c r="A3" s="1979" t="s">
        <v>1647</v>
      </c>
      <c r="B3" s="1979" t="s">
        <v>1648</v>
      </c>
      <c r="C3" s="1979" t="s">
        <v>1649</v>
      </c>
      <c r="D3" s="1979" t="s">
        <v>1650</v>
      </c>
    </row>
    <row r="4" spans="1:4" ht="56.25" customHeight="1">
      <c r="A4" s="1980" t="str">
        <f>项目基本情况!B4</f>
        <v>王鹏</v>
      </c>
      <c r="B4" s="1981">
        <f ca="1">项目基本情况!C4</f>
        <v>1120050019</v>
      </c>
      <c r="C4" s="1982"/>
      <c r="D4" s="1983" t="s">
        <v>1651</v>
      </c>
    </row>
    <row r="5" spans="1:4" ht="56.25" customHeight="1">
      <c r="A5" s="1980" t="str">
        <f>项目基本情况!D4</f>
        <v>郑燚</v>
      </c>
      <c r="B5" s="1981">
        <f ca="1">项目基本情况!E4</f>
        <v>1120070131</v>
      </c>
      <c r="C5" s="1984"/>
      <c r="D5" s="1983" t="s">
        <v>1651</v>
      </c>
    </row>
    <row r="6" spans="1:4" ht="18">
      <c r="A6" s="3045" t="s">
        <v>1652</v>
      </c>
      <c r="B6" s="3045"/>
      <c r="C6" s="3045"/>
      <c r="D6" s="3045"/>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3046" t="s">
        <v>1655</v>
      </c>
      <c r="B11" s="3038"/>
      <c r="C11" s="3038"/>
      <c r="D11" s="3038"/>
    </row>
    <row r="12" spans="1:4" ht="15.75">
      <c r="A12" s="30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3"/>
      <c r="C12" s="3043"/>
      <c r="D12" s="3043"/>
    </row>
    <row r="13" spans="1:4" ht="30" customHeight="1">
      <c r="A13" s="30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3"/>
      <c r="C13" s="3043"/>
      <c r="D13" s="3043"/>
    </row>
    <row r="14" spans="1:4" ht="15.75" customHeight="1">
      <c r="A14" s="3038" t="str">
        <f>IF(项目基本情况!B8="抵押","4.本次评估估价师所知悉的法定优先受偿款情况说明如下：","——")</f>
        <v>4.本次评估估价师所知悉的法定优先受偿款情况说明如下：</v>
      </c>
      <c r="B14" s="3043"/>
      <c r="C14" s="3043"/>
      <c r="D14" s="3043"/>
    </row>
    <row r="15" spans="1:4" ht="42" customHeight="1">
      <c r="A15" s="3038" t="str">
        <f>IF(项目基本情况!B8="抵押","（1）"&amp;CONCATENATE(项目基本情况!L20,项目基本情况!L21,项目基本情况!L22),"——")</f>
        <v>（1）根据估价对象《房屋所有权证》原件、《国有土地使用权》复印件，截至价值时点，估价对象抵押权未见登记。</v>
      </c>
      <c r="B15" s="3038"/>
      <c r="C15" s="3038"/>
      <c r="D15" s="3038"/>
    </row>
    <row r="16" spans="1:4" ht="30" customHeight="1">
      <c r="A16" s="3040" t="s">
        <v>1656</v>
      </c>
      <c r="B16" s="3040"/>
      <c r="C16" s="3040"/>
      <c r="D16" s="3040"/>
    </row>
    <row r="17" spans="1:4" ht="144" customHeight="1">
      <c r="A17" s="3040" t="s">
        <v>1657</v>
      </c>
      <c r="B17" s="3040"/>
      <c r="C17" s="3040"/>
      <c r="D17" s="3040"/>
    </row>
    <row r="18" spans="1:4" ht="15.75" customHeight="1">
      <c r="A18" s="3038" t="str">
        <f>IF(项目基本情况!B8="抵押",结果表!K120,"——")</f>
        <v>故，本次评估不存在估价师知悉的法定优先受偿款</v>
      </c>
      <c r="B18" s="3038"/>
      <c r="C18" s="3038"/>
      <c r="D18" s="3038"/>
    </row>
    <row r="19" spans="1:4" ht="46.5" customHeight="1">
      <c r="A19" s="30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8"/>
      <c r="C19" s="3038"/>
      <c r="D19" s="3038"/>
    </row>
    <row r="20" spans="1:4" ht="57.75" customHeight="1">
      <c r="A20" s="30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8"/>
      <c r="C20" s="3038"/>
      <c r="D20" s="3038"/>
    </row>
    <row r="21" spans="1:4" ht="57.75" customHeight="1">
      <c r="A21" s="30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1"/>
      <c r="C21" s="3041"/>
      <c r="D21" s="3041"/>
    </row>
    <row r="22" spans="1:4" ht="18.75" customHeight="1">
      <c r="A22" s="3042" t="s">
        <v>1658</v>
      </c>
      <c r="B22" s="3042"/>
      <c r="C22" s="3042"/>
      <c r="D22" s="3042"/>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39">
        <v>42551</v>
      </c>
      <c r="D31" s="303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52" t="s">
        <v>1669</v>
      </c>
      <c r="B15" s="3047" t="s">
        <v>136</v>
      </c>
      <c r="C15" s="3048"/>
    </row>
    <row r="16" spans="1:7" ht="13.5">
      <c r="A16" s="3053"/>
      <c r="B16" s="3047" t="s">
        <v>69</v>
      </c>
      <c r="C16" s="3048"/>
    </row>
    <row r="17" spans="1:3" ht="13.5">
      <c r="A17" s="3053"/>
      <c r="B17" s="3050" t="s">
        <v>1670</v>
      </c>
      <c r="C17" s="2002" t="s">
        <v>1669</v>
      </c>
    </row>
    <row r="18" spans="1:3" ht="13.5">
      <c r="A18" s="3053"/>
      <c r="B18" s="3050"/>
      <c r="C18" s="2002" t="s">
        <v>1671</v>
      </c>
    </row>
    <row r="19" spans="1:3" ht="13.5">
      <c r="A19" s="3053"/>
      <c r="B19" s="3050"/>
      <c r="C19" s="2002" t="s">
        <v>1672</v>
      </c>
    </row>
    <row r="20" spans="1:3" ht="13.5">
      <c r="A20" s="3054"/>
      <c r="B20" s="3049" t="s">
        <v>1673</v>
      </c>
      <c r="C20" s="3048"/>
    </row>
    <row r="21" spans="1:3" ht="13.5">
      <c r="A21" s="2003" t="s">
        <v>1674</v>
      </c>
      <c r="B21" s="2004"/>
      <c r="C21" s="2005"/>
    </row>
    <row r="22" spans="1:3" ht="13.5">
      <c r="A22" s="3051" t="s">
        <v>1675</v>
      </c>
      <c r="B22" s="3049" t="s">
        <v>1676</v>
      </c>
      <c r="C22" s="3048"/>
    </row>
    <row r="23" spans="1:3" ht="13.5">
      <c r="A23" s="3051"/>
      <c r="B23" s="3049" t="s">
        <v>1677</v>
      </c>
      <c r="C23" s="3048"/>
    </row>
    <row r="24" spans="1:3" ht="13.5">
      <c r="A24" s="3051"/>
      <c r="B24" s="3049" t="s">
        <v>1678</v>
      </c>
      <c r="C24" s="3048"/>
    </row>
    <row r="25" spans="1:3" ht="13.5">
      <c r="A25" s="3051"/>
      <c r="B25" s="3050" t="s">
        <v>1679</v>
      </c>
      <c r="C25" s="2002" t="s">
        <v>1680</v>
      </c>
    </row>
    <row r="26" spans="1:3" ht="13.5">
      <c r="A26" s="3051"/>
      <c r="B26" s="3050"/>
      <c r="C26" s="2002" t="s">
        <v>1681</v>
      </c>
    </row>
    <row r="27" spans="1:3" ht="13.5">
      <c r="A27" s="3051"/>
      <c r="B27" s="3050"/>
      <c r="C27" s="2002" t="s">
        <v>1682</v>
      </c>
    </row>
    <row r="28" spans="1:3" ht="13.5">
      <c r="A28" s="3051"/>
      <c r="B28" s="3050"/>
      <c r="C28" s="2002" t="s">
        <v>1683</v>
      </c>
    </row>
    <row r="29" spans="1:3" ht="13.5">
      <c r="A29" s="3051"/>
      <c r="B29" s="3050"/>
      <c r="C29" s="2002" t="s">
        <v>1684</v>
      </c>
    </row>
    <row r="30" spans="1:3" ht="13.5">
      <c r="A30" s="3051"/>
      <c r="B30" s="3050"/>
      <c r="C30" s="2002" t="s">
        <v>1685</v>
      </c>
    </row>
    <row r="31" spans="1:3" ht="13.5">
      <c r="A31" s="3051"/>
      <c r="B31" s="3050"/>
      <c r="C31" s="2002" t="s">
        <v>1686</v>
      </c>
    </row>
    <row r="32" spans="1:3" ht="13.5">
      <c r="A32" s="3051"/>
      <c r="B32" s="3050"/>
      <c r="C32" s="2002" t="s">
        <v>1687</v>
      </c>
    </row>
    <row r="33" spans="1:3" ht="13.5">
      <c r="A33" s="3051"/>
      <c r="B33" s="3050"/>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43257</v>
      </c>
      <c r="C2" s="1021" t="s">
        <v>826</v>
      </c>
      <c r="D2" s="1021"/>
    </row>
    <row r="3" spans="1:6" ht="24" customHeight="1">
      <c r="A3" s="1022" t="s">
        <v>827</v>
      </c>
      <c r="B3" s="1023" t="s">
        <v>828</v>
      </c>
      <c r="C3" s="2342" t="s">
        <v>829</v>
      </c>
      <c r="D3" s="2345" t="s">
        <v>830</v>
      </c>
      <c r="E3" s="1024" t="s">
        <v>831</v>
      </c>
      <c r="F3" s="1023" t="s">
        <v>829</v>
      </c>
    </row>
    <row r="4" spans="1:6" ht="24" customHeight="1">
      <c r="A4" s="1704" t="s">
        <v>832</v>
      </c>
      <c r="B4" s="1024">
        <f ca="1">IF(C4&lt;B2,"已过期",1119970066)</f>
        <v>1119970066</v>
      </c>
      <c r="C4" s="2343">
        <v>43849</v>
      </c>
      <c r="D4" s="2346" t="s">
        <v>832</v>
      </c>
      <c r="E4" s="1024">
        <f ca="1">IF(F4&lt;B2,"已过期",96010014)</f>
        <v>96010014</v>
      </c>
      <c r="F4" s="1032">
        <v>47118</v>
      </c>
    </row>
    <row r="5" spans="1:6" ht="24" customHeight="1">
      <c r="A5" s="1704" t="s">
        <v>833</v>
      </c>
      <c r="B5" s="1024">
        <f ca="1">IF(C5&lt;B2,"已过期",1119970074)</f>
        <v>1119970074</v>
      </c>
      <c r="C5" s="2343">
        <v>43849</v>
      </c>
      <c r="D5" s="2346" t="s">
        <v>833</v>
      </c>
      <c r="E5" s="1024">
        <f ca="1">IF(F5&lt;B2,"已过期",2002110027)</f>
        <v>2002110027</v>
      </c>
      <c r="F5" s="1032">
        <v>46752</v>
      </c>
    </row>
    <row r="6" spans="1:6" ht="24" customHeight="1">
      <c r="A6" s="1704" t="s">
        <v>834</v>
      </c>
      <c r="B6" s="1024">
        <f ca="1">IF(C6&lt;B2,"已过期",1119970111)</f>
        <v>1119970111</v>
      </c>
      <c r="C6" s="2343">
        <v>43849</v>
      </c>
      <c r="D6" s="2346" t="s">
        <v>834</v>
      </c>
      <c r="E6" s="1024">
        <f ca="1">IF(F6&lt;B2,"已过期",94010078)</f>
        <v>94010078</v>
      </c>
      <c r="F6" s="1032">
        <v>46387</v>
      </c>
    </row>
    <row r="7" spans="1:6" ht="24" customHeight="1">
      <c r="A7" s="1704" t="s">
        <v>835</v>
      </c>
      <c r="B7" s="1024">
        <f ca="1">IF(C7&lt;B2,"已过期",1120050019)</f>
        <v>1120050019</v>
      </c>
      <c r="C7" s="2343">
        <v>43359</v>
      </c>
      <c r="D7" s="2346" t="s">
        <v>835</v>
      </c>
      <c r="E7" s="1024">
        <f ca="1">IF(F7&lt;B2,"已过期",2002110030)</f>
        <v>2002110030</v>
      </c>
      <c r="F7" s="1032">
        <v>46387</v>
      </c>
    </row>
    <row r="8" spans="1:6" ht="24" customHeight="1">
      <c r="A8" s="1704" t="s">
        <v>836</v>
      </c>
      <c r="B8" s="1024">
        <f ca="1">IF(C8&lt;B2,"已过期",1120000080)</f>
        <v>1120000080</v>
      </c>
      <c r="C8" s="2343">
        <v>43849</v>
      </c>
      <c r="D8" s="2346" t="s">
        <v>836</v>
      </c>
      <c r="E8" s="1024">
        <f ca="1">IF(F8&lt;B2,"已过期",2000110082)</f>
        <v>2000110082</v>
      </c>
      <c r="F8" s="1032">
        <v>46387</v>
      </c>
    </row>
    <row r="9" spans="1:6" ht="24" customHeight="1">
      <c r="A9" s="1704" t="s">
        <v>837</v>
      </c>
      <c r="B9" s="1024">
        <f ca="1">IF(C9&lt;B2,"已过期",1419970001)</f>
        <v>1419970001</v>
      </c>
      <c r="C9" s="2343">
        <v>43867</v>
      </c>
      <c r="D9" s="2346" t="s">
        <v>837</v>
      </c>
      <c r="E9" s="1024">
        <f ca="1">IF(F9&lt;B2,"已过期",2002110125)</f>
        <v>2002110125</v>
      </c>
      <c r="F9" s="1032">
        <v>47118</v>
      </c>
    </row>
    <row r="10" spans="1:6" ht="24" customHeight="1">
      <c r="A10" s="1704" t="s">
        <v>838</v>
      </c>
      <c r="B10" s="1024">
        <f ca="1">IF(C10&lt;B2,"已过期",1120060040)</f>
        <v>1120060040</v>
      </c>
      <c r="C10" s="2343">
        <v>43483</v>
      </c>
      <c r="D10" s="2346" t="s">
        <v>838</v>
      </c>
      <c r="E10" s="1024">
        <f ca="1">IF(F10&lt;B2,"已过期",2004110096)</f>
        <v>2004110096</v>
      </c>
      <c r="F10" s="1032">
        <v>47118</v>
      </c>
    </row>
    <row r="11" spans="1:6" ht="24" customHeight="1">
      <c r="A11" s="1704" t="s">
        <v>839</v>
      </c>
      <c r="B11" s="1024">
        <f ca="1">IF(C11&lt;B2,"已过期",1120100036)</f>
        <v>1120100036</v>
      </c>
      <c r="C11" s="2343">
        <v>43622</v>
      </c>
      <c r="D11" s="2346" t="s">
        <v>839</v>
      </c>
      <c r="E11" s="1024">
        <f ca="1">IF(F11&lt;B2,"已过期",2010110070)</f>
        <v>2010110070</v>
      </c>
      <c r="F11" s="1032">
        <v>47907</v>
      </c>
    </row>
    <row r="12" spans="1:6" ht="24" customHeight="1">
      <c r="A12" s="1704" t="s">
        <v>3034</v>
      </c>
      <c r="B12" s="1024">
        <v>1120110054</v>
      </c>
      <c r="C12" s="2939">
        <v>43937</v>
      </c>
      <c r="D12" s="1704" t="s">
        <v>3034</v>
      </c>
      <c r="E12" s="1024">
        <v>2008110060</v>
      </c>
      <c r="F12" s="1032">
        <v>47177</v>
      </c>
    </row>
    <row r="13" spans="1:6" ht="24" customHeight="1">
      <c r="A13" s="1704" t="s">
        <v>840</v>
      </c>
      <c r="B13" s="1024">
        <f ca="1">IF(C13&lt;B2,"已过期",1120070131)</f>
        <v>1120070131</v>
      </c>
      <c r="C13" s="2343">
        <v>43814</v>
      </c>
      <c r="D13" s="2346" t="s">
        <v>840</v>
      </c>
      <c r="E13" s="1024">
        <v>2014110011</v>
      </c>
      <c r="F13" s="1032">
        <v>49302</v>
      </c>
    </row>
    <row r="14" spans="1:6" ht="24" customHeight="1">
      <c r="A14" s="1704" t="s">
        <v>841</v>
      </c>
      <c r="B14" s="1024">
        <f ca="1">IF(C14&lt;B2,"已过期",1120130020)</f>
        <v>1120130020</v>
      </c>
      <c r="C14" s="2343">
        <v>43622</v>
      </c>
      <c r="D14" s="2346"/>
      <c r="E14" s="1024"/>
      <c r="F14" s="1024"/>
    </row>
    <row r="15" spans="1:6" ht="24" customHeight="1">
      <c r="A15" s="1705" t="s">
        <v>1149</v>
      </c>
      <c r="B15" s="1024">
        <v>1120070085</v>
      </c>
      <c r="C15" s="2343">
        <v>43814</v>
      </c>
      <c r="D15" s="2347" t="s">
        <v>1149</v>
      </c>
      <c r="E15" s="1024">
        <v>2004110128</v>
      </c>
      <c r="F15" s="1025">
        <v>47118</v>
      </c>
    </row>
    <row r="16" spans="1:6" ht="24" customHeight="1">
      <c r="A16" s="1704" t="s">
        <v>842</v>
      </c>
      <c r="B16" s="1024">
        <f ca="1">IF(C16&lt;B2,"已过期",1120140022)</f>
        <v>1120140022</v>
      </c>
      <c r="C16" s="2343">
        <v>44029</v>
      </c>
      <c r="D16" s="2346" t="s">
        <v>842</v>
      </c>
      <c r="E16" s="1024">
        <f ca="1">IF(F16&lt;B2,"已过期",2008110059)</f>
        <v>2008110059</v>
      </c>
      <c r="F16" s="1032">
        <v>47177</v>
      </c>
    </row>
    <row r="17" spans="1:7" ht="24" customHeight="1">
      <c r="A17" s="1704"/>
      <c r="B17" s="1024"/>
      <c r="C17" s="2343"/>
      <c r="D17" s="2346"/>
      <c r="E17" s="1024"/>
      <c r="F17" s="1032"/>
    </row>
    <row r="18" spans="1:7" ht="24" customHeight="1">
      <c r="A18" s="1704"/>
      <c r="B18" s="1024"/>
      <c r="C18" s="2343"/>
      <c r="D18" s="2346"/>
      <c r="E18" s="1024"/>
      <c r="F18" s="1032"/>
    </row>
    <row r="19" spans="1:7" ht="24" customHeight="1">
      <c r="A19" s="1704"/>
      <c r="B19" s="1024"/>
      <c r="C19" s="2343"/>
      <c r="D19" s="2346"/>
      <c r="E19" s="1024"/>
      <c r="F19" s="1024"/>
    </row>
    <row r="20" spans="1:7" ht="24" customHeight="1">
      <c r="A20" s="1704"/>
      <c r="B20" s="1024"/>
      <c r="C20" s="2343"/>
      <c r="D20" s="2346"/>
      <c r="E20" s="1024"/>
      <c r="F20" s="1024"/>
    </row>
    <row r="21" spans="1:7" ht="24" customHeight="1">
      <c r="A21" s="1704"/>
      <c r="B21" s="1024"/>
      <c r="C21" s="2343"/>
      <c r="D21" s="2346" t="s">
        <v>843</v>
      </c>
      <c r="E21" s="1024">
        <f ca="1">IF(F21&lt;B2,"已过期",2011110090)</f>
        <v>2011110090</v>
      </c>
      <c r="F21" s="1032">
        <v>48302</v>
      </c>
    </row>
    <row r="22" spans="1:7" ht="24" customHeight="1">
      <c r="A22" s="1704" t="s">
        <v>844</v>
      </c>
      <c r="B22" s="1024">
        <f ca="1">IF(C22&lt;B2,"已过期",1120020033)</f>
        <v>1120020033</v>
      </c>
      <c r="C22" s="2343">
        <v>43304</v>
      </c>
      <c r="D22" s="2346" t="s">
        <v>844</v>
      </c>
      <c r="E22" s="1024">
        <f ca="1">IF(F22&lt;B2,"已过期",2000110137)</f>
        <v>2000110137</v>
      </c>
      <c r="F22" s="1032">
        <v>46387</v>
      </c>
    </row>
    <row r="23" spans="1:7" ht="24" customHeight="1">
      <c r="A23" s="1704" t="s">
        <v>845</v>
      </c>
      <c r="B23" s="1024">
        <f ca="1">IF(C23&lt;B2,"已过期",1120130048)</f>
        <v>1120130048</v>
      </c>
      <c r="C23" s="2343">
        <v>43686</v>
      </c>
      <c r="D23" s="2346"/>
      <c r="E23" s="1024"/>
      <c r="F23" s="1024"/>
    </row>
    <row r="24" spans="1:7" s="1026" customFormat="1" ht="24" customHeight="1">
      <c r="A24" s="1705" t="s">
        <v>1333</v>
      </c>
      <c r="B24" s="1705" t="s">
        <v>1333</v>
      </c>
      <c r="C24" s="2344" t="s">
        <v>1333</v>
      </c>
      <c r="D24" s="2347" t="s">
        <v>1333</v>
      </c>
      <c r="E24" s="1705" t="s">
        <v>1333</v>
      </c>
      <c r="F24" s="1705" t="s">
        <v>1333</v>
      </c>
    </row>
    <row r="25" spans="1:7" ht="24" customHeight="1">
      <c r="A25" s="3055" t="s">
        <v>846</v>
      </c>
      <c r="B25" s="3055"/>
      <c r="C25" s="3055"/>
      <c r="D25" s="3055"/>
      <c r="E25" s="3055"/>
      <c r="F25" s="3055"/>
      <c r="G25" s="3055"/>
    </row>
    <row r="26" spans="1:7" s="1027" customFormat="1" ht="24" customHeight="1">
      <c r="A26" s="3056" t="s">
        <v>847</v>
      </c>
      <c r="B26" s="3056"/>
      <c r="C26" s="3057"/>
      <c r="D26" s="3058" t="s">
        <v>848</v>
      </c>
      <c r="E26" s="3056"/>
      <c r="F26" s="3056"/>
    </row>
    <row r="27" spans="1:7" s="1029" customFormat="1" ht="24" customHeight="1">
      <c r="A27" s="1028" t="s">
        <v>849</v>
      </c>
      <c r="B27" s="1023" t="s">
        <v>850</v>
      </c>
      <c r="C27" s="2342" t="s">
        <v>851</v>
      </c>
      <c r="D27" s="2350" t="s">
        <v>849</v>
      </c>
      <c r="E27" s="1023" t="s">
        <v>850</v>
      </c>
      <c r="F27" s="1023" t="s">
        <v>851</v>
      </c>
    </row>
    <row r="28" spans="1:7" s="1029" customFormat="1" ht="24" customHeight="1">
      <c r="A28" s="1030" t="s">
        <v>852</v>
      </c>
      <c r="B28" s="1031" t="s">
        <v>853</v>
      </c>
      <c r="C28" s="2348">
        <v>43725</v>
      </c>
      <c r="D28" s="2351" t="s">
        <v>854</v>
      </c>
      <c r="E28" s="1030" t="s">
        <v>855</v>
      </c>
      <c r="F28" s="1060">
        <v>44377</v>
      </c>
    </row>
    <row r="29" spans="1:7" s="1029" customFormat="1" ht="24" customHeight="1">
      <c r="A29" s="1030"/>
      <c r="B29" s="1030"/>
      <c r="C29" s="2349"/>
      <c r="D29" s="2351"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1" priority="62">
      <formula>AND($C28-TODAY()&lt;30,TODAY()&lt;$C28)</formula>
    </cfRule>
  </conditionalFormatting>
  <conditionalFormatting sqref="C28 F4">
    <cfRule type="cellIs" dxfId="210" priority="64" stopIfTrue="1" operator="lessThan">
      <formula>$B$2</formula>
    </cfRule>
  </conditionalFormatting>
  <conditionalFormatting sqref="C5">
    <cfRule type="expression" dxfId="209" priority="59">
      <formula>AND($C5-TODAY()&lt;30,TODAY()&lt;$C5)</formula>
    </cfRule>
  </conditionalFormatting>
  <conditionalFormatting sqref="C5 F5">
    <cfRule type="cellIs" dxfId="208" priority="60" stopIfTrue="1" operator="lessThan">
      <formula>$B$2</formula>
    </cfRule>
  </conditionalFormatting>
  <conditionalFormatting sqref="F6 F8 F10">
    <cfRule type="cellIs" dxfId="207" priority="58" stopIfTrue="1" operator="lessThan">
      <formula>$B$2</formula>
    </cfRule>
  </conditionalFormatting>
  <conditionalFormatting sqref="C4:C11 C13:C23">
    <cfRule type="expression" dxfId="206" priority="56">
      <formula>AND($C4-TODAY()&lt;30,TODAY()&lt;$C4)</formula>
    </cfRule>
  </conditionalFormatting>
  <conditionalFormatting sqref="F7 F9 F11 C4:C11 C13:C23">
    <cfRule type="cellIs" dxfId="205" priority="57" stopIfTrue="1" operator="lessThan">
      <formula>$B$2</formula>
    </cfRule>
  </conditionalFormatting>
  <conditionalFormatting sqref="C14">
    <cfRule type="expression" dxfId="204" priority="50">
      <formula>AND($C14-TODAY()&lt;30,TODAY()&lt;$C14)</formula>
    </cfRule>
  </conditionalFormatting>
  <conditionalFormatting sqref="C14">
    <cfRule type="cellIs" dxfId="203" priority="51" stopIfTrue="1" operator="lessThan">
      <formula>$B$2</formula>
    </cfRule>
  </conditionalFormatting>
  <conditionalFormatting sqref="C16">
    <cfRule type="expression" dxfId="202" priority="48">
      <formula>AND($C16-TODAY()&lt;30,TODAY()&lt;$C16)</formula>
    </cfRule>
  </conditionalFormatting>
  <conditionalFormatting sqref="C16">
    <cfRule type="cellIs" dxfId="201" priority="49" stopIfTrue="1" operator="lessThan">
      <formula>$B$2</formula>
    </cfRule>
  </conditionalFormatting>
  <conditionalFormatting sqref="C18">
    <cfRule type="expression" dxfId="200" priority="46">
      <formula>AND($C18-TODAY()&lt;30,TODAY()&lt;$C18)</formula>
    </cfRule>
  </conditionalFormatting>
  <conditionalFormatting sqref="C18">
    <cfRule type="cellIs" dxfId="199" priority="47" stopIfTrue="1" operator="lessThan">
      <formula>$B$2</formula>
    </cfRule>
  </conditionalFormatting>
  <conditionalFormatting sqref="C20">
    <cfRule type="expression" dxfId="198" priority="44">
      <formula>AND($C20-TODAY()&lt;30,TODAY()&lt;$C20)</formula>
    </cfRule>
  </conditionalFormatting>
  <conditionalFormatting sqref="C20">
    <cfRule type="cellIs" dxfId="197" priority="45" stopIfTrue="1" operator="lessThan">
      <formula>$B$2</formula>
    </cfRule>
  </conditionalFormatting>
  <conditionalFormatting sqref="C22">
    <cfRule type="expression" dxfId="196" priority="42">
      <formula>AND($C22-TODAY()&lt;30,TODAY()&lt;$C22)</formula>
    </cfRule>
  </conditionalFormatting>
  <conditionalFormatting sqref="C22">
    <cfRule type="cellIs" dxfId="195" priority="43" stopIfTrue="1" operator="lessThan">
      <formula>$B$2</formula>
    </cfRule>
  </conditionalFormatting>
  <conditionalFormatting sqref="C15">
    <cfRule type="expression" dxfId="194" priority="40">
      <formula>AND($C15-TODAY()&lt;30,TODAY()&lt;$C15)</formula>
    </cfRule>
  </conditionalFormatting>
  <conditionalFormatting sqref="C15">
    <cfRule type="cellIs" dxfId="193" priority="41" stopIfTrue="1" operator="lessThan">
      <formula>$B$2</formula>
    </cfRule>
  </conditionalFormatting>
  <conditionalFormatting sqref="C17">
    <cfRule type="expression" dxfId="192" priority="38">
      <formula>AND($C17-TODAY()&lt;30,TODAY()&lt;$C17)</formula>
    </cfRule>
  </conditionalFormatting>
  <conditionalFormatting sqref="C17">
    <cfRule type="cellIs" dxfId="191" priority="39" stopIfTrue="1" operator="lessThan">
      <formula>$B$2</formula>
    </cfRule>
  </conditionalFormatting>
  <conditionalFormatting sqref="C19">
    <cfRule type="expression" dxfId="190" priority="36">
      <formula>AND($C19-TODAY()&lt;30,TODAY()&lt;$C19)</formula>
    </cfRule>
  </conditionalFormatting>
  <conditionalFormatting sqref="C19">
    <cfRule type="cellIs" dxfId="189" priority="37" stopIfTrue="1" operator="lessThan">
      <formula>$B$2</formula>
    </cfRule>
  </conditionalFormatting>
  <conditionalFormatting sqref="C21">
    <cfRule type="expression" dxfId="188" priority="34">
      <formula>AND($C21-TODAY()&lt;30,TODAY()&lt;$C21)</formula>
    </cfRule>
  </conditionalFormatting>
  <conditionalFormatting sqref="C21">
    <cfRule type="cellIs" dxfId="187" priority="35" stopIfTrue="1" operator="lessThan">
      <formula>$B$2</formula>
    </cfRule>
  </conditionalFormatting>
  <conditionalFormatting sqref="C23">
    <cfRule type="expression" dxfId="186" priority="32">
      <formula>AND($C23-TODAY()&lt;30,TODAY()&lt;$C23)</formula>
    </cfRule>
  </conditionalFormatting>
  <conditionalFormatting sqref="C23">
    <cfRule type="cellIs" dxfId="185" priority="33" stopIfTrue="1" operator="lessThan">
      <formula>$B$2</formula>
    </cfRule>
  </conditionalFormatting>
  <conditionalFormatting sqref="F16">
    <cfRule type="cellIs" dxfId="184" priority="30" stopIfTrue="1" operator="lessThan">
      <formula>$B$2</formula>
    </cfRule>
  </conditionalFormatting>
  <conditionalFormatting sqref="F18">
    <cfRule type="cellIs" dxfId="183" priority="29" stopIfTrue="1" operator="lessThan">
      <formula>$B$2</formula>
    </cfRule>
  </conditionalFormatting>
  <conditionalFormatting sqref="F22">
    <cfRule type="cellIs" dxfId="182" priority="28" stopIfTrue="1" operator="lessThan">
      <formula>$B$2</formula>
    </cfRule>
  </conditionalFormatting>
  <conditionalFormatting sqref="F21">
    <cfRule type="cellIs" dxfId="181" priority="27" stopIfTrue="1" operator="lessThan">
      <formula>$B$2</formula>
    </cfRule>
  </conditionalFormatting>
  <conditionalFormatting sqref="F17">
    <cfRule type="cellIs" dxfId="180" priority="26" stopIfTrue="1" operator="lessThan">
      <formula>$B$2</formula>
    </cfRule>
  </conditionalFormatting>
  <conditionalFormatting sqref="B4:B11 E4:E11 B16:B23 E16:E23 B13:B14 E13:E14">
    <cfRule type="cellIs" dxfId="179" priority="25" stopIfTrue="1" operator="equal">
      <formula>"已过期"</formula>
    </cfRule>
  </conditionalFormatting>
  <conditionalFormatting sqref="A24:F24">
    <cfRule type="cellIs" dxfId="178" priority="21" stopIfTrue="1" operator="equal">
      <formula>"已过期"</formula>
    </cfRule>
  </conditionalFormatting>
  <conditionalFormatting sqref="F28">
    <cfRule type="expression" dxfId="177" priority="19">
      <formula>AND($E28-TODAY()&lt;30,TODAY()&lt;$E28)</formula>
    </cfRule>
  </conditionalFormatting>
  <conditionalFormatting sqref="F28">
    <cfRule type="cellIs" dxfId="176" priority="20" stopIfTrue="1" operator="lessThan">
      <formula>$B$2</formula>
    </cfRule>
  </conditionalFormatting>
  <conditionalFormatting sqref="F29">
    <cfRule type="expression" dxfId="175" priority="15" stopIfTrue="1">
      <formula>AND($E29-TODAY()&lt;30,TODAY()&lt;$E29)</formula>
    </cfRule>
  </conditionalFormatting>
  <conditionalFormatting sqref="F29">
    <cfRule type="cellIs" dxfId="174" priority="16" stopIfTrue="1" operator="lessThan">
      <formula>$B$2</formula>
    </cfRule>
  </conditionalFormatting>
  <conditionalFormatting sqref="B15">
    <cfRule type="cellIs" dxfId="173" priority="13" stopIfTrue="1" operator="equal">
      <formula>"已过期"</formula>
    </cfRule>
  </conditionalFormatting>
  <conditionalFormatting sqref="A15">
    <cfRule type="cellIs" dxfId="172" priority="12" stopIfTrue="1" operator="equal">
      <formula>"已过期"</formula>
    </cfRule>
  </conditionalFormatting>
  <conditionalFormatting sqref="C15">
    <cfRule type="expression" dxfId="171" priority="11">
      <formula>AND($C15-TODAY()&lt;30,TODAY()&lt;$C15)</formula>
    </cfRule>
  </conditionalFormatting>
  <conditionalFormatting sqref="E15">
    <cfRule type="cellIs" dxfId="170" priority="10" stopIfTrue="1" operator="equal">
      <formula>"已过期"</formula>
    </cfRule>
  </conditionalFormatting>
  <conditionalFormatting sqref="D15">
    <cfRule type="cellIs" dxfId="169" priority="9" stopIfTrue="1" operator="equal">
      <formula>"已过期"</formula>
    </cfRule>
  </conditionalFormatting>
  <conditionalFormatting sqref="F13">
    <cfRule type="cellIs" dxfId="168" priority="8" stopIfTrue="1" operator="lessThan">
      <formula>$B$2</formula>
    </cfRule>
  </conditionalFormatting>
  <conditionalFormatting sqref="C12">
    <cfRule type="expression" dxfId="167" priority="6">
      <formula>AND($C12-TODAY()&lt;30,TODAY()&lt;$C12)</formula>
    </cfRule>
  </conditionalFormatting>
  <conditionalFormatting sqref="C12">
    <cfRule type="cellIs" dxfId="166" priority="7" stopIfTrue="1" operator="lessThan">
      <formula>$B$2</formula>
    </cfRule>
  </conditionalFormatting>
  <conditionalFormatting sqref="C12">
    <cfRule type="expression" dxfId="165" priority="4">
      <formula>AND($C12-TODAY()&lt;30,TODAY()&lt;$C12)</formula>
    </cfRule>
  </conditionalFormatting>
  <conditionalFormatting sqref="C12">
    <cfRule type="cellIs" dxfId="164" priority="5" stopIfTrue="1" operator="lessThan">
      <formula>$B$2</formula>
    </cfRule>
  </conditionalFormatting>
  <conditionalFormatting sqref="B12">
    <cfRule type="cellIs" dxfId="163" priority="3" stopIfTrue="1" operator="equal">
      <formula>"已过期"</formula>
    </cfRule>
  </conditionalFormatting>
  <conditionalFormatting sqref="E12">
    <cfRule type="cellIs" dxfId="162" priority="2" stopIfTrue="1" operator="equal">
      <formula>"已过期"</formula>
    </cfRule>
  </conditionalFormatting>
  <conditionalFormatting sqref="F12">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137</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定义</vt:lpstr>
      <vt:lpstr>假设开发法</vt:lpstr>
      <vt:lpstr>地上办公</vt:lpstr>
      <vt:lpstr>地下车库</vt:lpstr>
      <vt:lpstr>地下餐厅</vt:lpstr>
      <vt:lpstr>地下办公</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规证</vt:lpstr>
      <vt:lpstr>代建清单</vt:lpstr>
      <vt:lpstr>地上办公!Print_Area</vt:lpstr>
      <vt:lpstr>地下办公!Print_Area</vt:lpstr>
      <vt:lpstr>地下餐厅!Print_Area</vt:lpstr>
      <vt:lpstr>地下车库!Print_Area</vt:lpstr>
      <vt:lpstr>估价师及机构信息!Print_Area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2018-06-06T03:07:54Z</dcterms:modified>
</cp:coreProperties>
</file>