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45" yWindow="300" windowWidth="15390" windowHeight="105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1" l="1"/>
  <c r="D3" i="4" l="1"/>
  <c r="H39" i="6" l="1"/>
  <c r="H38" i="6"/>
  <c r="H40" i="6" s="1"/>
  <c r="G39" i="6"/>
  <c r="G38" i="6"/>
  <c r="J49" i="67" l="1"/>
  <c r="D42" i="43"/>
  <c r="V21" i="1"/>
  <c r="V20" i="1"/>
  <c r="X21" i="1"/>
  <c r="X20" i="1"/>
  <c r="N23" i="1"/>
  <c r="N21" i="1"/>
  <c r="X22" i="1" l="1"/>
  <c r="V22" i="1"/>
  <c r="W22" i="1" s="1"/>
  <c r="Y6" i="1" l="1"/>
  <c r="B21" i="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11"/>
  <c r="G26" i="12"/>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15"/>
  <c r="M28" i="67"/>
  <c r="M24" i="15"/>
  <c r="M23" i="15"/>
  <c r="M26" i="67"/>
  <c r="F13" i="67"/>
  <c r="L48" i="15"/>
  <c r="F7" i="73"/>
  <c r="B8" i="76"/>
  <c r="F9" i="15"/>
  <c r="F42" i="67"/>
  <c r="F9" i="67"/>
  <c r="B12" i="76"/>
  <c r="F5" i="73"/>
  <c r="M8" i="67"/>
  <c r="B9" i="76"/>
  <c r="F26" i="15"/>
  <c r="E9" i="76"/>
  <c r="F13" i="15"/>
  <c r="J15" i="15"/>
  <c r="F36" i="15"/>
  <c r="E2" i="69"/>
  <c r="M9" i="67"/>
  <c r="E2" i="68"/>
  <c r="D6" i="73"/>
  <c r="E12" i="76"/>
  <c r="F3" i="73"/>
  <c r="F20" i="31"/>
  <c r="B10" i="76"/>
  <c r="F16" i="15"/>
  <c r="F40" i="15"/>
  <c r="J15" i="67"/>
  <c r="F7" i="67"/>
  <c r="F38" i="67"/>
  <c r="E10" i="76"/>
  <c r="M26" i="15"/>
  <c r="E8" i="76"/>
  <c r="F40" i="67"/>
  <c r="F8" i="67"/>
  <c r="F26" i="67"/>
  <c r="C76" i="67"/>
  <c r="M22" i="15"/>
  <c r="F16" i="67"/>
  <c r="F8" i="15"/>
  <c r="B7" i="76"/>
  <c r="M29" i="67"/>
  <c r="F4" i="73"/>
  <c r="M28" i="15"/>
  <c r="L48" i="67"/>
  <c r="F6" i="73"/>
  <c r="F38" i="15"/>
  <c r="L47" i="15"/>
  <c r="M9" i="15"/>
  <c r="E11" i="76"/>
  <c r="F42" i="15"/>
  <c r="AO13" i="1"/>
  <c r="M22" i="67"/>
  <c r="F37" i="15"/>
  <c r="B13" i="76"/>
  <c r="L47" i="67"/>
  <c r="M8" i="15"/>
  <c r="F36" i="67"/>
  <c r="F37" i="67"/>
  <c r="M23" i="67"/>
  <c r="E13" i="76"/>
  <c r="F6" i="67"/>
  <c r="F6" i="15"/>
  <c r="B11" i="76"/>
  <c r="E7" i="76"/>
  <c r="M6" i="67"/>
  <c r="M24" i="67"/>
  <c r="F43" i="67"/>
  <c r="M6" i="15"/>
  <c r="C7" i="40" l="1"/>
  <c r="C63" i="40" s="1"/>
  <c r="C7" i="39"/>
  <c r="C67" i="39" s="1"/>
  <c r="C42" i="1"/>
  <c r="C24" i="12" s="1"/>
  <c r="C7" i="36"/>
  <c r="C46" i="36" s="1"/>
  <c r="D46" i="36" s="1"/>
  <c r="E46" i="36" s="1"/>
  <c r="F46" i="36" s="1"/>
  <c r="G46" i="36" s="1"/>
  <c r="H46" i="36" s="1"/>
  <c r="I46" i="36" s="1"/>
  <c r="J46" i="36" s="1"/>
  <c r="K46" i="36" s="1"/>
  <c r="L46" i="36" s="1"/>
  <c r="M46" i="36" s="1"/>
  <c r="N46" i="36" s="1"/>
  <c r="O46" i="36" s="1"/>
  <c r="J51" i="15"/>
  <c r="C7" i="21"/>
  <c r="J51" i="67"/>
  <c r="C7" i="34"/>
  <c r="C59" i="34" s="1"/>
  <c r="D59" i="34" s="1"/>
  <c r="E59" i="34" s="1"/>
  <c r="F59" i="34" s="1"/>
  <c r="G59" i="34" s="1"/>
  <c r="H59" i="34" s="1"/>
  <c r="I59" i="34" s="1"/>
  <c r="J59" i="34" s="1"/>
  <c r="K59" i="34" s="1"/>
  <c r="L59" i="34" s="1"/>
  <c r="M59" i="34" s="1"/>
  <c r="N59" i="34" s="1"/>
  <c r="O59" i="34" s="1"/>
  <c r="G23" i="43"/>
  <c r="C23" i="43" s="1"/>
  <c r="C7" i="33"/>
  <c r="C40" i="68"/>
  <c r="C18" i="9"/>
  <c r="D18" i="9" s="1"/>
  <c r="C21" i="68"/>
  <c r="F8" i="1"/>
  <c r="G8" i="1" s="1"/>
  <c r="G16" i="1" s="1"/>
  <c r="F10" i="39" s="1"/>
  <c r="G44" i="43"/>
  <c r="BL18" i="3"/>
  <c r="BL19" i="3"/>
  <c r="BA19" i="3"/>
  <c r="AZ19" i="3" s="1"/>
  <c r="BA18" i="3"/>
  <c r="E19" i="6"/>
  <c r="K6" i="1" s="1"/>
  <c r="H5" i="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3" i="73"/>
  <c r="D4" i="73"/>
  <c r="F43" i="15"/>
  <c r="D5" i="73"/>
  <c r="D7" i="73"/>
  <c r="M29" i="15"/>
  <c r="F7" i="15"/>
  <c r="C16" i="15"/>
  <c r="C16" i="67"/>
  <c r="J7" i="37" l="1"/>
  <c r="F31" i="15"/>
  <c r="J7" i="36"/>
  <c r="J26" i="43"/>
  <c r="F71" i="15"/>
  <c r="M7" i="15"/>
  <c r="J6" i="15" s="1"/>
  <c r="C6" i="15"/>
  <c r="F50" i="15"/>
  <c r="F59" i="15" s="1"/>
  <c r="AP6" i="1"/>
  <c r="C36" i="69" s="1"/>
  <c r="G26" i="43"/>
  <c r="K16" i="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49" i="15"/>
  <c r="J18"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AE6" i="1"/>
  <c r="G1" i="73"/>
  <c r="J5" i="15" l="1"/>
  <c r="J24" i="15" s="1"/>
  <c r="AC6" i="3"/>
  <c r="D26" i="43"/>
  <c r="C25" i="43" s="1"/>
  <c r="C33"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C6" i="69"/>
  <c r="C7" i="69" s="1"/>
  <c r="B14" i="74"/>
  <c r="B1" i="74" s="1"/>
  <c r="F22" i="68"/>
  <c r="C44" i="68" s="1"/>
  <c r="D41" i="68" s="1"/>
  <c r="D116" i="43"/>
  <c r="E49" i="34"/>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F41" i="68" l="1"/>
  <c r="H24" i="6"/>
  <c r="C14" i="74"/>
  <c r="B2" i="74" s="1"/>
  <c r="D30" i="6"/>
  <c r="C26" i="68"/>
  <c r="D22" i="68" s="1"/>
  <c r="H25" i="6"/>
  <c r="C26" i="11"/>
  <c r="D22" i="11" s="1"/>
  <c r="C23" i="11"/>
  <c r="C44" i="11"/>
  <c r="D41" i="11" s="1"/>
  <c r="C25"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7" i="74" l="1"/>
  <c r="D8" i="74"/>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20" i="9"/>
  <c r="D34" i="9"/>
  <c r="Q69" i="67" l="1"/>
  <c r="Q68" i="67" s="1"/>
  <c r="I37" i="67"/>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AN16" i="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H4" i="52" l="1"/>
  <c r="D14" i="74"/>
  <c r="G14" i="74" s="1"/>
  <c r="B6" i="74" s="1"/>
  <c r="D6" i="74" s="1"/>
  <c r="I118" i="9"/>
  <c r="C105" i="9" s="1"/>
  <c r="D4" i="52"/>
  <c r="B47" i="72" s="1"/>
  <c r="F119" i="9"/>
  <c r="F5" i="52" s="1"/>
  <c r="B53" i="72" s="1"/>
  <c r="G118" i="9"/>
  <c r="G4" i="52" s="1"/>
  <c r="B52" i="72" s="1"/>
  <c r="C104" i="9"/>
  <c r="H101" i="9"/>
  <c r="H119" i="9"/>
  <c r="H5" i="52" s="1"/>
  <c r="H102" i="9" l="1"/>
  <c r="I4" i="52"/>
  <c r="E14" i="74"/>
  <c r="F14" i="74"/>
  <c r="B5" i="74"/>
  <c r="D5" i="74" s="1"/>
  <c r="E118" i="9"/>
  <c r="E4" i="52" s="1"/>
  <c r="B48" i="72" s="1"/>
  <c r="C5" i="74"/>
  <c r="D7" i="53"/>
  <c r="B21" i="72" s="1"/>
  <c r="D5" i="53"/>
  <c r="H107" i="9"/>
  <c r="D45" i="9"/>
  <c r="M48" i="9"/>
  <c r="B20" i="72" l="1"/>
  <c r="D6" i="53"/>
  <c r="B22" i="72" s="1"/>
  <c r="D53" i="9"/>
  <c r="C93" i="9"/>
  <c r="C86" i="9" s="1"/>
  <c r="C85" i="9"/>
  <c r="D52" i="9"/>
  <c r="D55" i="9"/>
  <c r="M53" i="9" s="1"/>
  <c r="C72" i="9"/>
  <c r="C64" i="9"/>
  <c r="C63" i="9" s="1"/>
  <c r="C67" i="9" s="1"/>
  <c r="C78" i="9"/>
  <c r="C73" i="9" s="1"/>
  <c r="D122" i="9"/>
  <c r="H108" i="9"/>
  <c r="D13" i="53"/>
  <c r="C79" i="9" l="1"/>
  <c r="C6" i="74"/>
  <c r="D15" i="53"/>
  <c r="B31" i="72" s="1"/>
  <c r="C80" i="9"/>
  <c r="E80" i="9" s="1"/>
  <c r="E81" i="9" s="1"/>
  <c r="D123" i="9"/>
  <c r="D9" i="52" s="1"/>
  <c r="D8" i="52"/>
  <c r="D14" i="53"/>
  <c r="B32" i="72" s="1"/>
  <c r="B30" i="72"/>
  <c r="C68" i="9"/>
  <c r="D54" i="9" s="1"/>
  <c r="D59" i="9"/>
  <c r="M55" i="9" s="1"/>
  <c r="C95" i="9"/>
  <c r="C96" i="9" l="1"/>
  <c r="E96" i="9" s="1"/>
  <c r="E97" i="9" s="1"/>
  <c r="C81" i="9"/>
  <c r="C97" i="9" l="1"/>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<sst xmlns="http://schemas.openxmlformats.org/spreadsheetml/2006/main" count="7827" uniqueCount="3428">
  <si>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</si>
  <si>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</si>
  <si>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</si>
  <si>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</si>
  <si>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</si>
  <si>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</si>
  <si>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</si>
  <si>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</si>
  <si>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</si>
  <si>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</si>
  <si>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</si>
  <si>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</si>
  <si>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</si>
  <si>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</si>
  <si>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</si>
  <si>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</si>
  <si>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</si>
  <si>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</si>
  <si>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</si>
  <si>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</si>
  <si>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</si>
  <si>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</si>
  <si>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</si>
  <si>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</si>
  <si>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</si>
  <si>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</si>
  <si>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</si>
  <si>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</si>
  <si>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</si>
  <si>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</si>
  <si>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</si>
  <si>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</si>
  <si>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</si>
  <si>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</si>
  <si>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</si>
  <si>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</si>
  <si>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</si>
  <si>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</si>
  <si>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</si>
  <si>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</si>
  <si>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</si>
  <si>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</si>
  <si>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</si>
  <si>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</si>
  <si>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</si>
  <si>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</si>
  <si>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</si>
  <si>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</si>
  <si>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</si>
  <si>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</si>
  <si>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</si>
  <si>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</si>
  <si>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</si>
  <si>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</si>
  <si>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</si>
  <si>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</si>
  <si>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</si>
  <si>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</si>
  <si>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</si>
  <si>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</si>
  <si>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</si>
  <si>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</si>
  <si>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</si>
  <si>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</si>
  <si>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</si>
  <si>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</si>
  <si>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</si>
  <si>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</si>
  <si>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</si>
  <si>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</si>
  <si>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</si>
  <si>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</si>
  <si>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</si>
  <si>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</si>
  <si>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</si>
  <si>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</si>
  <si>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</si>
  <si>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</si>
  <si>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</si>
  <si>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</si>
  <si>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</si>
  <si>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</si>
  <si>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</si>
  <si>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</si>
  <si>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</si>
  <si>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</si>
  <si>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</si>
  <si>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</si>
  <si>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</si>
  <si>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</si>
  <si>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</si>
  <si>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</si>
  <si>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</si>
  <si>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</si>
  <si>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</si>
  <si>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</si>
  <si>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</si>
  <si>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</si>
  <si>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</si>
  <si>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</si>
  <si>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</si>
  <si>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</si>
  <si>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</si>
  <si>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</si>
  <si>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</si>
  <si>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</si>
  <si>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</si>
  <si>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</si>
  <si>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</si>
  <si>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</si>
  <si>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</si>
  <si>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</si>
  <si>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</si>
  <si>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</si>
  <si>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</si>
  <si>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</si>
  <si>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</si>
  <si>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</si>
  <si>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</si>
  <si>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</si>
  <si>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</si>
  <si>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</si>
  <si>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</si>
  <si>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</si>
  <si>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</si>
  <si>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</si>
  <si>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</si>
  <si>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</si>
  <si>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</si>
  <si>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</si>
  <si>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</si>
  <si>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</si>
  <si>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</si>
  <si>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</si>
  <si>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</si>
  <si>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</si>
  <si>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</si>
  <si>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</si>
  <si>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</si>
  <si>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</si>
  <si>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</si>
  <si>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</si>
  <si>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</si>
  <si>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</si>
  <si>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</si>
  <si>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</si>
  <si>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</si>
  <si>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</si>
  <si>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</si>
  <si>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</si>
  <si>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</si>
  <si>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</si>
  <si>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</si>
  <si>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</si>
  <si>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</si>
  <si>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</si>
  <si>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</si>
  <si>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</si>
  <si>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</si>
  <si>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</si>
  <si>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</si>
  <si>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</si>
  <si>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</si>
  <si>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</si>
  <si>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</si>
  <si>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</si>
  <si>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</si>
  <si>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</si>
  <si>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</si>
  <si>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</si>
  <si>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</si>
  <si>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</si>
  <si>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</si>
  <si>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</si>
  <si>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</si>
  <si>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</si>
  <si>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</si>
  <si>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</si>
  <si>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</si>
  <si>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</si>
  <si>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</si>
  <si>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</si>
  <si>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</si>
  <si>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</si>
  <si>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</si>
  <si>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</si>
  <si>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</si>
  <si>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</si>
  <si>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</si>
  <si>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</si>
  <si>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</si>
  <si>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</si>
  <si>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</si>
  <si>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</si>
  <si>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</si>
  <si>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</si>
  <si>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</si>
  <si>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</si>
  <si>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</si>
  <si>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</si>
  <si>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</si>
  <si>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</si>
  <si>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</si>
  <si>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</si>
  <si>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</si>
  <si>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</si>
  <si>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</si>
  <si>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</si>
  <si>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</si>
  <si>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</si>
  <si>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</si>
  <si>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</si>
  <si>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</si>
  <si>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</si>
  <si>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</si>
  <si>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</si>
  <si>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</si>
  <si>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</si>
  <si>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</si>
  <si>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</si>
  <si>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</si>
  <si>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</si>
  <si>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</si>
  <si>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</si>
  <si>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</si>
  <si>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</si>
  <si>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</si>
  <si>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</si>
  <si>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</si>
  <si>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</si>
  <si>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</si>
  <si>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</si>
  <si>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</si>
  <si>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</si>
  <si>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</si>
  <si>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</si>
  <si>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</si>
  <si>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</si>
  <si>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</si>
  <si>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</si>
  <si>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</si>
  <si>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</si>
  <si>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</si>
  <si>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</si>
  <si>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</si>
  <si>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</si>
  <si>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</si>
  <si>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</si>
  <si>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</si>
  <si>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</si>
  <si>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</si>
  <si>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</si>
  <si>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</si>
  <si>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</si>
  <si>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</si>
  <si>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</si>
  <si>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</si>
  <si>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</si>
  <si>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</si>
  <si>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</si>
  <si>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</si>
  <si>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</si>
  <si>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</si>
  <si>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</si>
  <si>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</si>
  <si>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</si>
  <si>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</si>
  <si>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</si>
  <si>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</si>
  <si>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</si>
  <si>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</si>
  <si>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</si>
  <si>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</si>
  <si>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</si>
  <si>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</si>
  <si>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</si>
  <si>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</si>
  <si>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</si>
  <si>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</si>
  <si>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</si>
  <si>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</si>
  <si>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</si>
  <si>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</si>
  <si>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</si>
  <si>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</si>
  <si>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</si>
  <si>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</si>
  <si>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</si>
  <si>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</si>
  <si>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</si>
  <si>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</si>
  <si>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</si>
  <si>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</si>
  <si>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</si>
  <si>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</si>
  <si>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</si>
  <si>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</si>
  <si>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</si>
  <si>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</si>
  <si>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</si>
  <si>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</si>
  <si>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</si>
  <si>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</si>
  <si>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</si>
  <si>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</si>
  <si>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</si>
  <si>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</si>
  <si>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</si>
  <si>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</si>
  <si>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</si>
  <si>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</si>
  <si>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</si>
  <si>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</si>
  <si>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</si>
  <si>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</si>
  <si>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</si>
  <si>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</si>
  <si>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</si>
  <si>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</si>
  <si>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</si>
  <si>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</si>
  <si>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</si>
  <si>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</si>
  <si>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</si>
  <si>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</si>
  <si>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</si>
  <si>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</si>
  <si>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</si>
  <si>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</si>
  <si>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</si>
  <si>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</si>
  <si>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</si>
  <si>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</si>
  <si>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</si>
  <si>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</si>
  <si>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</si>
  <si>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</si>
  <si>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</si>
  <si>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</si>
  <si>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</si>
  <si>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</si>
  <si>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</si>
  <si>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</si>
  <si>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</si>
  <si>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</si>
  <si>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</si>
  <si>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</si>
  <si>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</si>
  <si>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</si>
  <si>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</si>
  <si>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</si>
  <si>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</si>
  <si>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</si>
  <si>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</si>
  <si>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</si>
  <si>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</si>
  <si>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</si>
  <si>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</si>
  <si>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</si>
  <si>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</si>
  <si>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</si>
  <si>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</si>
  <si>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</si>
  <si>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</si>
  <si>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</si>
  <si>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</si>
  <si>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</si>
  <si>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</si>
  <si>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</si>
  <si>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</si>
  <si>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</si>
  <si>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</si>
  <si>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</si>
  <si>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</si>
  <si>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</si>
  <si>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</si>
  <si>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</si>
  <si>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</si>
  <si>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</si>
  <si>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</si>
  <si>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</si>
  <si>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</si>
  <si>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</si>
  <si>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</si>
  <si>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</si>
  <si>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</si>
  <si>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</si>
  <si>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</si>
  <si>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</si>
  <si>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</si>
  <si>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</si>
  <si>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</si>
  <si>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</si>
  <si>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</si>
  <si>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</si>
  <si>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</si>
  <si>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</si>
  <si>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</si>
  <si>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</si>
  <si>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</si>
  <si>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</si>
  <si>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</si>
  <si>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</si>
  <si>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</si>
  <si>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</si>
  <si>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</si>
  <si>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</si>
  <si>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</si>
  <si>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</si>
  <si>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</si>
  <si>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</si>
  <si>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</si>
  <si>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</si>
  <si>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</si>
  <si>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</si>
  <si>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</si>
  <si>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</si>
  <si>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</si>
  <si>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</si>
  <si>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</si>
  <si>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</si>
  <si>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</si>
  <si>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</si>
  <si>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</si>
  <si>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</si>
  <si>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</si>
  <si>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</si>
  <si>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</si>
  <si>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</si>
  <si>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</si>
  <si>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</si>
  <si>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</si>
  <si>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</si>
  <si>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</si>
  <si>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</si>
  <si>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</si>
  <si>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</si>
  <si>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</si>
  <si>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</si>
  <si>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</si>
  <si>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</si>
  <si>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</si>
  <si>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</si>
  <si>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</si>
  <si>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</si>
  <si>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</si>
  <si>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</si>
  <si>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</si>
  <si>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</si>
  <si>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</si>
  <si>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</si>
  <si>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</si>
  <si>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</si>
  <si>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</si>
  <si>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</si>
  <si>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</si>
  <si>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</si>
  <si>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</si>
  <si>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</si>
  <si>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</si>
  <si>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</si>
  <si>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</si>
  <si>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</si>
  <si>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</si>
  <si>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</si>
  <si>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</si>
  <si>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</si>
  <si>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</si>
  <si>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</si>
  <si>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</si>
  <si>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</si>
  <si>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</si>
  <si>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</si>
  <si>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</si>
  <si>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</si>
  <si>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</si>
  <si>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</si>
  <si>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</si>
  <si>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</si>
  <si>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</si>
  <si>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</si>
  <si>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</si>
  <si>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</si>
  <si>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</si>
  <si>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</si>
  <si>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</si>
  <si>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</si>
  <si>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</si>
  <si>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</si>
  <si>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</si>
  <si>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</si>
  <si>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</si>
  <si>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</si>
  <si>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</si>
  <si>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</si>
  <si>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</si>
  <si>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</si>
  <si>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</si>
  <si>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</si>
  <si>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</si>
  <si>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</si>
  <si>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</si>
  <si>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</si>
  <si>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</si>
  <si>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</si>
  <si>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</si>
  <si>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</si>
  <si>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</si>
  <si>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</si>
  <si>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</si>
  <si>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</si>
  <si>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</si>
  <si>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</si>
  <si>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</si>
  <si>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</si>
  <si>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</si>
  <si>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</si>
  <si>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</si>
  <si>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</si>
  <si>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</si>
  <si>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</si>
  <si>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</si>
  <si>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</si>
  <si>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</si>
  <si>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</si>
  <si>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</si>
  <si>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</si>
  <si>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</si>
  <si>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</si>
  <si>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</si>
  <si>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</si>
  <si>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</si>
  <si>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</si>
  <si>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</si>
  <si>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</si>
  <si>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</si>
  <si>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</si>
  <si>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</si>
  <si>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</si>
  <si>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</si>
  <si>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</si>
  <si>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</si>
  <si>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</si>
  <si>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</si>
  <si>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</si>
  <si>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</si>
  <si>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</si>
  <si>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</si>
  <si>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</si>
  <si>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</si>
  <si>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</si>
  <si>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</si>
  <si>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</si>
  <si>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</si>
  <si>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</si>
  <si>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</si>
  <si>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</si>
  <si>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</si>
  <si>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</si>
  <si>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</si>
  <si>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</si>
  <si>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</si>
  <si>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</si>
  <si>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</si>
  <si>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</si>
  <si>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</si>
  <si>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</si>
  <si>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</si>
  <si>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</si>
  <si>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</si>
  <si>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</si>
  <si>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</si>
  <si>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</si>
  <si>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</si>
  <si>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</si>
  <si>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</si>
  <si>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</si>
  <si>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</si>
  <si>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</si>
  <si>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</si>
  <si>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</si>
  <si>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</si>
  <si>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</si>
  <si>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</si>
  <si>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</si>
  <si>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</si>
  <si>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</si>
  <si>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</si>
  <si>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</si>
  <si>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</si>
  <si>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</si>
  <si>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</si>
  <si>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</si>
  <si>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</si>
  <si>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</si>
  <si>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</si>
  <si>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</si>
  <si>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</si>
  <si>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</si>
  <si>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</si>
  <si>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</si>
  <si>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</si>
  <si>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</si>
  <si>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</si>
  <si>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</si>
  <si>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</si>
  <si>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</si>
  <si>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</si>
  <si>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</si>
  <si>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</si>
  <si>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</si>
  <si>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</si>
  <si>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</si>
  <si>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</si>
  <si>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</si>
  <si>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</si>
  <si>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</si>
  <si>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</si>
  <si>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</si>
  <si>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</si>
  <si>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</si>
  <si>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</si>
  <si>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</si>
  <si>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</si>
  <si>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</si>
  <si>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</si>
  <si>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</si>
  <si>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</si>
  <si>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</si>
  <si>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</si>
  <si>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</si>
  <si>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</si>
  <si>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</si>
  <si>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</si>
  <si>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</si>
  <si>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</si>
  <si>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</si>
  <si>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</si>
  <si>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</si>
  <si>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</si>
  <si>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</si>
  <si>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</si>
  <si>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</si>
  <si>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</si>
  <si>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</si>
  <si>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</si>
  <si>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</si>
  <si>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</si>
  <si>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</si>
  <si>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</si>
  <si>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</si>
  <si>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</si>
  <si>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</si>
  <si>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</si>
  <si>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</si>
  <si>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</si>
  <si>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</si>
  <si>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</si>
  <si>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</si>
  <si>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</si>
  <si>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</si>
  <si>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</si>
  <si>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</si>
  <si>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</si>
  <si>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</si>
  <si>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</si>
  <si>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</si>
  <si>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</si>
  <si>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</si>
  <si>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</si>
  <si>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</si>
  <si>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</si>
  <si>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</si>
  <si>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</si>
  <si>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</si>
  <si>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</si>
  <si>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</si>
  <si>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</si>
  <si>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</si>
  <si>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</si>
  <si>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</si>
  <si>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</si>
  <si>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</si>
  <si>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</si>
  <si>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</si>
  <si>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</si>
  <si>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</si>
  <si>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</si>
  <si>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</si>
  <si>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</si>
  <si>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</si>
  <si>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</si>
  <si>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</si>
  <si>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</si>
  <si>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</si>
  <si>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</si>
  <si>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</si>
  <si>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</si>
  <si>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</si>
  <si>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</si>
  <si>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</si>
  <si>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</si>
  <si>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</si>
  <si>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</si>
  <si>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</si>
  <si>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</si>
  <si>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</si>
  <si>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</si>
  <si>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</si>
  <si>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</si>
  <si>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</si>
  <si>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</si>
  <si>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</si>
  <si>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</si>
  <si>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</si>
  <si>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</si>
  <si>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</si>
  <si>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</si>
  <si>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</si>
  <si>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</si>
  <si>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</si>
  <si>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</si>
  <si>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</si>
  <si>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</si>
  <si>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</si>
  <si>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</si>
  <si>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</si>
  <si>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</si>
  <si>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</si>
  <si>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</si>
  <si>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</si>
  <si>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</si>
  <si>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</si>
  <si>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</si>
  <si>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</si>
  <si>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</si>
  <si>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</si>
  <si>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</si>
  <si>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</si>
  <si>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</si>
  <si>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</si>
  <si>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</si>
  <si>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</si>
  <si>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</si>
  <si>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</si>
  <si>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</si>
  <si>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</si>
  <si>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</si>
  <si>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</si>
  <si>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</si>
  <si>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</si>
  <si>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</si>
  <si>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</si>
  <si>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</si>
  <si>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</si>
  <si>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</si>
  <si>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</si>
  <si>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</si>
  <si>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</si>
  <si>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</si>
  <si>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</si>
  <si>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</si>
  <si>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</si>
  <si>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</si>
  <si>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</si>
  <si>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</si>
  <si>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</si>
  <si>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</si>
  <si>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</si>
  <si>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</si>
  <si>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</si>
  <si>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</si>
  <si>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</si>
  <si>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</si>
  <si>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</si>
  <si>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</si>
  <si>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</si>
  <si>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</si>
  <si>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</si>
  <si>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</si>
  <si>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</si>
  <si>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</si>
  <si>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</si>
  <si>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</si>
  <si>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</si>
  <si>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</si>
  <si>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</si>
  <si>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</si>
  <si>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</si>
  <si>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</si>
  <si>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</si>
  <si>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</si>
  <si>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</si>
  <si>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</si>
  <si>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</si>
  <si>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</si>
  <si>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</si>
  <si>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</si>
  <si>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</si>
  <si>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</si>
  <si>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</si>
  <si>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</si>
  <si>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</si>
  <si>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</si>
  <si>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</si>
  <si>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</si>
  <si>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</si>
  <si>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</si>
  <si>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</si>
  <si>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</si>
  <si>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</si>
  <si>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</si>
  <si>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</si>
  <si>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</si>
  <si>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</si>
  <si>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</si>
  <si>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</si>
  <si>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</si>
  <si>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</si>
  <si>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</si>
  <si>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</si>
  <si>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</si>
  <si>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</si>
  <si>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</si>
  <si>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</si>
  <si>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</si>
  <si>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</si>
  <si>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</si>
  <si>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</si>
  <si>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</si>
  <si>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</si>
  <si>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</si>
  <si>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</si>
  <si>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</si>
  <si>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</si>
  <si>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</si>
  <si>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</si>
  <si>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</si>
  <si>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</si>
  <si>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</si>
  <si>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</si>
  <si>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</si>
  <si>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</si>
  <si>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</si>
  <si>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</si>
  <si>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</si>
  <si>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</si>
  <si>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</si>
  <si>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</si>
  <si>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</si>
  <si>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</si>
  <si>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</si>
  <si>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</si>
  <si>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</si>
  <si>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</si>
  <si>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</si>
  <si>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</si>
  <si>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</si>
  <si>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</si>
  <si>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</si>
  <si>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</si>
  <si>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</si>
  <si>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</si>
  <si>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</si>
  <si>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</si>
  <si>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</si>
  <si>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</si>
  <si>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</si>
  <si>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</si>
  <si>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</si>
  <si>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</si>
  <si>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</si>
  <si>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</si>
  <si>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</si>
  <si>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</si>
  <si>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</si>
  <si>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</si>
  <si>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</si>
  <si>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</si>
  <si>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</si>
  <si>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</si>
  <si>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</si>
  <si>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</si>
  <si>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</si>
  <si>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</si>
  <si>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</si>
  <si>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</si>
  <si>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</si>
  <si>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</si>
  <si>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</si>
  <si>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</si>
  <si>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</si>
  <si>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</si>
  <si>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</si>
  <si>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</si>
  <si>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</si>
  <si>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</si>
  <si>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</si>
  <si>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</si>
  <si>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</si>
  <si>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</si>
  <si>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</si>
  <si>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</si>
  <si>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</si>
  <si>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</si>
  <si>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</si>
  <si>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</si>
  <si>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</si>
  <si>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</si>
  <si>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</si>
  <si>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</si>
  <si>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</si>
  <si>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</si>
  <si>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</si>
  <si>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</si>
  <si>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</si>
  <si>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</si>
  <si>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</si>
  <si>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</si>
  <si>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</si>
  <si>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</si>
  <si>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</si>
  <si>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</si>
  <si>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</si>
  <si>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</si>
  <si>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</si>
  <si>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</si>
  <si>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</si>
  <si>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</si>
  <si>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</si>
  <si>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</si>
  <si>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</si>
  <si>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</si>
  <si>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</si>
  <si>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</si>
  <si>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</si>
  <si>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</si>
  <si>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</si>
  <si>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</si>
  <si>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</si>
  <si>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</si>
  <si>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</si>
  <si>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</si>
  <si>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</si>
  <si>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</si>
  <si>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</si>
  <si>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</si>
  <si>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</si>
  <si>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</si>
  <si>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</si>
  <si>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</si>
  <si>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</si>
  <si>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</si>
  <si>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</si>
  <si>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</si>
  <si>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</si>
  <si>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</si>
  <si>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</si>
  <si>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</si>
  <si>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</si>
  <si>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</si>
  <si>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</si>
  <si>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</si>
  <si>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</si>
  <si>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</si>
  <si>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</si>
  <si>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</si>
  <si>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</si>
  <si>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</si>
  <si>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</si>
  <si>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</si>
  <si>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</si>
  <si>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</si>
  <si>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</si>
  <si>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</si>
  <si>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</si>
  <si>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</si>
  <si>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</si>
  <si>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</si>
  <si>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</si>
  <si>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</si>
  <si>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</si>
  <si>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</si>
  <si>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</si>
  <si>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</si>
  <si>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</si>
  <si>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</si>
  <si>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</si>
  <si>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</si>
  <si>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</si>
  <si>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</si>
  <si>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</si>
  <si>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</si>
  <si>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</si>
  <si>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</si>
  <si>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</si>
  <si>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</si>
  <si>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</si>
  <si>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</si>
  <si>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</si>
  <si>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</si>
  <si>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</si>
  <si>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</si>
  <si>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</si>
  <si>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</si>
  <si>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</si>
  <si>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</si>
  <si>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</si>
  <si>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</si>
  <si>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</si>
  <si>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</si>
  <si>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</si>
  <si>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</si>
  <si>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</si>
  <si>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</si>
  <si>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</si>
  <si>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</si>
  <si>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</si>
  <si>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</si>
  <si>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</si>
  <si>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</si>
  <si>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</si>
  <si>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</si>
  <si>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</si>
  <si>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</si>
  <si>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</si>
  <si>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</si>
  <si>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</si>
  <si>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</si>
  <si>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</si>
  <si>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</si>
  <si>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</si>
  <si>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</si>
  <si>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</si>
  <si>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</si>
  <si>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</si>
  <si>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</si>
  <si>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</si>
  <si>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</si>
  <si>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</si>
  <si>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</si>
  <si>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</si>
  <si>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</si>
  <si>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</si>
  <si>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</si>
  <si>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</si>
  <si>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</si>
  <si>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</si>
  <si>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</si>
  <si>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</si>
  <si>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</si>
  <si>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</si>
  <si>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</si>
  <si>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</si>
  <si>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</si>
  <si>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</si>
  <si>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</si>
  <si>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</si>
  <si>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</si>
  <si>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</si>
  <si>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</si>
  <si>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</si>
  <si>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</si>
  <si>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</si>
  <si>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</si>
  <si>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</si>
  <si>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</si>
  <si>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</si>
  <si>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</si>
  <si>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</si>
  <si>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</si>
  <si>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</si>
  <si>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</si>
  <si>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</si>
  <si>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</si>
  <si>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</si>
  <si>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</si>
  <si>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</si>
  <si>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</si>
  <si>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</si>
  <si>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</si>
  <si>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</si>
  <si>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</si>
  <si>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</si>
  <si>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</si>
  <si>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</si>
  <si>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</si>
  <si>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</si>
  <si>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</si>
  <si>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</si>
  <si>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</si>
  <si>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</si>
  <si>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</si>
  <si>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</si>
  <si>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</si>
  <si>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</si>
  <si>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</si>
  <si>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</si>
  <si>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</si>
  <si>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</si>
  <si>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</si>
  <si>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</si>
  <si>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</si>
  <si>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</si>
  <si>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</si>
  <si>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</si>
  <si>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</si>
  <si>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</si>
  <si>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</si>
  <si>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</si>
  <si>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</si>
  <si>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</si>
  <si>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</si>
  <si>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</si>
  <si>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</si>
  <si>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</si>
  <si>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</si>
  <si>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</si>
  <si>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</si>
  <si>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</si>
  <si>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</si>
  <si>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</si>
  <si>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</si>
  <si>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</si>
  <si>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</si>
  <si>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</si>
  <si>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</si>
  <si>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</si>
  <si>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</si>
  <si>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</si>
  <si>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</si>
  <si>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</si>
  <si>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</si>
  <si>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</si>
  <si>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</si>
  <si>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</si>
  <si>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</si>
  <si>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</si>
  <si>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</si>
  <si>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</si>
  <si>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</si>
  <si>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</si>
  <si>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</si>
  <si>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</si>
  <si>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</si>
  <si>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</si>
  <si>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</si>
  <si>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</si>
  <si>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</si>
  <si>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</si>
  <si>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</si>
  <si>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</si>
  <si>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</si>
  <si>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</si>
  <si>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</si>
  <si>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</si>
  <si>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</si>
  <si>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</si>
  <si>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</si>
  <si>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</si>
  <si>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</si>
  <si>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</si>
  <si>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</si>
  <si>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</si>
  <si>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</si>
  <si>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</si>
  <si>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</si>
  <si>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</si>
  <si>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</si>
  <si>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</si>
  <si>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</si>
  <si>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</si>
  <si>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</si>
  <si>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</si>
  <si>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</si>
  <si>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</si>
  <si>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</si>
  <si>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</si>
  <si>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</si>
  <si>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</si>
  <si>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</si>
  <si>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</si>
  <si>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</si>
  <si>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</si>
  <si>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</si>
  <si>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</si>
  <si>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</si>
  <si>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</si>
  <si>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</si>
  <si>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</si>
  <si>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</si>
  <si>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</si>
  <si>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</si>
  <si>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</si>
  <si>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</si>
  <si>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</si>
  <si>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</si>
  <si>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</si>
  <si>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</si>
  <si>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</si>
  <si>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</si>
  <si>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</si>
  <si>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</si>
  <si>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</si>
  <si>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</si>
  <si>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</si>
  <si>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</si>
  <si>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</si>
  <si>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</si>
  <si>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</si>
  <si>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</si>
  <si>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</si>
  <si>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</si>
  <si>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</si>
  <si>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</si>
  <si>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</si>
  <si>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</si>
  <si>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</si>
  <si>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</si>
  <si>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</si>
  <si>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</si>
  <si>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</si>
  <si>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</si>
  <si>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</si>
  <si>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</si>
  <si>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</si>
  <si>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</si>
  <si>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</si>
  <si>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</si>
  <si>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</si>
  <si>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</si>
  <si>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</si>
  <si>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</si>
  <si>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</si>
  <si>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</si>
  <si>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</si>
  <si>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</si>
  <si>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</si>
  <si>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</si>
  <si>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</si>
  <si>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</si>
  <si>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</si>
  <si>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</si>
  <si>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</si>
  <si>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</si>
  <si>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</si>
  <si>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</si>
  <si>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</si>
  <si>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</si>
  <si>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</si>
  <si>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</si>
  <si>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</si>
  <si>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</si>
  <si>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</si>
  <si>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</si>
  <si>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</si>
  <si>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</si>
  <si>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</si>
  <si>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</si>
  <si>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</si>
  <si>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</si>
  <si>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</si>
  <si>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</si>
  <si>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</si>
  <si>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</si>
  <si>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</si>
  <si>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</si>
  <si>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</si>
  <si>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</si>
  <si>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</si>
  <si>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</si>
  <si>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</si>
  <si>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</si>
  <si>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</si>
  <si>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</si>
  <si>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</si>
  <si>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</si>
  <si>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</si>
  <si>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</si>
  <si>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</si>
  <si>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</si>
  <si>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</si>
  <si>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</si>
  <si>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</si>
  <si>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</si>
  <si>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</si>
  <si>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</si>
  <si>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</si>
  <si>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</si>
  <si>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</si>
  <si>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</si>
  <si>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</si>
  <si>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</si>
  <si>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</si>
  <si>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</si>
  <si>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</si>
  <si>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</si>
  <si>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</si>
  <si>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</si>
  <si>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</si>
  <si>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</si>
  <si>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</si>
  <si>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</si>
  <si>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</si>
  <si>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</si>
  <si>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</si>
  <si>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</si>
  <si>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</si>
  <si>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</si>
  <si>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</si>
  <si>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</si>
  <si>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</si>
  <si>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</si>
  <si>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</si>
  <si>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</si>
  <si>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</si>
  <si>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</si>
  <si>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</si>
  <si>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</si>
  <si>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</si>
  <si>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</si>
  <si>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</si>
  <si>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</si>
  <si>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</si>
  <si>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</si>
  <si>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</si>
  <si>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</si>
  <si>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</si>
  <si>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</si>
  <si>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</si>
  <si>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</si>
  <si>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</si>
  <si>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</si>
  <si>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</si>
  <si>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</si>
  <si>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</si>
  <si>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</si>
  <si>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</si>
  <si>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</si>
  <si>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</si>
  <si>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</si>
  <si>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</si>
  <si>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</si>
  <si>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</si>
  <si>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</si>
  <si>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</si>
  <si>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</si>
  <si>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</si>
  <si>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</si>
  <si>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</si>
  <si>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</si>
  <si>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</si>
  <si>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</si>
  <si>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</si>
  <si>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</si>
  <si>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</si>
  <si>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</si>
  <si>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</si>
  <si>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</si>
  <si>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</si>
  <si>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</si>
  <si>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</si>
  <si>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</si>
  <si>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</si>
  <si>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</si>
  <si>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</si>
  <si>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</si>
  <si>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</si>
  <si>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</si>
  <si>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</si>
  <si>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</si>
  <si>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</si>
  <si>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</si>
  <si>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</si>
  <si>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</si>
  <si>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</si>
  <si>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</si>
  <si>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</si>
  <si>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</si>
  <si>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</si>
  <si>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</si>
  <si>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</si>
  <si>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</si>
  <si>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</si>
  <si>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</si>
  <si>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</si>
  <si>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</si>
  <si>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</si>
  <si>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</si>
  <si>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</si>
  <si>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</si>
  <si>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</si>
  <si>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</si>
  <si>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</si>
  <si>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</si>
  <si>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</si>
  <si>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</si>
  <si>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</si>
  <si>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</si>
  <si>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</si>
  <si>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</si>
  <si>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</si>
  <si>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</si>
  <si>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</si>
  <si>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</si>
  <si>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</si>
  <si>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</si>
  <si>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</si>
  <si>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</si>
  <si>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</si>
  <si>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</si>
  <si>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</si>
  <si>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</si>
  <si>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</si>
  <si>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</si>
  <si>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</si>
  <si>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</si>
  <si>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</si>
  <si>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</si>
  <si>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</si>
  <si>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</si>
  <si>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</si>
  <si>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</si>
  <si>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</si>
  <si>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</si>
  <si>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</si>
  <si>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</si>
  <si>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</si>
  <si>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</si>
  <si>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</si>
  <si>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</si>
  <si>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</si>
  <si>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</si>
  <si>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</si>
  <si>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</si>
  <si>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</si>
  <si>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</si>
  <si>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</si>
  <si>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</si>
  <si>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</si>
  <si>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</si>
  <si>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</si>
  <si>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</si>
  <si>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</si>
  <si>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</si>
  <si>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</si>
  <si>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</si>
  <si>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</si>
  <si>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</si>
  <si>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</si>
  <si>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</si>
  <si>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</si>
  <si>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</si>
  <si>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</si>
  <si>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</si>
  <si>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</si>
  <si>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</si>
  <si>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</si>
  <si>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</si>
  <si>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</si>
  <si>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</si>
  <si>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</si>
  <si>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</si>
  <si>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</si>
  <si>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</si>
  <si>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</si>
  <si>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</si>
  <si>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</si>
  <si>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</si>
  <si>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</si>
  <si>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</si>
  <si>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</si>
  <si>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</si>
  <si>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</si>
  <si>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</si>
  <si>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</si>
  <si>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</si>
  <si>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</si>
  <si>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</si>
  <si>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</si>
  <si>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</si>
  <si>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</si>
  <si>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</si>
  <si>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</si>
  <si>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</si>
  <si>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</si>
  <si>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</si>
  <si>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</si>
  <si>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</si>
  <si>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</si>
  <si>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</si>
  <si>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</si>
  <si>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</si>
  <si>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</si>
  <si>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</si>
  <si>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</si>
  <si>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</si>
  <si>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</si>
  <si>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</si>
  <si>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</si>
  <si>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</si>
  <si>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</si>
  <si>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</si>
  <si>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</si>
  <si>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</si>
  <si>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</si>
  <si>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</si>
  <si>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</si>
  <si>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</si>
  <si>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</si>
  <si>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</si>
  <si>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</si>
  <si>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</si>
  <si>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</si>
  <si>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</si>
  <si>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</si>
  <si>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</si>
  <si>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</si>
  <si>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</si>
  <si>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</si>
  <si>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</si>
  <si>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</si>
  <si>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</si>
  <si>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</si>
  <si>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</si>
  <si>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</si>
  <si>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</si>
  <si>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</si>
  <si>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</si>
  <si>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</si>
  <si>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</si>
  <si>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</si>
  <si>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</si>
  <si>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</si>
  <si>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</si>
  <si>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</si>
  <si>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</si>
  <si>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</si>
  <si>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</si>
  <si>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</si>
  <si>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</si>
  <si>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</si>
  <si>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</si>
  <si>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</si>
  <si>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</si>
  <si>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</si>
  <si>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</si>
  <si>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</si>
  <si>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</si>
  <si>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</si>
  <si>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</si>
  <si>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</si>
  <si>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</si>
  <si>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</si>
  <si>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</si>
  <si>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</si>
  <si>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</si>
  <si>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</si>
  <si>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</si>
  <si>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</si>
  <si>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</si>
  <si>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</si>
  <si>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</si>
  <si>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</si>
  <si>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</si>
  <si>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</si>
  <si>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</si>
  <si>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</si>
  <si>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</si>
  <si>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</si>
  <si>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</si>
  <si>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</si>
  <si>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</si>
  <si>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</si>
  <si>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</si>
  <si>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</si>
  <si>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</si>
  <si>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</si>
  <si>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</si>
  <si>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</si>
  <si>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</si>
  <si>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</si>
  <si>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</si>
  <si>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</si>
  <si>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</si>
  <si>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</si>
  <si>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</si>
  <si>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</si>
  <si>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</si>
  <si>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</si>
  <si>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</si>
  <si>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</si>
  <si>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</si>
  <si>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</si>
  <si>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</si>
  <si>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</si>
  <si>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</si>
  <si>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</si>
  <si>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</si>
  <si>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</si>
  <si>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</si>
  <si>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</si>
  <si>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</si>
  <si>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</si>
  <si>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</si>
  <si>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</si>
  <si>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</si>
  <si>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</si>
  <si>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</si>
  <si>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</si>
  <si>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</si>
  <si>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</si>
  <si>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</si>
  <si>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</si>
  <si>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</si>
  <si>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</si>
  <si>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</si>
  <si>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</si>
  <si>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</si>
  <si>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</si>
  <si>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</si>
  <si>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</si>
  <si>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</si>
  <si>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</si>
  <si>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</si>
  <si>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</si>
  <si>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</si>
  <si>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</si>
  <si>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</si>
  <si>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</si>
  <si>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</si>
  <si>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</si>
  <si>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</si>
  <si>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</si>
  <si>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</si>
  <si>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</si>
  <si>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</si>
  <si>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</si>
  <si>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</si>
  <si>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</si>
  <si>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</si>
  <si>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</si>
  <si>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</si>
  <si>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</si>
  <si>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</si>
  <si>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</si>
  <si>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</si>
  <si>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</si>
  <si>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</si>
  <si>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</si>
  <si>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</si>
  <si>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</si>
  <si>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</si>
  <si>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</si>
  <si>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</si>
  <si>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</si>
  <si>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</si>
  <si>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</si>
  <si>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</si>
  <si>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</si>
  <si>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</si>
  <si>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</si>
  <si>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</si>
  <si>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</si>
  <si>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</si>
  <si>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</si>
  <si>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</si>
  <si>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</si>
  <si>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</si>
  <si>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</si>
  <si>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</si>
  <si>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</si>
  <si>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</si>
  <si>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</si>
  <si>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</si>
  <si>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</si>
  <si>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</si>
  <si>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</si>
  <si>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</si>
  <si>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</si>
  <si>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</si>
  <si>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</si>
  <si>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</si>
  <si>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</si>
  <si>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</si>
  <si>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</si>
  <si>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</si>
  <si>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</si>
  <si>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</si>
  <si>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</si>
  <si>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</si>
  <si>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</si>
  <si>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</si>
  <si>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</si>
  <si>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</si>
  <si>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</si>
  <si>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</si>
  <si>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</si>
  <si>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</si>
  <si>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</si>
  <si>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</si>
  <si>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</si>
  <si>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</si>
  <si>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</si>
  <si>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</si>
  <si>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</si>
  <si>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</si>
  <si>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</si>
  <si>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</si>
  <si>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</si>
  <si>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</si>
  <si>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</si>
  <si>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</si>
  <si>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</si>
  <si>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</si>
  <si>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</si>
  <si>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</si>
  <si>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</si>
  <si>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</si>
  <si>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</si>
  <si>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</si>
  <si>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</si>
  <si>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</si>
  <si>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</si>
  <si>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</si>
  <si>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</si>
  <si>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</si>
  <si>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</si>
  <si>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</si>
  <si>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</si>
  <si>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</si>
  <si>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</si>
  <si>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</si>
  <si>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</si>
  <si>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</si>
  <si>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</si>
  <si>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</si>
  <si>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</si>
  <si>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</si>
  <si>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</si>
  <si>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</si>
  <si>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</si>
  <si>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</si>
  <si>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</si>
  <si>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</si>
  <si>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</si>
  <si>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</si>
  <si>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</si>
  <si>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</si>
  <si>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</si>
  <si>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</si>
  <si>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</si>
  <si>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</si>
  <si>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</si>
  <si>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</si>
  <si>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</si>
  <si>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</si>
  <si>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</si>
  <si>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</si>
  <si>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</si>
  <si>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</si>
  <si>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</si>
  <si>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</si>
  <si>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</si>
  <si>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</si>
  <si>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</si>
  <si>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</si>
  <si>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</si>
  <si>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</si>
  <si>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</si>
  <si>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</si>
  <si>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</si>
  <si>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</si>
  <si>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</si>
  <si>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</si>
  <si>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</si>
  <si>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</si>
  <si>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</si>
  <si>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</si>
  <si>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</si>
  <si>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</si>
  <si>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</si>
  <si>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</si>
  <si>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</si>
  <si>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</si>
  <si>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</si>
  <si>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</si>
  <si>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</si>
  <si>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</si>
  <si>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</si>
  <si>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</si>
  <si>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</si>
  <si>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</si>
  <si>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</si>
  <si>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</si>
  <si>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</si>
  <si>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</si>
  <si>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</si>
  <si>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</si>
  <si>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</si>
  <si>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</si>
  <si>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</si>
  <si>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</si>
  <si>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</si>
  <si>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</si>
  <si>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</si>
  <si>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</si>
  <si>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</si>
  <si>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</si>
  <si>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</si>
  <si>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</si>
  <si>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</si>
  <si>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</si>
  <si>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</si>
  <si>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</si>
  <si>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</si>
  <si>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</si>
  <si>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</si>
  <si>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</si>
  <si>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</si>
  <si>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</si>
  <si>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</si>
  <si>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</si>
  <si>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</si>
  <si>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</si>
  <si>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</si>
  <si>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</si>
  <si>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</si>
  <si>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</si>
  <si>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</si>
  <si>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</si>
  <si>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</si>
  <si>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</si>
  <si>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</si>
  <si>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</si>
  <si>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</si>
  <si>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</si>
  <si>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</si>
  <si>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</si>
  <si>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</si>
  <si>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</si>
  <si>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</si>
  <si>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</si>
  <si>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</si>
  <si>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</si>
  <si>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</si>
  <si>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</si>
  <si>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</si>
  <si>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</si>
  <si>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</si>
  <si>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</si>
  <si>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</si>
  <si>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</si>
  <si>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</si>
  <si>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</si>
  <si>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</si>
  <si>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</si>
  <si>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</si>
  <si>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</si>
  <si>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</si>
  <si>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</si>
  <si>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</si>
  <si>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</si>
  <si>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</si>
  <si>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</si>
  <si>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</si>
  <si>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</si>
  <si>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</si>
  <si>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</si>
  <si>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</si>
  <si>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</si>
  <si>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</si>
  <si>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</si>
  <si>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</si>
  <si>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</si>
  <si>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</si>
  <si>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</si>
  <si>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</si>
  <si>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</si>
  <si>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</si>
  <si>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</si>
  <si>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</si>
  <si>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</si>
  <si>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</si>
  <si>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</si>
  <si>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</si>
  <si>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</si>
  <si>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</si>
  <si>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</si>
  <si>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</si>
  <si>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</si>
  <si>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</si>
  <si>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</si>
  <si>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</si>
  <si>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</si>
  <si>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</si>
  <si>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</si>
  <si>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</si>
  <si>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</si>
  <si>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</si>
  <si>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</si>
  <si>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</si>
  <si>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</si>
  <si>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</si>
  <si>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</si>
  <si>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</si>
  <si>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</si>
  <si>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</si>
  <si>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</si>
  <si>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</si>
  <si>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</si>
  <si>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</si>
  <si>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</si>
  <si>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</si>
  <si>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</si>
  <si>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</si>
  <si>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</si>
  <si>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</si>
  <si>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</si>
  <si>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</si>
  <si>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</si>
  <si>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</si>
  <si>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</si>
  <si>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</si>
  <si>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</si>
  <si>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</si>
  <si>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</si>
  <si>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</si>
  <si>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</si>
  <si>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</si>
  <si>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</si>
  <si>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</si>
  <si>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</si>
  <si>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</si>
  <si>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</si>
  <si>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</si>
  <si>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</si>
  <si>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</si>
  <si>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</si>
  <si>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</si>
  <si>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</si>
  <si>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</si>
  <si>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</si>
  <si>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</si>
  <si>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</si>
  <si>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</si>
  <si>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</si>
  <si>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</si>
  <si>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</si>
  <si>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</si>
  <si>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</si>
  <si>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</si>
  <si>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</si>
  <si>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</si>
  <si>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</si>
  <si>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</si>
  <si>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</si>
  <si>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</si>
  <si>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</si>
  <si>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</si>
  <si>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</si>
  <si>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</si>
  <si>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</si>
  <si>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</si>
  <si>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</si>
  <si>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</si>
  <si>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</si>
  <si>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</si>
  <si>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</si>
  <si>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</si>
  <si>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</si>
  <si>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</si>
  <si>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</si>
  <si>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</si>
  <si>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</si>
  <si>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</si>
  <si>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</si>
  <si>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</si>
  <si>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</si>
  <si>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</si>
  <si>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</si>
  <si>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</si>
  <si>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</si>
  <si>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</si>
  <si>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</si>
  <si>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</si>
  <si>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</si>
  <si>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</si>
  <si>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</si>
  <si>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</si>
  <si>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</si>
  <si>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</si>
  <si>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</si>
  <si>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</si>
  <si>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</si>
  <si>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</si>
  <si>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</si>
  <si>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</si>
  <si>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</si>
  <si>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</si>
  <si>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</si>
  <si>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</si>
  <si>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</si>
  <si>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</si>
  <si>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</si>
  <si>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</si>
  <si>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</si>
  <si>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</si>
  <si>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</si>
  <si>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</si>
  <si>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</si>
  <si>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</si>
  <si>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</si>
  <si>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</si>
  <si>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</si>
  <si>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</si>
  <si>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</si>
  <si>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</si>
  <si>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</si>
  <si>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</si>
  <si>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</si>
  <si>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</si>
  <si>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</si>
  <si>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</si>
  <si>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</si>
  <si>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</si>
  <si>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</si>
  <si>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</si>
  <si>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</si>
  <si>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</si>
  <si>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</si>
  <si>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</si>
  <si>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</si>
  <si>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</si>
  <si>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</si>
  <si>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</si>
  <si>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</si>
  <si>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</si>
  <si>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</si>
  <si>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</si>
  <si>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</si>
  <si>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</si>
  <si>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</si>
  <si>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</si>
  <si>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</si>
  <si>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</si>
  <si>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</si>
  <si>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</si>
  <si>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</si>
  <si>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</si>
  <si>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</si>
  <si>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</si>
  <si>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</si>
  <si>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</si>
  <si>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</si>
  <si>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</si>
  <si>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</si>
  <si>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</si>
  <si>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</si>
  <si>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</si>
  <si>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</si>
  <si>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</si>
  <si>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</si>
  <si>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</si>
  <si>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</si>
  <si>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</si>
  <si>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</si>
  <si>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</si>
  <si>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</si>
  <si>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</si>
  <si>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</si>
  <si>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</si>
  <si>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</si>
  <si>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</si>
  <si>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</si>
  <si>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</si>
  <si>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</si>
  <si>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</si>
  <si>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</si>
  <si>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</si>
  <si>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</si>
  <si>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</si>
  <si>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</si>
  <si>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</si>
  <si>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</si>
  <si>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</si>
  <si>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</si>
  <si>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</si>
  <si>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</si>
  <si>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</si>
  <si>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</si>
  <si>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</si>
  <si>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</si>
  <si>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</si>
  <si>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</si>
  <si>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</si>
  <si>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</si>
  <si>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</si>
  <si>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</si>
  <si>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</si>
  <si>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</si>
  <si>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</si>
  <si>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</si>
  <si>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</si>
  <si>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</si>
  <si>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</si>
  <si>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</si>
  <si>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</si>
  <si>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</si>
  <si>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</si>
  <si>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</si>
  <si>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</si>
  <si>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</si>
  <si>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</si>
  <si>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</si>
  <si>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</si>
  <si>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</si>
  <si>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</si>
  <si>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</si>
  <si>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</si>
  <si>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</si>
  <si>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</si>
  <si>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</si>
  <si>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</si>
  <si>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</si>
  <si>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</si>
  <si>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</si>
  <si>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</si>
  <si>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</si>
  <si>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</si>
  <si>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</si>
  <si>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</si>
  <si>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</si>
  <si>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</si>
  <si>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</si>
  <si>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</si>
  <si>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</si>
  <si>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</si>
  <si>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</si>
  <si>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</si>
  <si>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</si>
  <si>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</si>
  <si>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</si>
  <si>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</si>
  <si>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</si>
  <si>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</si>
  <si>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</si>
  <si>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</si>
  <si>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</si>
  <si>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</si>
  <si>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</si>
  <si>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</si>
  <si>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</si>
  <si>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</si>
  <si>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</si>
  <si>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</si>
  <si>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</si>
  <si>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</si>
  <si>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</si>
  <si>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</si>
  <si>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</si>
  <si>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</si>
  <si>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</si>
  <si>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</si>
  <si>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</si>
  <si>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</si>
  <si>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</si>
  <si>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</si>
  <si>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</si>
  <si>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</si>
  <si>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</si>
  <si>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</si>
  <si>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</si>
  <si>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</si>
  <si>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</si>
  <si>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</si>
  <si>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</si>
  <si>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</si>
  <si>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</si>
  <si>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</si>
  <si>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</si>
  <si>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</si>
  <si>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</si>
  <si>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</si>
  <si>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</si>
  <si>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</si>
  <si>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</si>
  <si>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</si>
  <si>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</si>
  <si>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</si>
  <si>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</si>
  <si>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</si>
  <si>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</si>
  <si>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</si>
  <si>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</si>
  <si>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</si>
  <si>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</si>
  <si>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</si>
  <si>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</si>
  <si>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</si>
  <si>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</si>
  <si>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</si>
  <si>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</si>
  <si>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</si>
  <si>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</si>
  <si>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</si>
  <si>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</si>
  <si>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</si>
  <si>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</si>
  <si>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</si>
  <si>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</si>
  <si>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</si>
  <si>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</si>
  <si>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</si>
  <si>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</si>
  <si>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</si>
  <si>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</si>
  <si>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</si>
  <si>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</si>
  <si>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</si>
  <si>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</si>
  <si>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</si>
  <si>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</si>
  <si>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</si>
  <si>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</si>
  <si>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</si>
  <si>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</si>
  <si>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</si>
  <si>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</si>
  <si>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</si>
  <si>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</si>
  <si>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</si>
  <si>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</si>
  <si>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</si>
  <si>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</si>
  <si>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</si>
  <si>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</si>
  <si>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</si>
  <si>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</si>
  <si>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</si>
  <si>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</si>
  <si>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</si>
  <si>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</si>
  <si>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</si>
  <si>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</si>
  <si>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</si>
  <si>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</si>
  <si>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</si>
  <si>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</si>
  <si>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</si>
  <si>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</si>
  <si>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</si>
  <si>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</si>
  <si>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</si>
  <si>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</si>
  <si>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</si>
  <si>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</si>
  <si>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</si>
  <si>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</si>
  <si>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</si>
  <si>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</si>
  <si>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</si>
  <si>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</si>
  <si>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</si>
  <si>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</si>
  <si>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</si>
  <si>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</si>
  <si>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</si>
  <si>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</si>
  <si>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</si>
  <si>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</si>
  <si>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</si>
  <si>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</si>
  <si>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</si>
  <si>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</si>
  <si>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</si>
  <si>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</si>
  <si>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</si>
  <si>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</si>
  <si>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</si>
  <si>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</si>
  <si>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</si>
  <si>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</si>
  <si>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</si>
  <si>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</si>
  <si>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</si>
  <si>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</si>
  <si>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</si>
  <si>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</si>
  <si>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</si>
  <si>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</si>
  <si>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</si>
  <si>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</si>
  <si>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</si>
  <si>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</si>
  <si>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</si>
  <si>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</si>
  <si>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</si>
  <si>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</si>
  <si>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</si>
  <si>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</si>
  <si>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</si>
  <si>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</si>
  <si>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</si>
  <si>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</si>
  <si>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</si>
  <si>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</si>
  <si>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</si>
  <si>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</si>
  <si>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</si>
  <si>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</si>
  <si>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</si>
  <si>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</si>
  <si>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</si>
  <si>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</si>
  <si>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</si>
  <si>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</si>
  <si>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</si>
  <si>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</si>
  <si>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</si>
  <si>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</si>
  <si>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</si>
  <si>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</si>
  <si>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</si>
  <si>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</si>
  <si>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</si>
  <si>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</si>
  <si>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</si>
  <si>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</si>
  <si>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</si>
  <si>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</si>
  <si>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</si>
  <si>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</si>
  <si>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</si>
  <si>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</si>
  <si>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</si>
  <si>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</si>
  <si>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</si>
  <si>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</si>
  <si>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</si>
  <si>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</si>
  <si>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</si>
  <si>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</si>
  <si>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</si>
  <si>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</si>
  <si>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</si>
  <si>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</si>
  <si>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</si>
  <si>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</si>
  <si>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</si>
  <si>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</si>
  <si>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</si>
  <si>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</si>
  <si>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</si>
  <si>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</si>
  <si>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</si>
  <si>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</si>
  <si>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</si>
  <si>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</si>
  <si>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</si>
  <si>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</si>
  <si>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</si>
  <si>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</si>
  <si>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</si>
  <si>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</si>
  <si>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</si>
  <si>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</si>
  <si>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</si>
  <si>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</si>
  <si>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</si>
  <si>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</si>
  <si>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</si>
  <si>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</si>
  <si>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</si>
  <si>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</si>
  <si>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</si>
  <si>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</si>
  <si>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</si>
  <si>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</si>
  <si>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</si>
  <si>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</si>
  <si>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</si>
  <si>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</si>
  <si>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</si>
  <si>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</si>
  <si>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</si>
  <si>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</si>
  <si>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</si>
  <si>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</si>
  <si>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</si>
  <si>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</si>
  <si>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</si>
  <si>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</si>
  <si>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</si>
  <si>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</si>
  <si>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</si>
  <si>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</si>
  <si>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</si>
  <si>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</si>
  <si>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</si>
  <si>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</si>
  <si>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</si>
  <si>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</si>
  <si>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</si>
  <si>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</si>
  <si>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</si>
  <si>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</si>
  <si>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</si>
  <si>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</si>
  <si>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</si>
  <si>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</si>
  <si>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</si>
  <si>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</si>
  <si>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</si>
  <si>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</si>
  <si>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</si>
  <si>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</si>
  <si>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</si>
  <si>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</si>
  <si>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</si>
  <si>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</si>
  <si>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</si>
  <si>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</si>
  <si>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</si>
  <si>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</si>
  <si>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</si>
  <si>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</si>
  <si>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</si>
  <si>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</si>
  <si>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</si>
  <si>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</si>
  <si>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</si>
  <si>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</si>
  <si>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</si>
  <si>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</si>
  <si>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</si>
  <si>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</si>
  <si>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</si>
  <si>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</si>
  <si>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</si>
  <si>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</si>
  <si>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</si>
  <si>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</si>
  <si>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</si>
  <si>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</si>
  <si>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</si>
  <si>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</si>
  <si>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</si>
  <si>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</si>
  <si>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</si>
  <si>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</si>
  <si>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</si>
  <si>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</si>
  <si>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</si>
  <si>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</si>
  <si>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</si>
  <si>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</si>
  <si>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</si>
  <si>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</si>
  <si>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</si>
  <si>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</si>
  <si>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</si>
  <si>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</si>
  <si>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</si>
  <si>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</si>
  <si>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</si>
  <si>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</si>
  <si>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</si>
  <si>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</si>
  <si>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</si>
  <si>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</si>
  <si>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</si>
  <si>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</si>
  <si>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</si>
  <si>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</si>
  <si>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</si>
  <si>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</si>
  <si>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</si>
  <si>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</si>
  <si>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</si>
  <si>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</si>
  <si>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</si>
  <si>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</si>
  <si>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</si>
  <si>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</si>
  <si>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</si>
  <si>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</si>
  <si>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</si>
  <si>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</si>
  <si>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</si>
  <si>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</si>
  <si>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</si>
  <si>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</si>
  <si>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</si>
  <si>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</si>
  <si>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</si>
  <si>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</si>
  <si>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</si>
  <si>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</si>
  <si>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</si>
  <si>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</si>
  <si>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</si>
  <si>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</si>
  <si>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</si>
  <si>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</si>
  <si>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</si>
  <si>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</si>
  <si>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</si>
  <si>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</si>
  <si>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</si>
  <si>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</si>
  <si>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</si>
  <si>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</si>
  <si>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</si>
  <si>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</si>
  <si>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</si>
  <si>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</si>
  <si>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</si>
  <si>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</si>
  <si>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</si>
  <si>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</si>
  <si>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</si>
  <si>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</si>
  <si>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</si>
  <si>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</si>
  <si>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</si>
  <si>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</si>
  <si>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</si>
  <si>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</si>
  <si>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</si>
  <si>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</si>
  <si>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</si>
  <si>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</si>
  <si>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</si>
  <si>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</si>
  <si>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</si>
  <si>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</si>
  <si>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</si>
  <si>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</si>
  <si>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</si>
  <si>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</si>
  <si>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</si>
  <si>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</si>
  <si>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</si>
  <si>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</si>
  <si>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</si>
  <si>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</si>
  <si>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</si>
  <si>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</si>
  <si>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</si>
  <si>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</si>
  <si>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</si>
  <si>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</si>
  <si>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</si>
  <si>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</si>
  <si>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</si>
  <si>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</si>
  <si>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</si>
  <si>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</si>
  <si>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</si>
  <si>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</si>
  <si>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</si>
  <si>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</si>
  <si>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</si>
  <si>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</si>
  <si>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</si>
  <si>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</si>
  <si>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</si>
  <si>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</si>
  <si>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</si>
  <si>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</si>
  <si>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</si>
  <si>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</si>
  <si>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</si>
  <si>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</si>
  <si>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</si>
  <si>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</si>
  <si>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</si>
  <si>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</si>
  <si>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</si>
  <si>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</si>
  <si>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</si>
  <si>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</si>
  <si>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</si>
  <si>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</si>
  <si>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</si>
  <si>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</si>
  <si>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</si>
  <si>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</si>
  <si>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</si>
  <si>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</si>
  <si>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</si>
  <si>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</si>
  <si>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</si>
  <si>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</si>
  <si>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</si>
  <si>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</si>
  <si>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</si>
  <si>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</si>
  <si>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</si>
  <si>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</si>
  <si>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</si>
  <si>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</si>
  <si>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</si>
  <si>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</si>
  <si>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</si>
  <si>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</si>
  <si>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</si>
  <si>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</si>
  <si>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</si>
  <si>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</si>
  <si>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</si>
  <si>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</si>
  <si>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</si>
  <si>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</si>
  <si>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</si>
  <si>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</si>
  <si>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</si>
  <si>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</si>
  <si>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</si>
  <si>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</si>
  <si>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</si>
  <si>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</si>
  <si>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</si>
  <si>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</si>
  <si>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</si>
  <si>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</si>
  <si>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</si>
  <si>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</si>
  <si>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</si>
  <si>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</si>
  <si>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</si>
  <si>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</si>
  <si>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</si>
  <si>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</si>
  <si>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</si>
  <si>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</si>
  <si>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</si>
  <si>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</si>
  <si>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</si>
  <si>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</si>
  <si>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</si>
  <si>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</si>
  <si>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</si>
  <si>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</si>
  <si>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</si>
  <si>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</si>
  <si>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</si>
  <si>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</si>
  <si>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</si>
  <si>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</si>
  <si>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</si>
  <si>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</si>
  <si>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</si>
  <si>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</si>
  <si>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</si>
  <si>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</si>
  <si>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</si>
  <si>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</si>
  <si>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</si>
  <si>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</si>
  <si>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</si>
  <si>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</si>
  <si>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</si>
  <si>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</si>
  <si>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</si>
  <si>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</si>
  <si>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</si>
  <si>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</si>
  <si>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</si>
  <si>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</si>
  <si>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</si>
  <si>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</si>
  <si>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</si>
  <si>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</si>
  <si>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</si>
  <si>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</si>
  <si>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</si>
  <si>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</si>
  <si>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</si>
  <si>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</si>
  <si>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</si>
  <si>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</si>
  <si>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</si>
  <si>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</si>
  <si>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</si>
  <si>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</si>
  <si>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</si>
  <si>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</si>
  <si>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</si>
  <si>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</si>
  <si>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</si>
  <si>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</si>
  <si>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</si>
  <si>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</si>
  <si>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</si>
  <si>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</si>
  <si>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</si>
  <si>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</si>
  <si>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</si>
  <si>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</si>
  <si>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</si>
  <si>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</si>
  <si>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</si>
  <si>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</si>
  <si>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</si>
  <si>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</si>
  <si>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</si>
  <si>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</si>
  <si>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</si>
  <si>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</si>
  <si>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</si>
  <si>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</si>
  <si>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</si>
  <si>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</si>
  <si>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</si>
  <si>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</si>
  <si>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</si>
  <si>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</si>
  <si>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</si>
  <si>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</si>
  <si>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</si>
  <si>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</si>
  <si>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</si>
  <si>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</si>
  <si>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</si>
  <si>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</si>
  <si>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</si>
  <si>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</si>
  <si>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</si>
  <si>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</si>
  <si>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</si>
  <si>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</si>
  <si>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</si>
  <si>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</si>
  <si>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</si>
  <si>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</si>
  <si>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</si>
  <si>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</si>
  <si>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</si>
  <si>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</si>
  <si>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</si>
  <si>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</si>
  <si>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</si>
  <si>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</si>
  <si>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</si>
  <si>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</si>
  <si>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</si>
  <si>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</si>
  <si>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</si>
  <si>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</si>
  <si>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</si>
  <si>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</si>
  <si>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</si>
  <si>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</si>
  <si>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</si>
  <si>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</si>
  <si>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</si>
  <si>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</si>
  <si>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</si>
  <si>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</si>
  <si>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</si>
  <si>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</si>
  <si>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</si>
  <si>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</si>
  <si>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</si>
  <si>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</si>
  <si>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</si>
  <si>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</si>
  <si>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</si>
  <si>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</si>
  <si>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</si>
  <si>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</si>
  <si>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</si>
  <si>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</si>
  <si>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</si>
  <si>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</si>
  <si>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</si>
  <si>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</si>
  <si>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</si>
  <si>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</si>
  <si>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</si>
  <si>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</si>
  <si>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</si>
  <si>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</si>
  <si>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</si>
  <si>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</si>
  <si>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</si>
  <si>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</si>
  <si>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</si>
  <si>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</si>
  <si>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</si>
  <si>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</si>
  <si>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</si>
  <si>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</si>
  <si>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</si>
  <si>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</si>
  <si>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</si>
  <si>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</si>
  <si>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</si>
  <si>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</si>
  <si>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</si>
  <si>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</si>
  <si>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</si>
  <si>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</si>
  <si>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</si>
  <si>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</si>
  <si>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</si>
  <si>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</si>
  <si>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</si>
  <si>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</si>
  <si>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</si>
  <si>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</si>
  <si>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</si>
  <si>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</si>
  <si>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</si>
  <si>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</si>
  <si>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</si>
  <si>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</si>
  <si>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</si>
  <si>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</si>
  <si>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</si>
  <si>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</si>
  <si>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</si>
  <si>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</si>
  <si>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</si>
  <si>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</si>
  <si>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</si>
  <si>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</si>
  <si>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</si>
  <si>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</si>
  <si>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</si>
  <si>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</si>
  <si>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</si>
  <si>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</si>
  <si>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</si>
  <si>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</si>
  <si>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</si>
  <si>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</si>
  <si>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</si>
  <si>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</si>
  <si>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</si>
  <si>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</si>
  <si>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</si>
  <si>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</si>
  <si>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</si>
  <si>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</si>
  <si>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</si>
  <si>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</si>
  <si>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</si>
  <si>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</si>
  <si>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</si>
  <si>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</si>
  <si>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</si>
  <si>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</si>
  <si>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</si>
  <si>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</si>
  <si>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</si>
  <si>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</si>
  <si>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</si>
  <si>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</si>
  <si>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</si>
  <si>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</si>
  <si>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</si>
  <si>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</si>
  <si>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</si>
  <si>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</si>
  <si>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</si>
  <si>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</si>
  <si>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</si>
  <si>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</si>
  <si>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</si>
  <si>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</si>
  <si>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</si>
  <si>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</si>
  <si>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</si>
  <si>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</si>
  <si>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</si>
  <si>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</si>
  <si>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</si>
  <si>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</si>
  <si>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</si>
  <si>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</si>
  <si>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</si>
  <si>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</si>
  <si>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</si>
  <si>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</si>
  <si>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</si>
  <si>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</si>
  <si>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</si>
  <si>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</si>
  <si>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</si>
  <si>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</si>
  <si>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</si>
  <si>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</si>
  <si>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</si>
  <si>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</si>
  <si>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</si>
  <si>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</si>
  <si>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</si>
  <si>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</si>
  <si>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</si>
  <si>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</si>
  <si>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</si>
  <si>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</si>
  <si>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</si>
  <si>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</si>
  <si>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</si>
  <si>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</si>
  <si>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</si>
  <si>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</si>
  <si>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</si>
  <si>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</si>
  <si>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</si>
  <si>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</si>
  <si>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</si>
  <si>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</si>
  <si>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</si>
  <si>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</si>
  <si>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</si>
  <si>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</si>
  <si>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</si>
  <si>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</si>
  <si>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</si>
  <si>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</si>
  <si>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</si>
  <si>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</si>
  <si>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</si>
  <si>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</si>
  <si>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</si>
  <si>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</si>
  <si>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</si>
  <si>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</si>
  <si>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</si>
  <si>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</si>
  <si>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</si>
  <si>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</si>
  <si>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</si>
  <si>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</si>
  <si>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</si>
  <si>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</si>
  <si>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</si>
  <si>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</si>
  <si>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</si>
  <si>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</si>
  <si>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</si>
  <si>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</si>
  <si>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</si>
  <si>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</si>
  <si>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</si>
  <si>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</si>
  <si>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</si>
  <si>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</si>
  <si>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</si>
  <si>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</si>
  <si>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</si>
  <si>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</si>
  <si>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</si>
  <si>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</si>
  <si>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</si>
  <si>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</si>
  <si>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</si>
  <si>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</si>
  <si>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</si>
  <si>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</si>
  <si>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</si>
  <si>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</si>
  <si>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</si>
  <si>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</si>
  <si>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</si>
  <si>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</si>
  <si>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</si>
  <si>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</si>
  <si>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</si>
  <si>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</si>
  <si>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</si>
  <si>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</si>
  <si>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</si>
  <si>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</si>
  <si>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</si>
  <si>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</si>
  <si>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</si>
  <si>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</si>
  <si>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</si>
  <si>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</si>
  <si>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</si>
  <si>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</si>
  <si>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</si>
  <si>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</si>
  <si>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</si>
  <si>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</si>
  <si>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</si>
  <si>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</si>
  <si>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</si>
  <si>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</si>
  <si>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</si>
  <si>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</si>
  <si>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</si>
  <si>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</si>
  <si>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</si>
  <si>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</si>
  <si>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</si>
  <si>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</si>
  <si>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</si>
  <si>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</si>
  <si>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</si>
  <si>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</si>
  <si>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</si>
  <si>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</si>
  <si>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</si>
  <si>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</si>
  <si>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</si>
  <si>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</si>
  <si>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</si>
  <si>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</si>
  <si>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</si>
  <si>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</si>
  <si>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</si>
  <si>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</si>
  <si>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</si>
  <si>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</si>
  <si>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</si>
  <si>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</si>
  <si>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</si>
  <si>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</si>
  <si>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</si>
  <si>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</si>
  <si>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</si>
  <si>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</si>
  <si>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</si>
  <si>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</si>
  <si>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</si>
  <si>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</si>
  <si>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</si>
  <si>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</si>
  <si>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</si>
  <si>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</si>
  <si>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</si>
  <si>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</si>
  <si>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</si>
  <si>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</si>
  <si>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</si>
  <si>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</si>
  <si>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</si>
  <si>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</si>
  <si>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</si>
  <si>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</si>
  <si>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</si>
  <si>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</si>
  <si>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</si>
  <si>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</si>
  <si>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</si>
  <si>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</si>
  <si>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</si>
  <si>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</si>
  <si>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</si>
  <si>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</si>
  <si>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</si>
  <si>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</si>
  <si>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</si>
  <si>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</si>
  <si>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</si>
  <si>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</si>
  <si>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</si>
  <si>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</si>
  <si>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</si>
  <si>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</si>
  <si>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</si>
  <si>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</si>
  <si>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</si>
  <si>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</si>
  <si>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</si>
  <si>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</si>
  <si>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</si>
  <si>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</si>
  <si>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</si>
  <si>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</si>
  <si>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</si>
  <si>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</si>
  <si>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</si>
  <si>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</si>
  <si>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</si>
  <si>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</si>
  <si>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</si>
  <si>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</si>
  <si>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</si>
  <si>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</si>
  <si>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</si>
  <si>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</si>
  <si>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</si>
  <si>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</si>
  <si>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</si>
  <si>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</si>
  <si>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</si>
  <si>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</si>
  <si>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</si>
  <si>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</si>
  <si>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</si>
  <si>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</si>
  <si>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</si>
  <si>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</si>
  <si>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</si>
  <si>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</si>
  <si>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</si>
  <si>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</si>
  <si>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</si>
  <si>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</si>
  <si>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</si>
  <si>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</si>
  <si>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</si>
  <si>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</si>
  <si>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</si>
  <si>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</si>
  <si>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</si>
  <si>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</si>
  <si>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</si>
  <si>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</si>
  <si>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</si>
  <si>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</si>
  <si>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</si>
  <si>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</si>
  <si>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</si>
  <si>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</si>
  <si>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</si>
  <si>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</si>
  <si>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</si>
  <si>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</si>
  <si>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</si>
  <si>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</si>
  <si>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</si>
  <si>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</si>
  <si>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</si>
  <si>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</si>
  <si>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</si>
  <si>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</si>
  <si>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</si>
  <si>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</si>
  <si>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</si>
  <si>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</si>
  <si>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</si>
  <si>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</si>
  <si>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</si>
  <si>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</si>
  <si>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</si>
  <si>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</si>
  <si>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</si>
  <si>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</si>
  <si>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</si>
  <si>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</si>
  <si>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</si>
  <si>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</si>
  <si>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</si>
  <si>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</si>
  <si>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</si>
  <si>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</si>
  <si>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</si>
  <si>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</si>
  <si>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</si>
  <si>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</si>
  <si>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</si>
  <si>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</si>
  <si>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</si>
  <si>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</si>
  <si>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</si>
  <si>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</si>
  <si>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</si>
  <si>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</si>
  <si>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</si>
  <si>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</si>
  <si>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</si>
  <si>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</si>
  <si>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</si>
  <si>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</si>
  <si>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</si>
  <si>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</si>
  <si>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</si>
  <si>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</si>
  <si>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</si>
  <si>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</si>
  <si>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</si>
  <si>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</si>
  <si>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</si>
  <si>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</si>
  <si>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</si>
  <si>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</si>
  <si>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</si>
  <si>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</si>
  <si>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</si>
  <si>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</si>
  <si>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</si>
  <si>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</si>
  <si>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</si>
  <si>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</si>
  <si>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</si>
  <si>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</si>
  <si>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</si>
  <si>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</si>
  <si>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</si>
  <si>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</si>
  <si>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</si>
  <si>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</si>
  <si>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</si>
  <si>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</si>
  <si>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</si>
  <si>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</si>
  <si>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</si>
  <si>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</si>
  <si>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</si>
  <si>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</si>
  <si>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</si>
  <si>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</si>
  <si>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</si>
  <si>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</si>
  <si>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</si>
  <si>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</si>
  <si>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</si>
  <si>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</si>
  <si>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</si>
  <si>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</si>
  <si>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</si>
  <si>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</si>
  <si>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</si>
  <si>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</si>
  <si>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</si>
  <si>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</si>
  <si>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</si>
  <si>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</si>
  <si>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</si>
  <si>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</si>
  <si>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</si>
  <si>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</si>
  <si>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</si>
  <si>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</si>
  <si>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</si>
  <si>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</si>
  <si>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</si>
  <si>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</si>
  <si>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</si>
  <si>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</si>
  <si>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</si>
  <si>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</si>
  <si>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</si>
  <si>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</si>
  <si>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</si>
  <si>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</si>
  <si>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</si>
  <si>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</si>
  <si>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</si>
  <si>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</si>
  <si>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</si>
  <si>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</si>
  <si>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</si>
  <si>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</si>
  <si>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</si>
  <si>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</si>
  <si>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</si>
  <si>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</si>
  <si>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</si>
  <si>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</si>
  <si>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</si>
  <si>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</si>
  <si>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</si>
  <si>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</si>
  <si>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</si>
  <si>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</si>
  <si>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</si>
  <si>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</si>
  <si>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</si>
  <si>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</si>
  <si>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</si>
  <si>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</si>
  <si>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</si>
  <si>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</si>
  <si>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</si>
  <si>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</si>
  <si>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</si>
  <si>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</si>
  <si>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</si>
  <si>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</si>
  <si>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</si>
  <si>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</si>
  <si>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</si>
  <si>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</si>
  <si>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</si>
  <si>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</si>
  <si>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</si>
  <si>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</si>
  <si>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</si>
  <si>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</si>
  <si>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</si>
  <si>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</si>
  <si>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</si>
  <si>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</si>
  <si>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</si>
  <si>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</si>
  <si>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</si>
  <si>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</si>
  <si>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</si>
  <si>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</si>
  <si>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</si>
  <si>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</si>
  <si>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</si>
  <si>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</si>
  <si>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</si>
  <si>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</si>
  <si>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</si>
  <si>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</si>
  <si>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</si>
  <si>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</si>
  <si>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</si>
  <si>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</si>
  <si>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</si>
  <si>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</si>
  <si>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</si>
  <si>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</si>
  <si>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</si>
  <si>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</si>
  <si>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</si>
  <si>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</si>
  <si>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</si>
  <si>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</si>
  <si>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</si>
  <si>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</si>
  <si>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</si>
  <si>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</si>
  <si>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</si>
  <si>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</si>
  <si>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</si>
  <si>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</si>
  <si>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</si>
  <si>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</si>
  <si>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</si>
  <si>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</si>
  <si>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</si>
  <si>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</si>
  <si>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</si>
  <si>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</si>
  <si>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</si>
  <si>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</si>
  <si>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</si>
  <si>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</si>
  <si>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</si>
  <si>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</si>
  <si>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</si>
  <si>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</si>
  <si>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</si>
  <si>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</si>
  <si>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</si>
  <si>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</si>
  <si>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</si>
  <si>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</si>
  <si>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</si>
  <si>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</si>
  <si>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</si>
  <si>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</si>
  <si>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</si>
  <si>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</si>
  <si>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</si>
  <si>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</si>
  <si>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</si>
  <si>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</si>
  <si>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</si>
  <si>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</si>
  <si>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</si>
  <si>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</si>
  <si>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</si>
  <si>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</si>
  <si>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</si>
  <si>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</si>
  <si>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</si>
  <si>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</si>
  <si>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</si>
  <si>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</si>
  <si>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</si>
  <si>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</si>
  <si>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</si>
  <si>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</si>
  <si>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</si>
  <si>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</si>
  <si>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</si>
  <si>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</si>
  <si>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</si>
  <si>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</si>
  <si>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</si>
  <si>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</si>
  <si>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</si>
  <si>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</si>
  <si>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</si>
  <si>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</si>
  <si>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</si>
  <si>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</si>
  <si>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</si>
  <si>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</si>
  <si>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</si>
  <si>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</si>
  <si>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</si>
  <si>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</si>
  <si>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</si>
  <si>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</si>
  <si>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</si>
  <si>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</si>
  <si>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</si>
  <si>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</si>
  <si>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</si>
  <si>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</si>
  <si>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</si>
  <si>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车库—办公</t>
  </si>
  <si>
    <t>租金</t>
    <phoneticPr fontId="3" type="noConversion"/>
  </si>
  <si>
    <t>面积</t>
    <phoneticPr fontId="3" type="noConversion"/>
  </si>
  <si>
    <t>地上</t>
    <phoneticPr fontId="3" type="noConversion"/>
  </si>
  <si>
    <t>车库</t>
    <phoneticPr fontId="3" type="noConversion"/>
  </si>
  <si>
    <t>Ⅵ-亦1</t>
  </si>
  <si>
    <t>自定义容积率</t>
  </si>
  <si>
    <t>收益法 (元)</t>
  </si>
  <si>
    <t>成本法 (元)</t>
  </si>
  <si>
    <t>较好</t>
  </si>
  <si>
    <t>一般</t>
  </si>
  <si>
    <t>好</t>
  </si>
  <si>
    <t>自然人</t>
  </si>
  <si>
    <t>通路</t>
  </si>
  <si>
    <t>通电</t>
  </si>
  <si>
    <t>通讯</t>
  </si>
  <si>
    <t>通上水</t>
  </si>
  <si>
    <t>通下水</t>
  </si>
  <si>
    <t>平整</t>
  </si>
  <si>
    <t>与级别开发程度不一致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</si>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</sst>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估价对象为北京市房地产，为所有。根据《国有土地使用证》[]，估价对象（分摊）出让国有建设用地使用权面积为0平方米，建筑面积为615.56平方米。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估价对象为北京市房地产,属开发建设的，该项目尚在开发建设中。根据《国有土地使用证》[]，估价对象（分摊）出让国有建设用地使用权面积为0平方米，规划建筑面积为615.56平方米。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2024年8月21日（评估专业人员实地查勘之日）</v>
      </c>
    </row>
    <row r="13" spans="1:2" s="1203" customFormat="1">
      <c r="A13" s="1201" t="s">
        <v>529</v>
      </c>
      <c r="B13" s="1202" t="str">
        <f>'预评函-1'!A18</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1111</v>
      </c>
    </row>
    <row r="21" spans="1:2" s="1203" customFormat="1">
      <c r="A21" s="1201" t="s">
        <v>537</v>
      </c>
      <c r="B21" s="1202">
        <f ca="1">'预评函-2'!D7</f>
        <v>18049</v>
      </c>
    </row>
    <row r="22" spans="1:2" s="1203" customFormat="1">
      <c r="A22" s="1201" t="s">
        <v>538</v>
      </c>
      <c r="B22" s="1202" t="str">
        <f ca="1">'预评函-2'!D6</f>
        <v>壹仟壹佰壹拾壹万元整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1111</v>
      </c>
    </row>
    <row r="31" spans="1:2" s="1203" customFormat="1">
      <c r="A31" s="1201" t="s">
        <v>576</v>
      </c>
      <c r="B31" s="1202">
        <f ca="1">'预评函-2'!D15</f>
        <v>18049</v>
      </c>
    </row>
    <row r="32" spans="1:2" s="1203" customFormat="1">
      <c r="A32" s="1201" t="s">
        <v>543</v>
      </c>
      <c r="B32" s="1202" t="str">
        <f ca="1">'预评函-2'!D14</f>
        <v>壹仟壹佰壹拾壹万元整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615.55999999999995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775</v>
      </c>
    </row>
    <row r="48" spans="1:2" s="1203" customFormat="1">
      <c r="A48" s="1201" t="s">
        <v>549</v>
      </c>
      <c r="B48" s="1202">
        <f ca="1">'预评函-3'!E4</f>
        <v>12591</v>
      </c>
    </row>
    <row r="49" spans="1:2" s="1203" customFormat="1">
      <c r="A49" s="1201" t="s">
        <v>550</v>
      </c>
      <c r="B49" s="1202" t="str">
        <f ca="1">'预评函-3'!D5</f>
        <v>柒佰柒拾伍万元整</v>
      </c>
    </row>
    <row r="50" spans="1:2" s="1203" customFormat="1">
      <c r="A50" s="1201" t="s">
        <v>574</v>
      </c>
      <c r="B50" s="1202" t="str">
        <f>'预评函-3'!F2</f>
        <v>在建建筑物价值</v>
      </c>
    </row>
    <row r="51" spans="1:2" s="1203" customFormat="1">
      <c r="A51" s="1201" t="s">
        <v>551</v>
      </c>
      <c r="B51" s="1202">
        <f ca="1">'预评函-3'!F4</f>
        <v>336</v>
      </c>
    </row>
    <row r="52" spans="1:2" s="1203" customFormat="1">
      <c r="A52" s="1201" t="s">
        <v>552</v>
      </c>
      <c r="B52" s="1202">
        <f ca="1">'预评函-3'!G4</f>
        <v>5458</v>
      </c>
    </row>
    <row r="53" spans="1:2" s="1203" customFormat="1">
      <c r="A53" s="1201" t="s">
        <v>580</v>
      </c>
      <c r="B53" s="1202" t="str">
        <f ca="1">'预评函-3'!F5</f>
        <v>叁佰叁拾陆万元整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45525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2.3199999999999998</v>
      </c>
      <c r="D5" s="3025">
        <f>IF(ISERROR(ROUND(POWER(1+E5,A5-C5)*(POWER(1+E5,C5)-1)/(POWER(1+E5,A5)-1),3)),0,ROUND(POWER(1+E5,A5-C5)*(POWER(1+E5,C5)-1)/(POWER(1+E5,A5)-1),4))</f>
        <v>0.1099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12.33</v>
      </c>
      <c r="D6" s="3025">
        <f>IF(ISERROR(ROUND(POWER(1+E6,A6-C6)*(POWER(1+E6,C6)-1)/(POWER(1+E6,A6)-1),3)),0,ROUND(POWER(1+E6,A6-C6)*(POWER(1+E6,C6)-1)/(POWER(1+E6,A6)-1),4))</f>
        <v>0.44619999999999999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32.35</v>
      </c>
      <c r="D7" s="3025">
        <f>IF(ISERROR(ROUND(POWER(1+E7,A7-C7)*(POWER(1+E7,C7)-1)/(POWER(1+E7,A7)-1),3)),0,ROUND(POWER(1+E7,A7-C7)*(POWER(1+E7,C7)-1)/(POWER(1+E7,A7)-1),4))</f>
        <v>0.76819999999999999</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45525</v>
      </c>
      <c r="C3" s="2374" t="s">
        <v>2171</v>
      </c>
      <c r="D3" s="2373">
        <f>B3</f>
        <v>45525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3387</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3388</v>
      </c>
      <c r="C9" s="2395"/>
      <c r="D9" s="3504"/>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v>57207</v>
      </c>
      <c r="F13" s="856">
        <v>57207</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v>
      </c>
      <c r="F15" s="2410">
        <f>IF(A13="出让",IF(F13="","",ROUNDDOWN(MIN((F13-$D$3)/365,F14),2)),F14)</f>
        <v>32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615.55999999999995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3411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615.55999999999995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3406</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3389</v>
      </c>
      <c r="E13" s="13">
        <f>IF($C$3="是",ROUND($A$3*G13/$B$3,2),ROUND($A$3*(G13-AT13)/$B$3,2))</f>
        <v>0</v>
      </c>
      <c r="F13" s="29"/>
      <c r="G13" s="30">
        <f>H13+AC13+AT13</f>
        <v>615.55999999999995</v>
      </c>
      <c r="H13" s="17">
        <f>SUMIF(I$12:AB$12,"总值",I13:AB13)</f>
        <v>615.55999999999995</v>
      </c>
      <c r="I13" s="1626">
        <v>481.49</v>
      </c>
      <c r="J13" s="1626"/>
      <c r="K13" s="1626">
        <v>134.07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3" zoomScale="85" zoomScaleNormal="100" zoomScaleSheetLayoutView="85" workbookViewId="0">
      <selection activeCell="H40" sqref="H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615.55999999999995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615.55999999999995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481.49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134.07</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615.55999999999995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0</v>
      </c>
      <c r="E19" s="53">
        <f t="shared" ref="E19:E26" si="1">SUM(F19:G19)</f>
        <v>615.55999999999995</v>
      </c>
      <c r="F19" s="2795">
        <f>'数据-基础表'!I5</f>
        <v>481.49</v>
      </c>
      <c r="G19" s="2796">
        <f>'数据-基础表'!K5</f>
        <v>134.07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615.55999999999995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615.55999999999995</v>
      </c>
      <c r="F27" s="1140">
        <f>IF(SUM(F19:F26)=E8,SUM(F19:F26),"地上面积有误")</f>
        <v>481.49</v>
      </c>
      <c r="G27" s="1142">
        <f>SUM(G19:G26)</f>
        <v>134.07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615.55999999999995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615.55999999999995</v>
      </c>
      <c r="F31" s="677">
        <f>F27+F30</f>
        <v>481.49</v>
      </c>
      <c r="G31" s="678">
        <f>G27+G30</f>
        <v>134.07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8">
      <c r="D33" s="1678"/>
    </row>
    <row r="38" spans="4:8">
      <c r="F38" s="1638">
        <v>20000</v>
      </c>
      <c r="G38" s="1638">
        <f>F19</f>
        <v>481.49</v>
      </c>
      <c r="H38" s="1638">
        <f>F38*G38</f>
        <v>9629800</v>
      </c>
    </row>
    <row r="39" spans="4:8">
      <c r="F39" s="1638">
        <v>4000</v>
      </c>
      <c r="G39" s="1638">
        <f>G19</f>
        <v>134.07</v>
      </c>
      <c r="H39" s="1638">
        <f>F39*G39</f>
        <v>536280</v>
      </c>
    </row>
    <row r="40" spans="4:8">
      <c r="H40" s="1638">
        <f>H38+H39</f>
        <v>10166080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51" sqref="L5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3" width="7.5" style="1682" customWidth="1"/>
    <col min="24" max="24" width="7.875" style="1682" customWidth="1"/>
    <col min="25"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57207</v>
      </c>
      <c r="F6" s="64">
        <f>SUMIF(项目基本情况!C$12:I$12,C6,项目基本情况!C$15:I$15)</f>
        <v>32</v>
      </c>
      <c r="G6" s="65">
        <f>IF(ISERROR(ROUND(POWER(1+H6,D6-F6)*(POWER(1+H6,F6)-1)/(POWER(1+H6,D6)-1),3)),0,ROUND(POWER(1+H6,D6-F6)*(POWER(1+H6,F6)-1)/(POWER(1+H6,D6)-1),3))</f>
        <v>0.86599999999999999</v>
      </c>
      <c r="H6" s="732">
        <v>0.05</v>
      </c>
      <c r="I6" s="732">
        <v>5.5E-2</v>
      </c>
      <c r="J6" s="66">
        <v>7.0000000000000007E-2</v>
      </c>
      <c r="K6" s="1030">
        <f>SUMIF('数据-汇总表'!C$19:C$33,A6,'数据-汇总表'!E$19:E$33)</f>
        <v>615.55999999999995</v>
      </c>
      <c r="L6" s="733">
        <v>5000</v>
      </c>
      <c r="M6" s="67">
        <f t="shared" ref="M6:M14" si="0">ROUND(K6*L6/10000,0)</f>
        <v>308</v>
      </c>
      <c r="N6" s="731">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2.6</v>
      </c>
      <c r="V6" s="70">
        <v>2.5000000000000001E-2</v>
      </c>
      <c r="W6" s="70">
        <v>0.1</v>
      </c>
      <c r="X6" s="1040"/>
      <c r="Y6" s="71">
        <f>N6</f>
        <v>0.79</v>
      </c>
      <c r="Z6" s="72"/>
      <c r="AA6" s="66"/>
      <c r="AB6" s="66"/>
      <c r="AC6" s="1040"/>
      <c r="AD6" s="73"/>
      <c r="AE6" s="1041">
        <f ca="1">IF(AN6="",0,SUMIF(INDIRECT("'"&amp;AN6&amp;"'"&amp;"!E:E"),$AE$5,INDIRECT("'"&amp;AN6&amp;"'"&amp;"!F:F")))</f>
        <v>32</v>
      </c>
      <c r="AF6" s="1348"/>
      <c r="AG6" s="138">
        <f>IF(AF6="",0,AE6-AF6)</f>
        <v>0</v>
      </c>
      <c r="AH6" s="74"/>
      <c r="AI6" s="76">
        <v>365</v>
      </c>
      <c r="AJ6" s="77"/>
      <c r="AK6" s="78">
        <v>7.0000000000000001E-3</v>
      </c>
      <c r="AL6" s="79">
        <v>1E-3</v>
      </c>
      <c r="AM6" s="80">
        <f>AK6</f>
        <v>7.0000000000000001E-3</v>
      </c>
      <c r="AN6" s="1715" t="s">
        <v>3394</v>
      </c>
      <c r="AO6" s="52">
        <f ca="1">SUMIF(INDIRECT("'"&amp;AN6&amp;"'"&amp;"!A:A"),"总价",INDIRECT("'"&amp;AN6&amp;"'"&amp;"!B:B"))</f>
        <v>942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615.55999999999995</v>
      </c>
      <c r="L16" s="93">
        <f>ROUND(M16*10000/SUM(K6:K14),0)</f>
        <v>5004</v>
      </c>
      <c r="M16" s="93">
        <f>SUM(M6:M14)</f>
        <v>308</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f ca="1">结果表!G19</f>
        <v>1111</v>
      </c>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2671"/>
      <c r="N19" s="2671"/>
      <c r="O19" s="2671"/>
      <c r="P19" s="2671"/>
      <c r="Q19" s="2671"/>
      <c r="R19" s="2671"/>
      <c r="S19" s="2671"/>
      <c r="T19" s="2671"/>
      <c r="U19" s="2671"/>
      <c r="V19" s="3449" t="s">
        <v>3408</v>
      </c>
      <c r="W19" s="3449" t="s">
        <v>3407</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v>2008</v>
      </c>
      <c r="O20" s="2671"/>
      <c r="P20" s="2671"/>
      <c r="Q20" s="2671"/>
      <c r="R20" s="2671"/>
      <c r="S20" s="2671"/>
      <c r="T20" s="2671"/>
      <c r="U20" s="3449" t="s">
        <v>3409</v>
      </c>
      <c r="V20" s="2671">
        <f>'数据-汇总表'!F19</f>
        <v>481.49</v>
      </c>
      <c r="W20" s="2671">
        <v>3</v>
      </c>
      <c r="X20" s="2671">
        <f>V20*W20</f>
        <v>1444.47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ROUND(1-(2024-N20)/60,2)</f>
        <v>0.73</v>
      </c>
      <c r="O21" s="2671"/>
      <c r="P21" s="2671"/>
      <c r="Q21" s="2671"/>
      <c r="R21" s="2671"/>
      <c r="S21" s="2671"/>
      <c r="T21" s="2671"/>
      <c r="U21" s="3449" t="s">
        <v>3410</v>
      </c>
      <c r="V21" s="2671">
        <f>'数据-汇总表'!G19</f>
        <v>134.07</v>
      </c>
      <c r="W21" s="2671">
        <v>0.3</v>
      </c>
      <c r="X21" s="2671">
        <f>V21*W21</f>
        <v>40.220999999999997</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0.85</v>
      </c>
      <c r="O22" s="2671"/>
      <c r="P22" s="2671"/>
      <c r="Q22" s="2671"/>
      <c r="R22" s="2671"/>
      <c r="S22" s="2671"/>
      <c r="T22" s="2671"/>
      <c r="U22" s="2671"/>
      <c r="V22" s="2671">
        <f>V20+V21</f>
        <v>615.55999999999995</v>
      </c>
      <c r="W22" s="2671">
        <f>X22/V22</f>
        <v>2.4119354733900842</v>
      </c>
      <c r="X22" s="2671">
        <f t="shared" ref="X22" si="12">X20+X21</f>
        <v>1484.691</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(N21+N22)/2</f>
        <v>0.79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4" sqref="F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615.55999999999995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1111</v>
      </c>
      <c r="C5" s="2512">
        <f ca="1">IF(B5=D14,结果表!H102,ROUND(B5*10000/$B$1,0))</f>
        <v>18049</v>
      </c>
      <c r="D5" s="2512" t="e">
        <f ca="1">ROUND(B5*10000/$B$2,0)</f>
        <v>#DIV/0!</v>
      </c>
      <c r="E5" s="2686"/>
      <c r="F5" s="2687"/>
      <c r="G5" s="2687"/>
      <c r="H5" s="2688"/>
      <c r="I5" s="2688"/>
      <c r="J5" s="2688"/>
      <c r="K5" s="2688"/>
    </row>
    <row r="6" spans="1:11" ht="16.5">
      <c r="A6" s="2512" t="s">
        <v>656</v>
      </c>
      <c r="B6" s="2512">
        <f ca="1">SUM(G14:G23)</f>
        <v>1111</v>
      </c>
      <c r="C6" s="2512">
        <f ca="1">IF(B6=G14,结果表!H108,ROUND(B6*10000/$B$1,0))</f>
        <v>18049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615.55999999999995</v>
      </c>
      <c r="C14" s="2518">
        <f>结果表!C118</f>
        <v>0</v>
      </c>
      <c r="D14" s="2518">
        <f ca="1">结果表!H118</f>
        <v>1111</v>
      </c>
      <c r="E14" s="2518">
        <f ca="1">ROUND(D14*10000/B14,0)</f>
        <v>18049</v>
      </c>
      <c r="F14" s="2518" t="e">
        <f ca="1">ROUND(D14*10000/C14,0)</f>
        <v>#DIV/0!</v>
      </c>
      <c r="G14" s="2518">
        <f ca="1">D14</f>
        <v>1111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Normal="100" zoomScaleSheetLayoutView="100" zoomScalePageLayoutView="80" workbookViewId="0">
      <selection activeCell="I28" sqref="I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t="s">
        <v>3401</v>
      </c>
      <c r="H1" s="1750" t="str">
        <f>IF(G1="现房","——","估价对象范围")</f>
        <v>——</v>
      </c>
      <c r="I1" s="1751" t="s">
        <v>3402</v>
      </c>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3414</v>
      </c>
      <c r="D4" s="1756" t="s">
        <v>3413</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615.55999999999995</v>
      </c>
      <c r="M18" s="302">
        <f>IF(C1="",'数据-汇总表'!E3,SUMIF(项目类型,C1,'数据-汇总表'!E17:E26))</f>
        <v>615.55999999999995</v>
      </c>
    </row>
    <row r="19" spans="1:36" ht="15">
      <c r="A19" s="1761" t="s">
        <v>1290</v>
      </c>
      <c r="B19" s="1762" t="s">
        <v>1291</v>
      </c>
      <c r="C19" s="134">
        <f ca="1">SUMIF(INDIRECT("'"&amp;C4&amp;"'"&amp;"!A:A"),结果表!B19,INDIRECT("'"&amp;C4&amp;"'"&amp;"!B:B"))</f>
        <v>1189.5372</v>
      </c>
      <c r="D19" s="135">
        <f ca="1">SUMIF(INDIRECT("'"&amp;D4&amp;"'"&amp;"!A:A"),结果表!B19,INDIRECT("'"&amp;D4&amp;"'"&amp;"!B:B"))</f>
        <v>926.32029999999997</v>
      </c>
      <c r="E19" s="1761" t="s">
        <v>1292</v>
      </c>
      <c r="F19" s="1762" t="s">
        <v>1291</v>
      </c>
      <c r="G19" s="136">
        <f ca="1">ROUND(C19*$C$18+D19*$D$18,0)</f>
        <v>1111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19324</v>
      </c>
      <c r="D20" s="138">
        <f ca="1">SUMIF(INDIRECT("'"&amp;D4&amp;"'"&amp;"!A:A"),结果表!B20,INDIRECT("'"&amp;D4&amp;"'"&amp;"!B:B"))</f>
        <v>15048</v>
      </c>
      <c r="E20" s="1764"/>
      <c r="F20" s="1026" t="s">
        <v>1295</v>
      </c>
      <c r="G20" s="139">
        <f ca="1">ROUND(C20*$C$18+D20*$D$18,0)</f>
        <v>18041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0.2841532243220839</v>
      </c>
      <c r="E22" s="129"/>
      <c r="F22" s="129"/>
      <c r="G22" s="129"/>
      <c r="H22" s="129"/>
      <c r="I22" s="129"/>
      <c r="K22" s="725">
        <v>1110</v>
      </c>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1111</v>
      </c>
      <c r="D32" s="1775" t="s">
        <v>3404</v>
      </c>
      <c r="E32" s="129"/>
      <c r="F32" s="129"/>
      <c r="G32" s="129"/>
      <c r="H32" s="129"/>
      <c r="I32" s="129"/>
    </row>
    <row r="33" spans="1:15" ht="15">
      <c r="A33" s="786" t="s">
        <v>1306</v>
      </c>
      <c r="B33" s="1776"/>
      <c r="C33" s="1777" t="s">
        <v>3405</v>
      </c>
      <c r="D33" s="1778" t="s">
        <v>3403</v>
      </c>
      <c r="E33" s="1779" t="s">
        <v>1307</v>
      </c>
      <c r="F33" s="1780" t="str">
        <f>IF(D32="楼面单价","取值（单价）","取值（总价）")</f>
        <v>取值（总价）</v>
      </c>
      <c r="G33" s="129"/>
      <c r="H33" s="129"/>
      <c r="I33" s="129"/>
    </row>
    <row r="34" spans="1:15" ht="15">
      <c r="A34" s="1781"/>
      <c r="B34" s="1782" t="s">
        <v>1308</v>
      </c>
      <c r="C34" s="148">
        <f ca="1">IF(C33="自定义",F34,C32-C35)</f>
        <v>775</v>
      </c>
      <c r="D34" s="861">
        <f ca="1">IF(C33="自定义",ROUND(C34/C32,3),IF(C33="收益比率",SUMIF(INDIRECT("'"&amp;D33&amp;"'"&amp;"!b:b"),"土地收益比率",INDIRECT("'"&amp;D33&amp;"'"&amp;"!c:c")),SUMIF(INDIRECT("'"&amp;D33&amp;"'"&amp;"!b:b"),"土地成本比率",INDIRECT("'"&amp;D33&amp;"'"&amp;"!c:c"))))</f>
        <v>0.69799999999999995</v>
      </c>
      <c r="E34" s="1783" t="s">
        <v>1309</v>
      </c>
      <c r="F34" s="1330"/>
      <c r="G34" s="129"/>
      <c r="H34" s="129"/>
      <c r="I34" s="129"/>
    </row>
    <row r="35" spans="1:15" ht="15.75" thickBot="1">
      <c r="A35" s="1784"/>
      <c r="B35" s="1785" t="s">
        <v>1310</v>
      </c>
      <c r="C35" s="1170">
        <f ca="1">IF(C33="自定义",F35,ROUND(C32*D35,0))</f>
        <v>336</v>
      </c>
      <c r="D35" s="1171">
        <f ca="1">IF(C33="自定义",ROUND(C35/C32,3),IF(C33="收益比率",SUMIF(INDIRECT("'"&amp;D33&amp;"'"&amp;"!b:b"),"建筑物收益比率",INDIRECT("'"&amp;D33&amp;"'"&amp;"!c:c")),SUMIF(INDIRECT("'"&amp;D33&amp;"'"&amp;"!b:b"),"建筑物成本比率",INDIRECT("'"&amp;D33&amp;"'"&amp;"!c:c"))))</f>
        <v>0.30199999999999999</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1111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45525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1111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59</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59</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59</v>
      </c>
      <c r="E54" s="327" t="s">
        <v>1359</v>
      </c>
      <c r="F54" s="2554">
        <f>'数据-取费表'!B41</f>
        <v>5.6000000000000001E-2</v>
      </c>
      <c r="G54" s="2555"/>
      <c r="H54" s="2556"/>
      <c r="I54" s="1807"/>
      <c r="J54" s="2523">
        <v>3</v>
      </c>
      <c r="K54" s="3604" t="s">
        <v>1360</v>
      </c>
      <c r="L54" s="3604"/>
      <c r="M54" s="2525">
        <f t="shared" ca="1" si="0"/>
        <v>629</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11</v>
      </c>
      <c r="N55" s="2040" t="str">
        <f>E59</f>
        <v>差额计税</v>
      </c>
      <c r="O55" s="2529">
        <f>F59</f>
        <v>0.01</v>
      </c>
    </row>
    <row r="56" spans="1:35" ht="24.75">
      <c r="A56" s="3554" t="s">
        <v>1363</v>
      </c>
      <c r="B56" s="3555"/>
      <c r="C56" s="3555"/>
      <c r="D56" s="2324">
        <f ca="1">IF(H56="个人住宅",D57,D58)</f>
        <v>629</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641</v>
      </c>
      <c r="O57" s="2533"/>
      <c r="P57" s="2690" t="e">
        <f ca="1">N57/M49</f>
        <v>#VALUE!</v>
      </c>
    </row>
    <row r="58" spans="1:35" ht="24.75">
      <c r="A58" s="2335" t="s">
        <v>1352</v>
      </c>
      <c r="B58" s="3565" t="s">
        <v>1369</v>
      </c>
      <c r="C58" s="3539"/>
      <c r="D58" s="2324">
        <f ca="1">IF(H58="转让取得",C81,C97)</f>
        <v>629</v>
      </c>
      <c r="E58" s="2334" t="s">
        <v>1364</v>
      </c>
      <c r="F58" s="302" t="s">
        <v>28</v>
      </c>
      <c r="G58" s="2555"/>
      <c r="H58" s="2558"/>
      <c r="I58" s="1808"/>
      <c r="J58" s="3604"/>
      <c r="K58" s="3604"/>
      <c r="L58" s="2530" t="s">
        <v>1370</v>
      </c>
      <c r="M58" s="2534"/>
      <c r="N58" s="2535" t="str">
        <f ca="1">NUMBERSTRING(INT(N57*10000),2)&amp;"元整"</f>
        <v>陆佰肆拾壹万元整</v>
      </c>
      <c r="O58" s="2536"/>
    </row>
    <row r="59" spans="1:35" ht="24.75" thickBot="1">
      <c r="A59" s="3607" t="s">
        <v>1371</v>
      </c>
      <c r="B59" s="3608"/>
      <c r="C59" s="3608"/>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1058</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1111</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1058</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1111</v>
      </c>
      <c r="I101" s="129"/>
    </row>
    <row r="102" spans="1:35" ht="18.75" customHeight="1">
      <c r="A102" s="3585" t="s">
        <v>1433</v>
      </c>
      <c r="B102" s="2584" t="s">
        <v>1432</v>
      </c>
      <c r="C102" s="2585">
        <f ca="1">IF(D32="楼面单价",ROUND(C19,0),C19)</f>
        <v>1189.5372</v>
      </c>
      <c r="D102" s="2586">
        <f ca="1">IF(D32="楼面单价",ROUND(D19,0),D19)</f>
        <v>926.32029999999997</v>
      </c>
      <c r="E102" s="3626"/>
      <c r="F102" s="3583"/>
      <c r="G102" s="1827" t="s">
        <v>1434</v>
      </c>
      <c r="H102" s="2555">
        <f ca="1">I118</f>
        <v>18049</v>
      </c>
      <c r="I102" s="129"/>
    </row>
    <row r="103" spans="1:35" ht="42.75" customHeight="1">
      <c r="A103" s="3585"/>
      <c r="B103" s="2584" t="s">
        <v>1434</v>
      </c>
      <c r="C103" s="2587">
        <f ca="1">C20</f>
        <v>19324</v>
      </c>
      <c r="D103" s="2588">
        <f ca="1">D20</f>
        <v>15048</v>
      </c>
      <c r="E103" s="3620" t="s">
        <v>1435</v>
      </c>
      <c r="F103" s="3621"/>
      <c r="G103" s="1828" t="s">
        <v>1436</v>
      </c>
      <c r="H103" s="2595">
        <f>IF(D36="正常操作",H104+H105+H106,H105+H106)</f>
        <v>0</v>
      </c>
      <c r="I103" s="129"/>
    </row>
    <row r="104" spans="1:35" ht="18.75" customHeight="1">
      <c r="A104" s="3585" t="s">
        <v>1437</v>
      </c>
      <c r="B104" s="2589" t="s">
        <v>1432</v>
      </c>
      <c r="C104" s="2590">
        <f ca="1">H118</f>
        <v>1111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18049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1111</v>
      </c>
      <c r="I107" s="129"/>
    </row>
    <row r="108" spans="1:35" ht="18.75" customHeight="1">
      <c r="A108" s="129"/>
      <c r="B108" s="129"/>
      <c r="C108" s="129"/>
      <c r="D108" s="129"/>
      <c r="E108" s="3582"/>
      <c r="F108" s="3583"/>
      <c r="G108" s="1827" t="s">
        <v>1434</v>
      </c>
      <c r="H108" s="2555">
        <f ca="1">IF(H107=H101,H102,ROUND(H107*10000/'数据-汇总表'!E3,0))</f>
        <v>18049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615.55999999999995</v>
      </c>
      <c r="C118" s="2329">
        <f>M19</f>
        <v>0</v>
      </c>
      <c r="D118" s="2329">
        <f ca="1">ROUND(IF(D32="总价",C34,E118*B118/10000),0)</f>
        <v>775</v>
      </c>
      <c r="E118" s="2329">
        <f ca="1">ROUND(IF(C33="自定义",IF(D32="楼面单价",C34,D118*10000/B118),I118-G118),0)</f>
        <v>12591</v>
      </c>
      <c r="F118" s="2329">
        <f ca="1">ROUND(IF(D32="总价",C35,G118*B118/10000),0)</f>
        <v>336</v>
      </c>
      <c r="G118" s="2329">
        <f ca="1">ROUND(IF(D32="楼面单价",C35,F118*10000/B118),0)</f>
        <v>5458</v>
      </c>
      <c r="H118" s="2329">
        <f ca="1">ROUND(IF(D32="总价",C32,I118*B118/10000),0)</f>
        <v>1111</v>
      </c>
      <c r="I118" s="2329">
        <f ca="1">ROUND(IF(D32="楼面单价",C32,H118*10000/B118),0)</f>
        <v>18049</v>
      </c>
    </row>
    <row r="119" spans="1:27" ht="18.75" customHeight="1">
      <c r="A119" s="3553" t="s">
        <v>1452</v>
      </c>
      <c r="B119" s="3553"/>
      <c r="C119" s="3553"/>
      <c r="D119" s="3593" t="str">
        <f ca="1">NUMBERSTRING(INT(D118*10000),2)&amp;"元整"</f>
        <v>柒佰柒拾伍万元整</v>
      </c>
      <c r="E119" s="3595"/>
      <c r="F119" s="3593" t="str">
        <f ca="1">NUMBERSTRING(INT(F118*10000),2)&amp;"元整"</f>
        <v>叁佰叁拾陆万元整</v>
      </c>
      <c r="G119" s="3595"/>
      <c r="H119" s="3593" t="str">
        <f ca="1">NUMBERSTRING(INT(H118*10000),2)&amp;"元整"</f>
        <v>壹仟壹佰壹拾壹万元整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1111</v>
      </c>
      <c r="E122" s="3618"/>
      <c r="F122" s="3618"/>
      <c r="G122" s="3618"/>
      <c r="H122" s="3618"/>
      <c r="I122" s="3619"/>
      <c r="AA122" s="725"/>
    </row>
    <row r="123" spans="1:27" ht="18.75" customHeight="1">
      <c r="A123" s="3553" t="s">
        <v>1452</v>
      </c>
      <c r="B123" s="3553"/>
      <c r="C123" s="3553"/>
      <c r="D123" s="3593" t="str">
        <f ca="1">NUMBERSTRING(INT(D122*10000),2)&amp;"元整"</f>
        <v>壹仟壹佰壹拾壹万元整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K31" sqref="K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615.55999999999995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573</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16365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9309</v>
      </c>
      <c r="C3" s="1999" t="s">
        <v>1941</v>
      </c>
      <c r="D3" s="2000" t="s">
        <v>1942</v>
      </c>
      <c r="E3" s="3420" t="s">
        <v>3395</v>
      </c>
      <c r="F3" s="2004" t="s">
        <v>3412</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12899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0"/>
      <c r="B4" s="3641"/>
      <c r="C4" s="3641"/>
      <c r="D4" s="3642"/>
      <c r="E4" s="3642"/>
      <c r="F4" s="3642"/>
      <c r="G4" s="3642"/>
      <c r="H4" s="3642"/>
      <c r="I4" s="3642"/>
      <c r="J4" s="364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10902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11546</v>
      </c>
      <c r="D5" s="1339">
        <f>ROUND(C6*C17+C20,0)</f>
        <v>10994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9615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61">
        <f>ROUND(SUMPRODUCT((B106:B110=R6)*(C105:N105=G2)*(C106:N110)),4)</f>
        <v>0.84799999999999998</v>
      </c>
      <c r="T6" s="3361">
        <f t="shared" si="0"/>
        <v>9240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v>
      </c>
      <c r="AA7" s="1216"/>
      <c r="AB7" s="1216"/>
      <c r="AC7" s="1217"/>
      <c r="AD7" s="1218"/>
      <c r="AE7" s="1218"/>
      <c r="AF7" s="1218"/>
      <c r="AG7" s="1218"/>
      <c r="AH7" s="1218"/>
      <c r="AI7" s="1218"/>
      <c r="AJ7" s="1219"/>
    </row>
    <row r="8" spans="1:36" ht="25.5">
      <c r="A8" s="3299"/>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37" t="s">
        <v>1960</v>
      </c>
      <c r="X8" s="363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3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3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1.05</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4" t="s">
        <v>3256</v>
      </c>
      <c r="B20" s="167" t="s">
        <v>1994</v>
      </c>
      <c r="C20" s="3325">
        <f>ROUND(IF(F21="与级别开发程度一致",0,(G21-E21)/C21),0)</f>
        <v>-36</v>
      </c>
      <c r="D20" s="3341" t="s">
        <v>1998</v>
      </c>
      <c r="E20" s="3342"/>
      <c r="F20" s="3650" t="s">
        <v>1995</v>
      </c>
      <c r="G20" s="3651"/>
      <c r="H20" s="3326" t="s">
        <v>3419</v>
      </c>
      <c r="I20" s="3326" t="s">
        <v>3420</v>
      </c>
      <c r="J20" s="3327" t="s">
        <v>3421</v>
      </c>
      <c r="K20" s="2047" t="s">
        <v>3422</v>
      </c>
      <c r="L20" s="2047" t="s">
        <v>3423</v>
      </c>
      <c r="M20" s="2047" t="s">
        <v>3424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45525</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0.88029999999999997</v>
      </c>
      <c r="D24" s="2060" t="s">
        <v>2007</v>
      </c>
      <c r="E24" s="1335">
        <f>存贷款利率!E26/100</f>
        <v>4.3499999999999997E-2</v>
      </c>
      <c r="F24" s="2060" t="s">
        <v>1999</v>
      </c>
      <c r="G24" s="768">
        <f>SUMIF(M30:Q30,E2,M33:Q33)</f>
        <v>5.5E-2</v>
      </c>
      <c r="H24" s="2060" t="s">
        <v>2008</v>
      </c>
      <c r="I24" s="769">
        <f>SUMIF('数据-取费表'!C6:C15,E2,'数据-取费表'!F6:F15)/COUNTIF('数据-取费表'!C6:C15,E2)</f>
        <v>32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1.0512999999999999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1.0512999999999999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573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11455</v>
      </c>
      <c r="D33" s="2098">
        <f>'数据-汇总表'!F19</f>
        <v>481.49</v>
      </c>
      <c r="E33" s="773">
        <f>ROUND(C33*D33/10000,0)</f>
        <v>552</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2864</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48"/>
      <c r="B37" s="2113" t="s">
        <v>2036</v>
      </c>
      <c r="C37" s="175">
        <f>ROUND(D5*C22*C23*C24*C28*F37,0)</f>
        <v>6225</v>
      </c>
      <c r="D37" s="2098"/>
      <c r="E37" s="171">
        <f>ROUND(C37*D37/10000,0)</f>
        <v>0</v>
      </c>
      <c r="F37" s="171">
        <f>SUMIF(修正!A57:A68,G2,修正!B57:B68)</f>
        <v>0.6</v>
      </c>
      <c r="G37" s="171">
        <f>ROUND(IF(E2="工业",C37*$M$42,C37*$M$41),0)</f>
        <v>1556</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49"/>
      <c r="B38" s="2041" t="s">
        <v>2037</v>
      </c>
      <c r="C38" s="175">
        <f>ROUND(D5*C22*C23*C24*C28*F38,0)</f>
        <v>3113</v>
      </c>
      <c r="D38" s="2098"/>
      <c r="E38" s="171">
        <f t="shared" ref="E38:E42" si="4">ROUND(C38*D38/10000,0)</f>
        <v>0</v>
      </c>
      <c r="F38" s="171">
        <f>SUMIF(修正!A57:A68,G2,修正!C57:C68)</f>
        <v>0.3</v>
      </c>
      <c r="G38" s="171">
        <f>ROUND(IF(E2="工业",C38*$M$42,C38*$M$41),0)</f>
        <v>778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49"/>
      <c r="B39" s="2041" t="s">
        <v>3261</v>
      </c>
      <c r="C39" s="175">
        <f>ROUND(D5*C22*C23*C24*C28*F39,0)</f>
        <v>2594</v>
      </c>
      <c r="D39" s="2098"/>
      <c r="E39" s="171">
        <f t="shared" si="4"/>
        <v>0</v>
      </c>
      <c r="F39" s="171">
        <f>SUMIF(修正!A57:A68,G2,修正!D57:D68)</f>
        <v>0.25</v>
      </c>
      <c r="G39" s="171">
        <f>ROUND(IF(E2="工业",C39*$M$42,C39*$M$41),0)</f>
        <v>649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2594</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2594</v>
      </c>
      <c r="D41" s="2098"/>
      <c r="E41" s="171">
        <f t="shared" si="4"/>
        <v>0</v>
      </c>
      <c r="F41" s="175">
        <f>SUMIF(修正!A57:A68,G2,修正!F57:F68)</f>
        <v>0.25</v>
      </c>
      <c r="G41" s="171">
        <f>ROUND(IF(E2="工业",C41*$M$42,C41*$M$41),0)</f>
        <v>649</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1556</v>
      </c>
      <c r="D42" s="2103">
        <f>'数据-汇总表'!G19</f>
        <v>134.07</v>
      </c>
      <c r="E42" s="187">
        <f t="shared" si="4"/>
        <v>21</v>
      </c>
      <c r="F42" s="767">
        <f>SUMIF(修正!A57:A68,G2,修正!G57:G68)</f>
        <v>0.15</v>
      </c>
      <c r="G42" s="187">
        <f>ROUND(IF(E2="工业",C42*$M$42,C42*$M$41),0)</f>
        <v>389</v>
      </c>
      <c r="H42" s="187">
        <f t="shared" si="5"/>
        <v>134.07</v>
      </c>
      <c r="I42" s="187">
        <f t="shared" si="6"/>
        <v>5</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0.88029999999999997</v>
      </c>
      <c r="D44" s="171" t="s">
        <v>1999</v>
      </c>
      <c r="E44" s="2153">
        <f>G24</f>
        <v>5.5E-2</v>
      </c>
      <c r="F44" s="171" t="s">
        <v>2008</v>
      </c>
      <c r="G44" s="183">
        <f>项目基本情况!E15</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3415</v>
      </c>
      <c r="D61" s="1065">
        <f t="shared" ref="D61:D69" si="12">SUMIF($J$60:$N$60,C61,J61:N61)</f>
        <v>1.5699999999999999E-2</v>
      </c>
      <c r="E61" s="744">
        <f>ROUND(SUM(D61:D69),4)</f>
        <v>6.0600000000000001E-2</v>
      </c>
      <c r="F61" s="1814">
        <f>IF(E2="办公",SUMIF(L1:L12,G2,N1:N12),"——")</f>
        <v>0.126</v>
      </c>
      <c r="G61" s="1063">
        <v>1.5699999999999999E-2</v>
      </c>
      <c r="H61" s="1066">
        <f t="shared" ref="H61:H69" si="13">IFERROR(ROUNDDOWN($F$61*I61/2,4),"——")</f>
        <v>1.5699999999999999E-2</v>
      </c>
      <c r="I61" s="3367">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3415</v>
      </c>
      <c r="D62" s="1065">
        <f t="shared" si="12"/>
        <v>1.6299999999999999E-2</v>
      </c>
      <c r="E62" s="745"/>
      <c r="F62" s="1814"/>
      <c r="G62" s="1063">
        <v>1.6299999999999999E-2</v>
      </c>
      <c r="H62" s="1066">
        <f t="shared" si="13"/>
        <v>1.6299999999999999E-2</v>
      </c>
      <c r="I62" s="3367">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3415</v>
      </c>
      <c r="D63" s="1065">
        <f t="shared" si="12"/>
        <v>6.8999999999999999E-3</v>
      </c>
      <c r="E63" s="745"/>
      <c r="F63" s="1814"/>
      <c r="G63" s="1063">
        <v>6.8999999999999999E-3</v>
      </c>
      <c r="H63" s="1066">
        <f t="shared" si="13"/>
        <v>6.8999999999999999E-3</v>
      </c>
      <c r="I63" s="3367">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3415</v>
      </c>
      <c r="D64" s="1065">
        <f t="shared" si="12"/>
        <v>3.0999999999999999E-3</v>
      </c>
      <c r="E64" s="745"/>
      <c r="F64" s="1814"/>
      <c r="G64" s="1063">
        <v>3.0999999999999999E-3</v>
      </c>
      <c r="H64" s="1066">
        <f t="shared" si="13"/>
        <v>3.0999999999999999E-3</v>
      </c>
      <c r="I64" s="3367">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3416</v>
      </c>
      <c r="D65" s="1065">
        <f t="shared" si="12"/>
        <v>0</v>
      </c>
      <c r="E65" s="745"/>
      <c r="F65" s="1814"/>
      <c r="G65" s="1063">
        <v>3.0999999999999999E-3</v>
      </c>
      <c r="H65" s="1066">
        <f t="shared" si="13"/>
        <v>3.0999999999999999E-3</v>
      </c>
      <c r="I65" s="3367">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3415</v>
      </c>
      <c r="D66" s="1065">
        <f t="shared" si="12"/>
        <v>3.7000000000000002E-3</v>
      </c>
      <c r="E66" s="745"/>
      <c r="F66" s="1814"/>
      <c r="G66" s="1063">
        <v>3.7000000000000002E-3</v>
      </c>
      <c r="H66" s="1066">
        <f t="shared" si="13"/>
        <v>3.7000000000000002E-3</v>
      </c>
      <c r="I66" s="3367">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3415</v>
      </c>
      <c r="D67" s="1065">
        <f t="shared" si="12"/>
        <v>3.7000000000000002E-3</v>
      </c>
      <c r="E67" s="745"/>
      <c r="F67" s="1814"/>
      <c r="G67" s="1063">
        <v>3.7000000000000002E-3</v>
      </c>
      <c r="H67" s="1066">
        <f t="shared" si="13"/>
        <v>3.7000000000000002E-3</v>
      </c>
      <c r="I67" s="3367">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3417</v>
      </c>
      <c r="D68" s="1065">
        <f t="shared" si="12"/>
        <v>1.12E-2</v>
      </c>
      <c r="E68" s="745"/>
      <c r="F68" s="1814"/>
      <c r="G68" s="1063">
        <v>5.5999999999999999E-3</v>
      </c>
      <c r="H68" s="1066">
        <f t="shared" si="13"/>
        <v>5.5999999999999999E-3</v>
      </c>
      <c r="I68" s="3367">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3416</v>
      </c>
      <c r="D69" s="1065">
        <f t="shared" si="12"/>
        <v>0</v>
      </c>
      <c r="E69" s="746"/>
      <c r="F69" s="1814"/>
      <c r="G69" s="1063">
        <v>4.4000000000000003E-3</v>
      </c>
      <c r="H69" s="1066">
        <f t="shared" si="13"/>
        <v>4.4000000000000003E-3</v>
      </c>
      <c r="I69" s="3368">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46" t="s">
        <v>3296</v>
      </c>
      <c r="B103" s="3646"/>
      <c r="C103" s="3646"/>
      <c r="D103" s="3646"/>
      <c r="E103" s="3646"/>
      <c r="F103" s="3646"/>
      <c r="G103" s="3646"/>
      <c r="H103" s="3646"/>
      <c r="I103" s="3646"/>
      <c r="J103" s="3646"/>
      <c r="K103" s="3390"/>
      <c r="L103" s="3390"/>
      <c r="M103" s="3390"/>
      <c r="N103" s="3390"/>
    </row>
    <row r="104" spans="1:14">
      <c r="A104" s="3647" t="s">
        <v>3297</v>
      </c>
      <c r="B104" s="3647" t="s">
        <v>3298</v>
      </c>
      <c r="C104" s="3391" t="s">
        <v>3299</v>
      </c>
      <c r="D104" s="3392"/>
      <c r="E104" s="3392"/>
      <c r="F104" s="3392"/>
      <c r="G104" s="3392"/>
      <c r="H104" s="3392"/>
      <c r="I104" s="3392"/>
      <c r="J104" s="3393"/>
      <c r="K104" s="3394"/>
      <c r="L104" s="3394"/>
      <c r="M104" s="3394"/>
      <c r="N104" s="3394"/>
    </row>
    <row r="105" spans="1:14">
      <c r="A105" s="3647"/>
      <c r="B105" s="364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3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4"/>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3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36" t="s">
        <v>3313</v>
      </c>
      <c r="B113" s="3636"/>
      <c r="C113" s="3636"/>
      <c r="D113" s="3636"/>
      <c r="E113" s="3636"/>
      <c r="F113" s="3636"/>
      <c r="G113" s="3636"/>
      <c r="H113" s="3636"/>
      <c r="I113" s="3636"/>
      <c r="J113" s="363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v>
      </c>
      <c r="C116" s="3400" t="s">
        <v>3315</v>
      </c>
      <c r="D116" s="3401">
        <f>SUMPRODUCT((A118:A122=F116)*(B117:M117=H116)*B118:M122)</f>
        <v>0.91310000000000002</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3331</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3332</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3333</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1188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19299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590</v>
      </c>
      <c r="D5" s="211" t="s">
        <v>1469</v>
      </c>
      <c r="E5" s="212" t="s">
        <v>1470</v>
      </c>
      <c r="F5" s="212" t="s">
        <v>1471</v>
      </c>
      <c r="G5" s="213"/>
    </row>
    <row r="6" spans="1:9" s="214" customFormat="1" ht="13.5" customHeight="1">
      <c r="A6" s="778" t="s">
        <v>1472</v>
      </c>
      <c r="B6" s="215" t="s">
        <v>1473</v>
      </c>
      <c r="C6" s="216">
        <f>基准地价修正!B2</f>
        <v>573</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615.55999999999995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615.55999999999995</v>
      </c>
      <c r="E19" s="211">
        <f>'数据-取费表'!B31</f>
        <v>200</v>
      </c>
      <c r="F19" s="231"/>
      <c r="G19" s="1856"/>
    </row>
    <row r="20" spans="1:7" s="214" customFormat="1" ht="13.5" customHeight="1">
      <c r="A20" s="255" t="s">
        <v>1493</v>
      </c>
      <c r="B20" s="210" t="s">
        <v>1494</v>
      </c>
      <c r="C20" s="232">
        <f ca="1">ROUND((C5+C19)*F20,0)</f>
        <v>18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42</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93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615.55999999999995</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53</v>
      </c>
      <c r="D45" s="235">
        <f ca="1">C47</f>
        <v>4.4999999999999997E-3</v>
      </c>
      <c r="E45" s="236" t="s">
        <v>1539</v>
      </c>
      <c r="F45" s="246">
        <f ca="1">F27</f>
        <v>0.15</v>
      </c>
      <c r="G45" s="247" t="s">
        <v>1548</v>
      </c>
    </row>
    <row r="46" spans="1:7" s="214" customFormat="1" ht="13.5" customHeight="1">
      <c r="A46" s="780" t="s">
        <v>346</v>
      </c>
      <c r="B46" s="248" t="s">
        <v>1549</v>
      </c>
      <c r="C46" s="249">
        <f ca="1">ROUND((C33+C39)*F27,0)</f>
        <v>53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455</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359</v>
      </c>
      <c r="D51" s="232"/>
      <c r="E51" s="232"/>
      <c r="F51" s="264"/>
      <c r="G51" s="234" t="s">
        <v>1560</v>
      </c>
    </row>
    <row r="52" spans="1:7" s="208" customFormat="1" ht="16.5" thickBot="1">
      <c r="A52" s="265" t="s">
        <v>1561</v>
      </c>
      <c r="B52" s="266"/>
      <c r="C52" s="267">
        <f ca="1">C31+C51</f>
        <v>1188</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Normal="70" zoomScaleSheetLayoutView="100" workbookViewId="0">
      <selection activeCell="K29" sqref="K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1189.5372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19324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6021776.8700000001</v>
      </c>
      <c r="D5" s="211" t="s">
        <v>1469</v>
      </c>
      <c r="E5" s="212" t="s">
        <v>1470</v>
      </c>
      <c r="F5" s="212" t="s">
        <v>1471</v>
      </c>
      <c r="G5" s="213"/>
    </row>
    <row r="6" spans="1:8" s="214" customFormat="1" ht="13.5" customHeight="1">
      <c r="A6" s="778" t="s">
        <v>1472</v>
      </c>
      <c r="B6" s="215" t="s">
        <v>1473</v>
      </c>
      <c r="C6" s="216">
        <f>基准地价修正!C33*基准地价修正!D33+基准地价修正!C42*基准地价修正!D42</f>
        <v>5724080.8700000001</v>
      </c>
      <c r="D6" s="217"/>
      <c r="E6" s="218"/>
      <c r="F6" s="218"/>
      <c r="G6" s="219"/>
    </row>
    <row r="7" spans="1:8" s="214" customFormat="1" ht="13.5" customHeight="1">
      <c r="A7" s="778" t="s">
        <v>1474</v>
      </c>
      <c r="B7" s="215" t="s">
        <v>1475</v>
      </c>
      <c r="C7" s="220">
        <f>ROUND(C6*F7,0)</f>
        <v>174584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123112</v>
      </c>
      <c r="D8" s="222"/>
      <c r="E8" s="220"/>
      <c r="F8" s="221"/>
      <c r="G8" s="1856" t="s">
        <v>3426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123112</v>
      </c>
      <c r="D10" s="845">
        <f ca="1">IF(B1="",'数据-汇总表'!E6,IF(INDIRECT("'数据-取费表'!c"&amp;$G$1)="住宅",INDIRECT("'数据-取费表'!s"&amp;$G$1),INDIRECT("'数据-取费表'!k"&amp;$G$1)+INDIRECT("'数据-取费表'!s"&amp;$G$1)))</f>
        <v>615.55999999999995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615.55999999999995</v>
      </c>
      <c r="E19" s="211">
        <f>'数据-取费表'!B31</f>
        <v>200</v>
      </c>
      <c r="F19" s="231"/>
      <c r="G19" s="1856" t="s">
        <v>3427</v>
      </c>
    </row>
    <row r="20" spans="1:7" s="214" customFormat="1" ht="13.5" customHeight="1">
      <c r="A20" s="255" t="s">
        <v>1574</v>
      </c>
      <c r="B20" s="210" t="s">
        <v>1575</v>
      </c>
      <c r="C20" s="232">
        <f ca="1">ROUND((C5+C19)*F20,0)</f>
        <v>180653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416269</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410217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6052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930364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930364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8284749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3416358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3077800</v>
      </c>
      <c r="D34" s="217"/>
      <c r="E34" s="220"/>
      <c r="F34" s="257"/>
      <c r="G34" s="219"/>
    </row>
    <row r="35" spans="1:7" ht="13.5" customHeight="1">
      <c r="A35" s="780" t="s">
        <v>351</v>
      </c>
      <c r="B35" s="215" t="s">
        <v>1527</v>
      </c>
      <c r="C35" s="220">
        <f ca="1">ROUND(C34*F35,0)</f>
        <v>153890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123112</v>
      </c>
      <c r="D37" s="217">
        <f ca="1">D19</f>
        <v>615.55999999999995</v>
      </c>
      <c r="E37" s="249">
        <f>'数据-取费表'!B35</f>
        <v>200</v>
      </c>
      <c r="F37" s="259"/>
      <c r="G37" s="261"/>
    </row>
    <row r="38" spans="1:7" ht="13.5" customHeight="1">
      <c r="A38" s="780" t="s">
        <v>354</v>
      </c>
      <c r="B38" s="215" t="s">
        <v>1533</v>
      </c>
      <c r="C38" s="220">
        <f ca="1">ROUND(C34*F38,0)</f>
        <v>61556</v>
      </c>
      <c r="D38" s="220"/>
      <c r="E38" s="220"/>
      <c r="F38" s="259">
        <f>'数据-取费表'!B36</f>
        <v>0.02</v>
      </c>
      <c r="G38" s="219" t="s">
        <v>1528</v>
      </c>
    </row>
    <row r="39" spans="1:7" s="214" customFormat="1" ht="13.5" customHeight="1">
      <c r="A39" s="255" t="s">
        <v>1534</v>
      </c>
      <c r="B39" s="210" t="s">
        <v>1535</v>
      </c>
      <c r="C39" s="232">
        <f ca="1">ROUND(C33*F20,0)</f>
        <v>102491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117881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114448</v>
      </c>
      <c r="D42" s="238"/>
      <c r="E42" s="238"/>
      <c r="F42" s="239"/>
      <c r="G42" s="3652" t="s">
        <v>1591</v>
      </c>
    </row>
    <row r="43" spans="1:7" ht="13.5" customHeight="1">
      <c r="A43" s="780" t="s">
        <v>347</v>
      </c>
      <c r="B43" s="215" t="s">
        <v>1545</v>
      </c>
      <c r="C43" s="238">
        <f ca="1">ROUND(IF('数据-取费表'!B22&lt;=1,C39*F22*'数据-取费表'!B20/2,C39*(POWER((1+F22),'数据-取费表'!B20/2)-1)),0)</f>
        <v>3433</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527827</v>
      </c>
      <c r="D45" s="235">
        <f ca="1">C47</f>
        <v>4.4999999999999997E-3</v>
      </c>
      <c r="E45" s="236" t="s">
        <v>1539</v>
      </c>
      <c r="F45" s="246">
        <f ca="1">F27</f>
        <v>0.15</v>
      </c>
      <c r="G45" s="247" t="s">
        <v>1548</v>
      </c>
    </row>
    <row r="46" spans="1:7" s="214" customFormat="1" ht="13.5" customHeight="1">
      <c r="A46" s="780" t="s">
        <v>346</v>
      </c>
      <c r="B46" s="248" t="s">
        <v>1549</v>
      </c>
      <c r="C46" s="249">
        <f ca="1">ROUND((C33+C39)*F27,0)</f>
        <v>527827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4570409</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3610623</v>
      </c>
      <c r="D51" s="232"/>
      <c r="E51" s="232"/>
      <c r="F51" s="264"/>
      <c r="G51" s="234" t="s">
        <v>1560</v>
      </c>
    </row>
    <row r="52" spans="1:7" s="208" customFormat="1" ht="16.5" thickBot="1">
      <c r="A52" s="265" t="s">
        <v>1561</v>
      </c>
      <c r="B52" s="266"/>
      <c r="C52" s="267">
        <f ca="1">C31+C51</f>
        <v>11895372</v>
      </c>
      <c r="D52" s="266"/>
      <c r="E52" s="266"/>
      <c r="F52" s="266"/>
      <c r="G52" s="268"/>
    </row>
    <row r="55" spans="1:7" ht="15">
      <c r="B55" s="270" t="s">
        <v>1562</v>
      </c>
      <c r="C55" s="271"/>
    </row>
    <row r="56" spans="1:7">
      <c r="B56" s="273" t="s">
        <v>802</v>
      </c>
      <c r="C56" s="275">
        <f ca="1">1-C57</f>
        <v>0.69599999999999995</v>
      </c>
    </row>
    <row r="57" spans="1:7">
      <c r="B57" s="273" t="s">
        <v>803</v>
      </c>
      <c r="C57" s="274">
        <f ca="1">ROUND(C51/C52,3)</f>
        <v>0.30399999999999999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615.55999999999995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615.55999999999995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615.55999999999995</v>
      </c>
      <c r="E20" s="21">
        <f>'数据-取费表'!B28</f>
        <v>200</v>
      </c>
      <c r="F20" s="804"/>
      <c r="G20" s="12"/>
      <c r="H20" s="809"/>
      <c r="I20" s="809"/>
      <c r="J20" s="809"/>
      <c r="K20" s="810"/>
    </row>
    <row r="21" spans="1:33" s="803" customFormat="1" ht="13.5" customHeight="1">
      <c r="A21" s="790" t="s">
        <v>357</v>
      </c>
      <c r="B21" s="813" t="s">
        <v>1628</v>
      </c>
      <c r="C21" s="814">
        <f ca="1">C16+C17+C18</f>
        <v>12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942</v>
      </c>
      <c r="C2" s="1387" t="s">
        <v>805</v>
      </c>
      <c r="D2" s="1387"/>
      <c r="E2" s="1388"/>
      <c r="F2" s="1389"/>
      <c r="G2" s="2706"/>
      <c r="H2" s="2695"/>
      <c r="I2" s="2695"/>
      <c r="J2" s="2695"/>
      <c r="K2" s="2696"/>
      <c r="L2" s="2695"/>
      <c r="M2" s="2695"/>
    </row>
    <row r="3" spans="1:37" ht="18" customHeight="1" thickBot="1">
      <c r="A3" s="1390" t="s">
        <v>806</v>
      </c>
      <c r="B3" s="1391">
        <f ca="1">IF(ISERROR(B2*10000/F43),0,ROUND(B2*10000/F43,0))</f>
        <v>15303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53</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53</v>
      </c>
      <c r="D6" s="155" t="s">
        <v>2109</v>
      </c>
      <c r="E6" s="302" t="s">
        <v>696</v>
      </c>
      <c r="F6" s="303">
        <f ca="1">INDIRECT("'数据-取费表'!u"&amp;$G$1)</f>
        <v>2.6</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615.55999999999995</v>
      </c>
      <c r="G7" s="1384"/>
      <c r="H7" s="304"/>
      <c r="I7" s="3658"/>
      <c r="J7" s="306"/>
      <c r="K7" s="307"/>
      <c r="L7" s="302" t="s">
        <v>697</v>
      </c>
      <c r="M7" s="303">
        <f ca="1">F7</f>
        <v>615.55999999999995</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359</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308</v>
      </c>
      <c r="D14" s="1345" t="s">
        <v>708</v>
      </c>
      <c r="E14" s="1342"/>
      <c r="F14" s="319"/>
      <c r="G14" s="1384"/>
      <c r="H14" s="982" t="s">
        <v>398</v>
      </c>
      <c r="I14" s="302" t="s">
        <v>709</v>
      </c>
      <c r="J14" s="21">
        <f ca="1">C29</f>
        <v>455</v>
      </c>
      <c r="K14" s="12"/>
      <c r="L14" s="807"/>
      <c r="M14" s="808"/>
    </row>
    <row r="15" spans="1:37" s="1397" customFormat="1" ht="18" customHeight="1" thickBot="1">
      <c r="A15" s="982" t="s">
        <v>399</v>
      </c>
      <c r="B15" s="302" t="s">
        <v>710</v>
      </c>
      <c r="C15" s="21">
        <f ca="1">ROUND(C14*F15,0)</f>
        <v>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3.19</v>
      </c>
      <c r="K22" s="1344" t="s">
        <v>739</v>
      </c>
      <c r="L22" s="302" t="s">
        <v>712</v>
      </c>
      <c r="M22" s="328">
        <f ca="1">INDIRECT("'数据-取费表'!Ak"&amp;$G$1)</f>
        <v>7.0000000000000001E-3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7.0000000000000001E-3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455</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3.53</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3.19</v>
      </c>
      <c r="D36" s="1344" t="s">
        <v>771</v>
      </c>
      <c r="E36" s="302" t="s">
        <v>712</v>
      </c>
      <c r="F36" s="328">
        <f ca="1">INDIRECT("'数据-取费表'!Ak"&amp;$G$1)</f>
        <v>7.0000000000000001E-3</v>
      </c>
      <c r="G36" s="1384"/>
      <c r="H36" s="2700"/>
      <c r="I36" s="1398"/>
      <c r="J36" s="1399"/>
      <c r="K36" s="2544"/>
      <c r="L36" s="2700"/>
      <c r="M36" s="2700"/>
    </row>
    <row r="37" spans="1:18" ht="18" customHeight="1">
      <c r="A37" s="982" t="s">
        <v>437</v>
      </c>
      <c r="B37" s="302" t="s">
        <v>742</v>
      </c>
      <c r="C37" s="21">
        <f ca="1">ROUND(C13*F37,2)</f>
        <v>0.36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0.37</v>
      </c>
      <c r="D38" s="1092" t="s">
        <v>748</v>
      </c>
      <c r="E38" s="1090" t="s">
        <v>744</v>
      </c>
      <c r="F38" s="1086">
        <f ca="1">INDIRECT("'数据-取费表'!Am"&amp;$G$1)</f>
        <v>7.0000000000000001E-3</v>
      </c>
      <c r="G38" s="1384"/>
      <c r="H38" s="2700"/>
      <c r="I38" s="1398"/>
      <c r="J38" s="1399"/>
      <c r="K38" s="2704"/>
      <c r="L38" s="2700"/>
      <c r="M38" s="2700"/>
    </row>
    <row r="39" spans="1:18" ht="24.6" customHeight="1" thickTop="1">
      <c r="A39" s="1079" t="s">
        <v>394</v>
      </c>
      <c r="B39" s="1094" t="s">
        <v>772</v>
      </c>
      <c r="C39" s="310">
        <f ca="1">C5-C30</f>
        <v>46</v>
      </c>
      <c r="D39" s="1095" t="s">
        <v>773</v>
      </c>
      <c r="E39" s="1096"/>
      <c r="F39" s="1097"/>
      <c r="G39" s="1384"/>
      <c r="H39" s="2700"/>
      <c r="I39" s="1398">
        <f ca="1">C39/C5</f>
        <v>0.86792452830188682</v>
      </c>
      <c r="J39" s="1399"/>
      <c r="K39" s="2704"/>
      <c r="L39" s="2700"/>
      <c r="M39" s="2700"/>
    </row>
    <row r="40" spans="1:18" ht="18" customHeight="1">
      <c r="A40" s="299" t="s">
        <v>395</v>
      </c>
      <c r="B40" s="300" t="s">
        <v>774</v>
      </c>
      <c r="C40" s="301">
        <f ca="1">ROUND(C39*(1-((1+F42)/(1+F40))^F41)/(F40-F42),0)</f>
        <v>924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15011</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-984</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924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32</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455</v>
      </c>
      <c r="R49" s="1420" t="s">
        <v>818</v>
      </c>
    </row>
    <row r="50" spans="1:18" s="1384" customFormat="1" ht="13.5" thickBot="1">
      <c r="A50" s="976"/>
      <c r="B50" s="979"/>
      <c r="C50" s="1118"/>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v>
      </c>
      <c r="K53" s="3655" t="s">
        <v>837</v>
      </c>
      <c r="L53" s="3656"/>
      <c r="O53" s="1418" t="s">
        <v>409</v>
      </c>
      <c r="P53" s="1419" t="s">
        <v>838</v>
      </c>
      <c r="Q53" s="1420">
        <f ca="1">Q47+Q48</f>
        <v>942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359</v>
      </c>
      <c r="D56" s="1447"/>
      <c r="E56" s="1448"/>
      <c r="F56" s="1440"/>
      <c r="I56" s="1449" t="s">
        <v>842</v>
      </c>
      <c r="J56" s="1450" t="s">
        <v>3400</v>
      </c>
      <c r="K56" s="1421" t="s">
        <v>843</v>
      </c>
      <c r="L56" s="1424" t="str">
        <f ca="1">IF(L48&lt;J51,"——",L48-J53)</f>
        <v>——</v>
      </c>
      <c r="O56" s="1418" t="s">
        <v>403</v>
      </c>
      <c r="P56" s="1419" t="s">
        <v>817</v>
      </c>
      <c r="Q56" s="1420">
        <f ca="1">C40+J29</f>
        <v>924</v>
      </c>
      <c r="R56" s="1420" t="s">
        <v>818</v>
      </c>
    </row>
    <row r="57" spans="1:18" s="1384" customFormat="1" ht="24.75" thickBot="1">
      <c r="A57" s="1451"/>
      <c r="B57" s="950" t="s">
        <v>767</v>
      </c>
      <c r="C57" s="238">
        <f ca="1">C29</f>
        <v>455</v>
      </c>
      <c r="D57" s="1452"/>
      <c r="E57" s="1453"/>
      <c r="F57" s="1454"/>
      <c r="I57" s="1455" t="s">
        <v>844</v>
      </c>
      <c r="J57" s="1456">
        <f ca="1">IF(OR(M47="住宅",J51&lt;L48,J56="是"),"——",J51-L48)</f>
        <v>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924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3.19</v>
      </c>
      <c r="D64" s="964" t="s">
        <v>791</v>
      </c>
      <c r="E64" s="950" t="s">
        <v>783</v>
      </c>
      <c r="F64" s="328">
        <f t="shared" ca="1" si="0"/>
        <v>7.0000000000000001E-3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0.36</v>
      </c>
      <c r="D65" s="964" t="s">
        <v>743</v>
      </c>
      <c r="E65" s="950" t="s">
        <v>744</v>
      </c>
      <c r="F65" s="330">
        <f t="shared" ca="1" si="0"/>
        <v>1E-3</v>
      </c>
      <c r="I65" s="1462" t="s">
        <v>867</v>
      </c>
      <c r="J65" s="1463">
        <v>40</v>
      </c>
      <c r="K65" s="1463">
        <v>30</v>
      </c>
      <c r="L65" s="1463">
        <v>50</v>
      </c>
      <c r="M65" s="1465">
        <v>0.02</v>
      </c>
      <c r="O65" s="1418" t="s">
        <v>403</v>
      </c>
      <c r="P65" s="1419" t="s">
        <v>868</v>
      </c>
      <c r="Q65" s="1420">
        <f ca="1">C40+J29</f>
        <v>924</v>
      </c>
      <c r="R65" s="1420" t="s">
        <v>818</v>
      </c>
    </row>
    <row r="66" spans="1:18" s="1384" customFormat="1" ht="16.5" thickBot="1">
      <c r="A66" s="982" t="s">
        <v>793</v>
      </c>
      <c r="B66" s="950" t="s">
        <v>728</v>
      </c>
      <c r="C66" s="21">
        <f ca="1">ROUND(C48*F66,2)</f>
        <v>0</v>
      </c>
      <c r="D66" s="964" t="s">
        <v>794</v>
      </c>
      <c r="E66" s="950" t="s">
        <v>712</v>
      </c>
      <c r="F66" s="312">
        <f t="shared" ca="1" si="0"/>
        <v>7.0000000000000001E-3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369</v>
      </c>
      <c r="R67" s="1420" t="s">
        <v>870</v>
      </c>
    </row>
    <row r="68" spans="1:18" s="1384" customFormat="1" ht="16.5" thickBot="1">
      <c r="A68" s="947" t="s">
        <v>395</v>
      </c>
      <c r="B68" s="948" t="s">
        <v>774</v>
      </c>
      <c r="C68" s="301">
        <f ca="1">ROUND(C67*(1-((1+F70)/(1+F68))^F69)/(F68-F70),0)</f>
        <v>-60</v>
      </c>
      <c r="D68" s="965" t="s">
        <v>758</v>
      </c>
      <c r="E68" s="950" t="s">
        <v>759</v>
      </c>
      <c r="F68" s="312">
        <f ca="1">F40</f>
        <v>5.5E-2</v>
      </c>
      <c r="O68" s="1428" t="s">
        <v>406</v>
      </c>
      <c r="P68" s="1467" t="s">
        <v>871</v>
      </c>
      <c r="Q68" s="1420">
        <f ca="1">ROUND(Q69-Q70*Q71,0)</f>
        <v>21</v>
      </c>
      <c r="R68" s="1420" t="s">
        <v>414</v>
      </c>
    </row>
    <row r="69" spans="1:18" s="1384" customFormat="1" ht="13.5" thickBot="1">
      <c r="A69" s="951"/>
      <c r="B69" s="952"/>
      <c r="C69" s="306"/>
      <c r="D69" s="970" t="s">
        <v>762</v>
      </c>
      <c r="E69" s="950" t="s">
        <v>763</v>
      </c>
      <c r="F69" s="333">
        <f ca="1">F41</f>
        <v>32</v>
      </c>
      <c r="O69" s="1428" t="s">
        <v>411</v>
      </c>
      <c r="P69" s="1467" t="s">
        <v>872</v>
      </c>
      <c r="Q69" s="1420">
        <f ca="1">C39</f>
        <v>46</v>
      </c>
      <c r="R69" s="1420" t="s">
        <v>818</v>
      </c>
    </row>
    <row r="70" spans="1:18" s="1384" customFormat="1" ht="13.5" thickBot="1">
      <c r="A70" s="954"/>
      <c r="B70" s="955"/>
      <c r="C70" s="310"/>
      <c r="D70" s="966"/>
      <c r="E70" s="950" t="s">
        <v>766</v>
      </c>
      <c r="F70" s="1054"/>
      <c r="O70" s="1428" t="s">
        <v>412</v>
      </c>
      <c r="P70" s="1467" t="s">
        <v>873</v>
      </c>
      <c r="Q70" s="1420">
        <f ca="1">C13</f>
        <v>359</v>
      </c>
      <c r="R70" s="1420" t="s">
        <v>818</v>
      </c>
    </row>
    <row r="71" spans="1:18" s="1384" customFormat="1" ht="13.5" thickBot="1">
      <c r="A71" s="971" t="s">
        <v>396</v>
      </c>
      <c r="B71" s="972" t="s">
        <v>776</v>
      </c>
      <c r="C71" s="336">
        <f ca="1">ROUND(C68*10000/F71,0)</f>
        <v>-975</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v>
      </c>
      <c r="D75" s="1384"/>
      <c r="E75" s="1384"/>
      <c r="F75" s="1384"/>
      <c r="K75" s="1402"/>
      <c r="L75" s="1384"/>
      <c r="O75" s="1418" t="s">
        <v>409</v>
      </c>
      <c r="P75" s="1419" t="s">
        <v>838</v>
      </c>
      <c r="Q75" s="1420">
        <f ca="1">Q65+Q66</f>
        <v>924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0.45699999999999996</v>
      </c>
    </row>
    <row r="80" spans="1:18">
      <c r="B80" s="340" t="s">
        <v>800</v>
      </c>
      <c r="C80" s="274">
        <f ca="1">ROUND(C75/C39,3)</f>
        <v>0.54300000000000004</v>
      </c>
    </row>
    <row r="81" spans="2:3">
      <c r="B81" s="270" t="s">
        <v>801</v>
      </c>
      <c r="C81" s="238"/>
    </row>
    <row r="82" spans="2:3">
      <c r="B82" s="273" t="s">
        <v>802</v>
      </c>
      <c r="C82" s="275">
        <f ca="1">1-C83</f>
        <v>0.61099999999999999</v>
      </c>
    </row>
    <row r="83" spans="2:3">
      <c r="B83" s="273" t="s">
        <v>803</v>
      </c>
      <c r="C83" s="274">
        <f ca="1">ROUND(C13/C40,3)</f>
        <v>0.38900000000000001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926.32029999999997</v>
      </c>
      <c r="C2" s="1387" t="s">
        <v>879</v>
      </c>
      <c r="D2" s="1471">
        <f ca="1">C40+J29+L46</f>
        <v>9263203</v>
      </c>
      <c r="E2" s="1388" t="s">
        <v>880</v>
      </c>
      <c r="F2" s="1389"/>
      <c r="G2" s="2706"/>
      <c r="H2" s="2695"/>
      <c r="I2" s="2695"/>
      <c r="J2" s="2695"/>
      <c r="K2" s="2696"/>
      <c r="L2" s="2695"/>
      <c r="M2" s="2695"/>
    </row>
    <row r="3" spans="1:37" ht="18" customHeight="1" thickBot="1">
      <c r="A3" s="1390" t="s">
        <v>881</v>
      </c>
      <c r="B3" s="1391">
        <f ca="1">IF(ISERROR(D2/F43),0,ROUND(D2/F43,0))</f>
        <v>15048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526407</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525750</v>
      </c>
      <c r="D6" s="155" t="s">
        <v>2106</v>
      </c>
      <c r="E6" s="302" t="s">
        <v>696</v>
      </c>
      <c r="F6" s="303">
        <f ca="1">INDIRECT("'数据-取费表'!u"&amp;$G$1)</f>
        <v>2.6</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615.55999999999995</v>
      </c>
      <c r="G7" s="1384"/>
      <c r="H7" s="304"/>
      <c r="I7" s="3658"/>
      <c r="J7" s="306"/>
      <c r="K7" s="307"/>
      <c r="L7" s="302" t="s">
        <v>697</v>
      </c>
      <c r="M7" s="303">
        <f ca="1">F7</f>
        <v>615.55999999999995</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657</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3610623</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3077800</v>
      </c>
      <c r="D14" s="1345" t="s">
        <v>708</v>
      </c>
      <c r="E14" s="1342"/>
      <c r="F14" s="319"/>
      <c r="G14" s="1384"/>
      <c r="H14" s="982" t="s">
        <v>398</v>
      </c>
      <c r="I14" s="302" t="s">
        <v>709</v>
      </c>
      <c r="J14" s="21">
        <f ca="1">C29</f>
        <v>4570409</v>
      </c>
      <c r="K14" s="12"/>
      <c r="L14" s="807"/>
      <c r="M14" s="808"/>
    </row>
    <row r="15" spans="1:37" s="1397" customFormat="1" ht="18" customHeight="1" thickBot="1">
      <c r="A15" s="982" t="s">
        <v>399</v>
      </c>
      <c r="B15" s="302" t="s">
        <v>710</v>
      </c>
      <c r="C15" s="21">
        <f ca="1">ROUND(C14*F15,0)</f>
        <v>153890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31993</v>
      </c>
      <c r="K16" s="1087" t="s">
        <v>715</v>
      </c>
      <c r="L16" s="1088"/>
      <c r="M16" s="1072"/>
    </row>
    <row r="17" spans="1:37" s="1397" customFormat="1" ht="18" customHeight="1">
      <c r="A17" s="982" t="s">
        <v>681</v>
      </c>
      <c r="B17" s="302" t="s">
        <v>716</v>
      </c>
      <c r="C17" s="21">
        <f ca="1">ROUND(F17*(F43+INDIRECT("'数据-取费表'!S"&amp;$G$1)),0)</f>
        <v>123112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61556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3416358</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102491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31993</v>
      </c>
      <c r="K22" s="1344" t="s">
        <v>739</v>
      </c>
      <c r="L22" s="302" t="s">
        <v>712</v>
      </c>
      <c r="M22" s="328">
        <f ca="1">INDIRECT("'数据-取费表'!Ak"&amp;$G$1)</f>
        <v>7.0000000000000001E-3</v>
      </c>
    </row>
    <row r="23" spans="1:37" s="1397" customFormat="1" ht="18" customHeight="1">
      <c r="A23" s="982" t="s">
        <v>397</v>
      </c>
      <c r="B23" s="302" t="s">
        <v>740</v>
      </c>
      <c r="C23" s="21">
        <f ca="1">IF('数据-取费表'!B22&lt;=1,ROUND(C19*F24*F23/2,0)+ROUND(C20*F24*F23/2,0),ROUND(C19*(POWER((1+F24),F23/2)-1),0)+ROUND(C20*(POWER((1+F24),F23/2)-1),0))</f>
        <v>117881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7.0000000000000001E-3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-31993</v>
      </c>
      <c r="K25" s="1095" t="s">
        <v>753</v>
      </c>
      <c r="L25" s="1096"/>
      <c r="M25" s="1097"/>
    </row>
    <row r="26" spans="1:37" ht="18" customHeight="1">
      <c r="A26" s="982" t="s">
        <v>397</v>
      </c>
      <c r="B26" s="302" t="s">
        <v>754</v>
      </c>
      <c r="C26" s="21">
        <f ca="1">ROUND((C19+C20)*F26,0)</f>
        <v>527827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4570409</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74339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35050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31993</v>
      </c>
      <c r="D36" s="1344" t="s">
        <v>771</v>
      </c>
      <c r="E36" s="302" t="s">
        <v>712</v>
      </c>
      <c r="F36" s="328">
        <f ca="1">INDIRECT("'数据-取费表'!Ak"&amp;$G$1)</f>
        <v>7.0000000000000001E-3</v>
      </c>
      <c r="G36" s="1384"/>
      <c r="H36" s="2700"/>
      <c r="I36" s="1398"/>
      <c r="J36" s="1399"/>
      <c r="K36" s="2544"/>
      <c r="L36" s="2700"/>
      <c r="M36" s="2700"/>
    </row>
    <row r="37" spans="1:18" ht="18" customHeight="1">
      <c r="A37" s="982" t="s">
        <v>437</v>
      </c>
      <c r="B37" s="302" t="s">
        <v>742</v>
      </c>
      <c r="C37" s="21">
        <f ca="1">ROUND(C13*F37,0)</f>
        <v>3611</v>
      </c>
      <c r="D37" s="1344" t="s">
        <v>743</v>
      </c>
      <c r="E37" s="302" t="s">
        <v>744</v>
      </c>
      <c r="F37" s="330">
        <f ca="1">INDIRECT("'数据-取费表'!Al"&amp;$G$1)</f>
        <v>1E-3</v>
      </c>
      <c r="G37" s="1384"/>
      <c r="H37" s="2700"/>
      <c r="I37" s="1398">
        <f ca="1">C39/C5</f>
        <v>0.85878037336129653</v>
      </c>
      <c r="J37" s="1399"/>
      <c r="K37" s="2544"/>
      <c r="L37" s="2700"/>
      <c r="M37" s="2700"/>
    </row>
    <row r="38" spans="1:18" ht="18" customHeight="1" thickBot="1">
      <c r="A38" s="1089" t="s">
        <v>684</v>
      </c>
      <c r="B38" s="1090" t="s">
        <v>728</v>
      </c>
      <c r="C38" s="1091">
        <f ca="1">ROUND(C5*F38,0)</f>
        <v>3685</v>
      </c>
      <c r="D38" s="1092" t="s">
        <v>748</v>
      </c>
      <c r="E38" s="1090" t="s">
        <v>744</v>
      </c>
      <c r="F38" s="1086">
        <f ca="1">INDIRECT("'数据-取费表'!Am"&amp;$G$1)</f>
        <v>7.0000000000000001E-3</v>
      </c>
      <c r="G38" s="1384"/>
      <c r="H38" s="2700"/>
      <c r="I38" s="1398"/>
      <c r="J38" s="1399"/>
      <c r="K38" s="2704"/>
      <c r="L38" s="2700"/>
      <c r="M38" s="2700"/>
    </row>
    <row r="39" spans="1:18" ht="24.6" customHeight="1" thickTop="1">
      <c r="A39" s="1079" t="s">
        <v>394</v>
      </c>
      <c r="B39" s="1094" t="s">
        <v>772</v>
      </c>
      <c r="C39" s="310">
        <f ca="1">C5-C30</f>
        <v>452068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9082509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14755</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-961.31579999999997</v>
      </c>
      <c r="D45" s="3432" t="s">
        <v>3355</v>
      </c>
      <c r="E45" s="1400"/>
      <c r="F45" s="1400"/>
      <c r="O45" s="1403" t="s">
        <v>808</v>
      </c>
      <c r="P45" s="1461"/>
      <c r="Q45" s="1461"/>
      <c r="R45" s="1461"/>
    </row>
    <row r="46" spans="1:18" s="1384" customFormat="1" ht="13.5" thickBot="1">
      <c r="A46" s="1404" t="s">
        <v>809</v>
      </c>
      <c r="C46" s="1405">
        <f ca="1">ROUND(C45,0)</f>
        <v>-961</v>
      </c>
      <c r="D46" s="1406" t="str">
        <f>C2</f>
        <v>万元</v>
      </c>
      <c r="I46" s="1407" t="s">
        <v>810</v>
      </c>
      <c r="J46" s="1408"/>
      <c r="K46" s="1409"/>
      <c r="L46" s="1410">
        <f ca="1">IF(M47="住宅",0,IF(L48&gt;J51,L60,J60))</f>
        <v>180694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9082509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32</v>
      </c>
      <c r="O48" s="1418" t="s">
        <v>404</v>
      </c>
      <c r="P48" s="1419" t="s">
        <v>821</v>
      </c>
      <c r="Q48" s="1420">
        <f ca="1">J60</f>
        <v>180694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'数据-取费表'!N20</f>
        <v>2008</v>
      </c>
      <c r="K49" s="1423" t="s">
        <v>824</v>
      </c>
      <c r="L49" s="1427"/>
      <c r="O49" s="1428" t="s">
        <v>405</v>
      </c>
      <c r="P49" s="1419" t="s">
        <v>825</v>
      </c>
      <c r="Q49" s="1420">
        <f ca="1">C29</f>
        <v>4570409</v>
      </c>
      <c r="R49" s="1420" t="s">
        <v>818</v>
      </c>
    </row>
    <row r="50" spans="1:18" s="1384" customFormat="1" ht="13.5" thickBot="1">
      <c r="A50" s="976"/>
      <c r="B50" s="979"/>
      <c r="C50" s="980"/>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3520622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32</v>
      </c>
      <c r="K53" s="3655" t="s">
        <v>837</v>
      </c>
      <c r="L53" s="3656"/>
      <c r="O53" s="1418" t="s">
        <v>409</v>
      </c>
      <c r="P53" s="1419" t="s">
        <v>838</v>
      </c>
      <c r="Q53" s="1420">
        <f ca="1">Q47+Q48</f>
        <v>9263203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3610623</v>
      </c>
      <c r="D56" s="1447"/>
      <c r="E56" s="1448"/>
      <c r="F56" s="1440"/>
      <c r="I56" s="1449" t="s">
        <v>842</v>
      </c>
      <c r="J56" s="1450" t="s">
        <v>3400</v>
      </c>
      <c r="K56" s="1421" t="s">
        <v>843</v>
      </c>
      <c r="L56" s="1424" t="str">
        <f ca="1">IF(L48&lt;J51,"——",L48-J51)</f>
        <v>——</v>
      </c>
      <c r="O56" s="1418" t="s">
        <v>403</v>
      </c>
      <c r="P56" s="1419" t="s">
        <v>817</v>
      </c>
      <c r="Q56" s="1420">
        <f ca="1">C40+J29</f>
        <v>9082509</v>
      </c>
      <c r="R56" s="1420" t="s">
        <v>818</v>
      </c>
    </row>
    <row r="57" spans="1:18" s="1384" customFormat="1" ht="24.75" thickBot="1">
      <c r="A57" s="1451"/>
      <c r="B57" s="950" t="s">
        <v>767</v>
      </c>
      <c r="C57" s="238">
        <f ca="1">C29</f>
        <v>4570409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35604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1828164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180694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9082509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31993</v>
      </c>
      <c r="D64" s="964" t="s">
        <v>791</v>
      </c>
      <c r="E64" s="950" t="s">
        <v>783</v>
      </c>
      <c r="F64" s="328">
        <f t="shared" ca="1" si="0"/>
        <v>7.0000000000000001E-3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3611</v>
      </c>
      <c r="D65" s="964" t="s">
        <v>743</v>
      </c>
      <c r="E65" s="950" t="s">
        <v>744</v>
      </c>
      <c r="F65" s="330">
        <f t="shared" ca="1" si="0"/>
        <v>1E-3</v>
      </c>
      <c r="I65" s="1462" t="s">
        <v>867</v>
      </c>
      <c r="J65" s="1463">
        <v>40</v>
      </c>
      <c r="K65" s="1463">
        <v>30</v>
      </c>
      <c r="L65" s="1463">
        <v>50</v>
      </c>
      <c r="M65" s="1465">
        <v>0.02</v>
      </c>
      <c r="O65" s="1418" t="s">
        <v>403</v>
      </c>
      <c r="P65" s="1419" t="s">
        <v>868</v>
      </c>
      <c r="Q65" s="1420">
        <f ca="1">C40+J29</f>
        <v>9082509</v>
      </c>
      <c r="R65" s="1420" t="s">
        <v>818</v>
      </c>
    </row>
    <row r="66" spans="1:18" s="1384" customFormat="1" ht="16.5" thickBot="1">
      <c r="A66" s="982" t="s">
        <v>793</v>
      </c>
      <c r="B66" s="950" t="s">
        <v>728</v>
      </c>
      <c r="C66" s="21">
        <f ca="1">ROUND(C48*F66,0)</f>
        <v>0</v>
      </c>
      <c r="D66" s="964" t="s">
        <v>794</v>
      </c>
      <c r="E66" s="950" t="s">
        <v>712</v>
      </c>
      <c r="F66" s="312">
        <f t="shared" ca="1" si="0"/>
        <v>7.0000000000000001E-3</v>
      </c>
      <c r="O66" s="1418" t="s">
        <v>404</v>
      </c>
      <c r="P66" s="1419" t="s">
        <v>846</v>
      </c>
      <c r="Q66" s="1420">
        <f ca="1">L60</f>
        <v>0</v>
      </c>
      <c r="R66" s="1420" t="s">
        <v>869</v>
      </c>
    </row>
    <row r="67" spans="1:18" s="1384" customFormat="1" ht="16.5" thickBot="1">
      <c r="A67" s="957" t="s">
        <v>394</v>
      </c>
      <c r="B67" s="967" t="s">
        <v>752</v>
      </c>
      <c r="C67" s="316">
        <f ca="1">C48-C58</f>
        <v>-35604</v>
      </c>
      <c r="D67" s="963" t="s">
        <v>753</v>
      </c>
      <c r="E67" s="968"/>
      <c r="F67" s="969"/>
      <c r="O67" s="1428" t="s">
        <v>405</v>
      </c>
      <c r="P67" s="1419" t="s">
        <v>850</v>
      </c>
      <c r="Q67" s="1466">
        <f ca="1">L51</f>
        <v>3520622</v>
      </c>
      <c r="R67" s="1420" t="s">
        <v>870</v>
      </c>
    </row>
    <row r="68" spans="1:18" s="1384" customFormat="1" ht="16.5" thickBot="1">
      <c r="A68" s="947" t="s">
        <v>395</v>
      </c>
      <c r="B68" s="948" t="s">
        <v>774</v>
      </c>
      <c r="C68" s="301">
        <f ca="1">ROUND(C67*(1-((1+F70)/(1+F68))^F69)/(F68-F70),0)</f>
        <v>-530649</v>
      </c>
      <c r="D68" s="965" t="s">
        <v>758</v>
      </c>
      <c r="E68" s="950" t="s">
        <v>759</v>
      </c>
      <c r="F68" s="312">
        <f ca="1">F40</f>
        <v>5.5E-2</v>
      </c>
      <c r="O68" s="1428" t="s">
        <v>406</v>
      </c>
      <c r="P68" s="1467" t="s">
        <v>871</v>
      </c>
      <c r="Q68" s="1420">
        <f ca="1">ROUND(Q69-Q70*Q71,0)</f>
        <v>199324</v>
      </c>
      <c r="R68" s="1420" t="s">
        <v>414</v>
      </c>
    </row>
    <row r="69" spans="1:18" s="1384" customFormat="1" ht="13.5" thickBot="1">
      <c r="A69" s="951"/>
      <c r="B69" s="952"/>
      <c r="C69" s="306"/>
      <c r="D69" s="970" t="s">
        <v>762</v>
      </c>
      <c r="E69" s="950" t="s">
        <v>763</v>
      </c>
      <c r="F69" s="333">
        <f ca="1">F41</f>
        <v>32</v>
      </c>
      <c r="O69" s="1428" t="s">
        <v>411</v>
      </c>
      <c r="P69" s="1467" t="s">
        <v>872</v>
      </c>
      <c r="Q69" s="1420">
        <f ca="1">C39</f>
        <v>452068</v>
      </c>
      <c r="R69" s="1420" t="s">
        <v>818</v>
      </c>
    </row>
    <row r="70" spans="1:18" s="1384" customFormat="1" ht="13.5" thickBot="1">
      <c r="A70" s="954"/>
      <c r="B70" s="955"/>
      <c r="C70" s="310"/>
      <c r="D70" s="966"/>
      <c r="E70" s="950" t="s">
        <v>766</v>
      </c>
      <c r="F70" s="1054"/>
      <c r="O70" s="1428" t="s">
        <v>412</v>
      </c>
      <c r="P70" s="1467" t="s">
        <v>873</v>
      </c>
      <c r="Q70" s="1420">
        <f ca="1">C13</f>
        <v>3610623</v>
      </c>
      <c r="R70" s="1420" t="s">
        <v>818</v>
      </c>
    </row>
    <row r="71" spans="1:18" s="1384" customFormat="1" ht="13.5" thickBot="1">
      <c r="A71" s="971" t="s">
        <v>396</v>
      </c>
      <c r="B71" s="972" t="s">
        <v>776</v>
      </c>
      <c r="C71" s="336">
        <f ca="1">ROUND(C68/F71,0)</f>
        <v>-862</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252744</v>
      </c>
      <c r="D75" s="1384"/>
      <c r="E75" s="1384"/>
      <c r="F75" s="1384"/>
      <c r="K75" s="1402"/>
      <c r="L75" s="1384"/>
      <c r="O75" s="1418" t="s">
        <v>409</v>
      </c>
      <c r="P75" s="1419" t="s">
        <v>838</v>
      </c>
      <c r="Q75" s="1420">
        <f ca="1">Q65+Q66</f>
        <v>9082509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0.44099999999999995</v>
      </c>
    </row>
    <row r="80" spans="1:18">
      <c r="B80" s="340" t="s">
        <v>800</v>
      </c>
      <c r="C80" s="274">
        <f ca="1">ROUND(C75/C39,3)</f>
        <v>0.55900000000000005</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66" t="s">
        <v>2319</v>
      </c>
      <c r="K2" s="366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8" t="s">
        <v>2329</v>
      </c>
      <c r="K3" s="366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8" t="s">
        <v>2331</v>
      </c>
      <c r="K4" s="366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4" t="s">
        <v>2335</v>
      </c>
      <c r="B6" s="3675"/>
      <c r="C6" s="3676"/>
      <c r="D6" s="2870"/>
      <c r="E6" s="2871"/>
      <c r="F6" s="2872"/>
      <c r="G6" s="2873"/>
      <c r="H6" s="2848"/>
      <c r="I6" s="2849"/>
      <c r="J6" s="3660">
        <v>1</v>
      </c>
      <c r="K6" s="366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0"/>
      <c r="K7" s="366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7" t="s">
        <v>2349</v>
      </c>
      <c r="C8" s="3678"/>
      <c r="D8" s="2889" t="s">
        <v>2350</v>
      </c>
      <c r="E8" s="2890" t="s">
        <v>2351</v>
      </c>
      <c r="F8" s="2891" t="s">
        <v>2352</v>
      </c>
      <c r="G8" s="2892"/>
      <c r="H8" s="2848"/>
      <c r="I8" s="2849"/>
      <c r="J8" s="3660"/>
      <c r="K8" s="366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7" t="s">
        <v>2355</v>
      </c>
      <c r="C9" s="3678"/>
      <c r="D9" s="2889">
        <f>ROUND(D6*E9,0)</f>
        <v>0</v>
      </c>
      <c r="E9" s="2893"/>
      <c r="F9" s="2894" t="s">
        <v>2356</v>
      </c>
      <c r="G9" s="2873"/>
      <c r="H9" s="2848"/>
      <c r="I9" s="2849"/>
      <c r="J9" s="3660"/>
      <c r="K9" s="3662"/>
      <c r="L9" s="2883" t="s">
        <v>2357</v>
      </c>
      <c r="M9" s="2884"/>
      <c r="N9" s="2860"/>
      <c r="O9" s="2885"/>
      <c r="P9" s="2885"/>
      <c r="Q9" s="2886">
        <v>365</v>
      </c>
      <c r="R9" s="2887">
        <f t="shared" si="0"/>
        <v>0</v>
      </c>
      <c r="S9" s="2841"/>
      <c r="T9" s="2841"/>
      <c r="U9" s="2841"/>
      <c r="V9" s="2849"/>
    </row>
    <row r="10" spans="1:22" s="2853" customFormat="1" ht="13.15" customHeight="1">
      <c r="A10" s="2888">
        <v>2</v>
      </c>
      <c r="B10" s="3677" t="s">
        <v>2358</v>
      </c>
      <c r="C10" s="3678"/>
      <c r="D10" s="2889">
        <f>ROUND(D6*E10,0)</f>
        <v>0</v>
      </c>
      <c r="E10" s="2893"/>
      <c r="F10" s="2894" t="s">
        <v>2359</v>
      </c>
      <c r="G10" s="2873"/>
      <c r="H10" s="2848"/>
      <c r="I10" s="2849"/>
      <c r="J10" s="3660"/>
      <c r="K10" s="3662"/>
      <c r="L10" s="2883" t="s">
        <v>2360</v>
      </c>
      <c r="M10" s="2884"/>
      <c r="N10" s="2860"/>
      <c r="O10" s="2885"/>
      <c r="P10" s="2885"/>
      <c r="Q10" s="2886">
        <v>365</v>
      </c>
      <c r="R10" s="2887">
        <f t="shared" si="0"/>
        <v>0</v>
      </c>
      <c r="S10" s="2841"/>
      <c r="T10" s="2841"/>
      <c r="U10" s="2841"/>
      <c r="V10" s="2849"/>
    </row>
    <row r="11" spans="1:22" s="2853" customFormat="1" ht="13.15" customHeight="1">
      <c r="A11" s="2888">
        <v>3</v>
      </c>
      <c r="B11" s="3677" t="s">
        <v>2361</v>
      </c>
      <c r="C11" s="3678"/>
      <c r="D11" s="2889">
        <f>D12+D14+D15+D16</f>
        <v>0</v>
      </c>
      <c r="E11" s="2895" t="e">
        <f>D11/D6</f>
        <v>#DIV/0!</v>
      </c>
      <c r="F11" s="2891"/>
      <c r="G11" s="2892"/>
      <c r="H11" s="2848"/>
      <c r="I11" s="2849"/>
      <c r="J11" s="3660"/>
      <c r="K11" s="366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0" t="s">
        <v>2364</v>
      </c>
      <c r="C12" s="3671"/>
      <c r="D12" s="2897">
        <f>ROUND(D13*1.2%*(1-30%),0)</f>
        <v>0</v>
      </c>
      <c r="E12" s="2898">
        <v>1.2E-2</v>
      </c>
      <c r="F12" s="2891" t="s">
        <v>2365</v>
      </c>
      <c r="G12" s="2892"/>
      <c r="H12" s="2848"/>
      <c r="I12" s="2849"/>
      <c r="J12" s="3660"/>
      <c r="K12" s="366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0"/>
      <c r="K13" s="366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0" t="s">
        <v>2370</v>
      </c>
      <c r="C14" s="3671"/>
      <c r="D14" s="2897">
        <f>ROUND(E14*B5/10000,0)</f>
        <v>0</v>
      </c>
      <c r="E14" s="2886"/>
      <c r="F14" s="2891" t="s">
        <v>2371</v>
      </c>
      <c r="G14" s="2892"/>
      <c r="H14" s="2848"/>
      <c r="I14" s="2849"/>
      <c r="J14" s="3660"/>
      <c r="K14" s="366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0" t="s">
        <v>2374</v>
      </c>
      <c r="C15" s="3671"/>
      <c r="D15" s="2897">
        <f>ROUND(D6*E15,0)</f>
        <v>0</v>
      </c>
      <c r="E15" s="2898">
        <v>5.5E-2</v>
      </c>
      <c r="F15" s="2891" t="s">
        <v>2375</v>
      </c>
      <c r="G15" s="2873"/>
      <c r="H15" s="2848"/>
      <c r="I15" s="2849"/>
      <c r="J15" s="3660">
        <v>2</v>
      </c>
      <c r="K15" s="366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0" t="s">
        <v>2383</v>
      </c>
      <c r="C16" s="3671"/>
      <c r="D16" s="2908">
        <f>D6*E16</f>
        <v>0</v>
      </c>
      <c r="E16" s="2909"/>
      <c r="F16" s="2894" t="s">
        <v>2384</v>
      </c>
      <c r="G16" s="2873"/>
      <c r="H16" s="2848"/>
      <c r="I16" s="2849"/>
      <c r="J16" s="3660"/>
      <c r="K16" s="366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2386</v>
      </c>
      <c r="C17" s="3673"/>
      <c r="D17" s="2911">
        <f>ROUND(D6*E17,0)</f>
        <v>0</v>
      </c>
      <c r="E17" s="2912"/>
      <c r="F17" s="2913" t="s">
        <v>2387</v>
      </c>
      <c r="G17" s="2873"/>
      <c r="H17" s="2848"/>
      <c r="I17" s="2849"/>
      <c r="J17" s="3660"/>
      <c r="K17" s="366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0"/>
      <c r="K18" s="366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0"/>
      <c r="K19" s="366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0"/>
      <c r="K21" s="366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0"/>
      <c r="K22" s="366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0"/>
      <c r="K23" s="366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0"/>
      <c r="K24" s="366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6" t="s">
        <v>2319</v>
      </c>
      <c r="K32" s="366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8" t="s">
        <v>2329</v>
      </c>
      <c r="K33" s="366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8" t="s">
        <v>2331</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0">
        <v>1</v>
      </c>
      <c r="K36" s="366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0"/>
      <c r="K40" s="366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942</v>
      </c>
      <c r="C2" s="1872" t="s">
        <v>1651</v>
      </c>
      <c r="D2" s="1873" t="s">
        <v>1652</v>
      </c>
      <c r="E2" s="2607">
        <f>SUM(E6:E13)</f>
        <v>615.55999999999995</v>
      </c>
      <c r="F2" s="2707"/>
      <c r="G2" s="1489"/>
      <c r="H2" s="1489"/>
      <c r="I2" s="1489"/>
      <c r="J2" s="1489"/>
      <c r="K2" s="1489"/>
      <c r="L2" s="1489"/>
      <c r="M2" s="1489"/>
      <c r="N2" s="1489"/>
      <c r="O2" s="1489"/>
      <c r="P2" s="1489"/>
      <c r="Q2" s="1489"/>
      <c r="R2" s="1489"/>
      <c r="S2" s="1489"/>
    </row>
    <row r="3" spans="1:22" ht="15.75">
      <c r="A3" s="1870" t="s">
        <v>686</v>
      </c>
      <c r="B3" s="2601">
        <f ca="1">ROUND(B2*10000/E2,0)</f>
        <v>15303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942</v>
      </c>
      <c r="C6" s="1872" t="s">
        <v>1651</v>
      </c>
      <c r="D6" s="2709"/>
      <c r="E6" s="2606">
        <f>IF(OR(A6=0,F6="否"),0,'数据-取费表'!K6+'数据-取费表'!S6)</f>
        <v>615.55999999999995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615.55999999999995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45525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45525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5"/>
      <c r="M5" s="2716"/>
      <c r="N5" s="2716"/>
      <c r="O5" s="2716"/>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45525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615.55999999999995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45525</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45525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45525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45525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84"/>
      <c r="Q10" s="1343" t="str">
        <f t="shared" si="6"/>
        <v>土地使用年限（年）</v>
      </c>
      <c r="R10" s="701" t="s">
        <v>14</v>
      </c>
      <c r="S10" s="702">
        <f t="shared" si="0"/>
        <v>115</v>
      </c>
      <c r="T10" s="701" t="s">
        <v>14</v>
      </c>
      <c r="U10" s="702">
        <f t="shared" si="1"/>
        <v>115</v>
      </c>
      <c r="V10" s="701" t="s">
        <v>14</v>
      </c>
      <c r="W10" s="702">
        <f t="shared" si="2"/>
        <v>115</v>
      </c>
      <c r="X10" s="703"/>
      <c r="Y10" s="3540"/>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481.49</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134.07</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615.55999999999995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45525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84"/>
      <c r="Q10" s="1343" t="str">
        <f t="shared" si="6"/>
        <v>土地使用年限（年）</v>
      </c>
      <c r="R10" s="701" t="s">
        <v>14</v>
      </c>
      <c r="S10" s="702">
        <f t="shared" si="0"/>
        <v>115</v>
      </c>
      <c r="T10" s="701" t="s">
        <v>14</v>
      </c>
      <c r="U10" s="702">
        <f t="shared" si="1"/>
        <v>115</v>
      </c>
      <c r="V10" s="701" t="s">
        <v>14</v>
      </c>
      <c r="W10" s="702">
        <f t="shared" si="2"/>
        <v>115</v>
      </c>
      <c r="X10" s="703"/>
      <c r="Y10" s="3540"/>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481.49</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134.07</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573</v>
      </c>
      <c r="C2" s="2145" t="s">
        <v>2074</v>
      </c>
      <c r="D2" s="2145" t="s">
        <v>2075</v>
      </c>
      <c r="E2" s="2612">
        <f ca="1">SUMIF(E6:E13,"&lt;&gt;#ref!",E6:E13)</f>
        <v>615.55999999999995</v>
      </c>
      <c r="F2" s="2793"/>
      <c r="G2" s="2793"/>
      <c r="H2" s="2793"/>
      <c r="I2" s="2793"/>
      <c r="J2" s="2793"/>
      <c r="K2" s="2793"/>
      <c r="L2" s="2793"/>
      <c r="M2" s="2793"/>
      <c r="N2" s="2793"/>
      <c r="O2" s="2793"/>
      <c r="P2" s="2793"/>
    </row>
    <row r="3" spans="1:16" ht="15.75">
      <c r="A3" s="2145" t="s">
        <v>2076</v>
      </c>
      <c r="B3" s="2602">
        <f ca="1">ROUND(B2*10000/E2,0)</f>
        <v>9309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573</v>
      </c>
      <c r="C6" s="2145" t="s">
        <v>2074</v>
      </c>
      <c r="D6" s="2793"/>
      <c r="E6" s="2612">
        <f ca="1">SUMIF(INDIRECT("'"&amp;A6&amp;"'"&amp;"!C:C"),"建筑面积",INDIRECT("'"&amp;A6&amp;"'"&amp;"!D:D"))</f>
        <v>615.55999999999995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6" t="s">
        <v>2609</v>
      </c>
      <c r="B20" s="3761" t="s">
        <v>2630</v>
      </c>
      <c r="C20" s="3103" t="s">
        <v>2441</v>
      </c>
      <c r="D20" s="3104"/>
      <c r="E20" s="3105">
        <v>1</v>
      </c>
      <c r="F20" s="3106" t="s">
        <v>2442</v>
      </c>
      <c r="G20" s="3106"/>
    </row>
    <row r="21" spans="1:13" ht="19.5" customHeight="1">
      <c r="A21" s="3767"/>
      <c r="B21" s="3760"/>
      <c r="C21" s="3107" t="s">
        <v>2443</v>
      </c>
      <c r="D21" s="3108"/>
      <c r="E21" s="3109">
        <v>1</v>
      </c>
      <c r="F21" s="3106" t="s">
        <v>2444</v>
      </c>
      <c r="G21" s="3106"/>
    </row>
    <row r="22" spans="1:13" ht="19.5" customHeight="1">
      <c r="A22" s="3767"/>
      <c r="B22" s="3760"/>
      <c r="C22" s="3107" t="s">
        <v>2445</v>
      </c>
      <c r="D22" s="3108"/>
      <c r="E22" s="3109">
        <v>0.9</v>
      </c>
      <c r="F22" s="3106" t="s">
        <v>2446</v>
      </c>
      <c r="G22" s="3106"/>
    </row>
    <row r="23" spans="1:13" ht="19.5" customHeight="1">
      <c r="A23" s="3767"/>
      <c r="B23" s="3760"/>
      <c r="C23" s="3107" t="s">
        <v>2447</v>
      </c>
      <c r="D23" s="3108"/>
      <c r="E23" s="3109">
        <v>0.9</v>
      </c>
      <c r="F23" s="3106" t="s">
        <v>2448</v>
      </c>
      <c r="G23" s="3106"/>
    </row>
    <row r="24" spans="1:13" ht="19.5" customHeight="1">
      <c r="A24" s="3767"/>
      <c r="B24" s="3760"/>
      <c r="C24" s="3107" t="s">
        <v>2449</v>
      </c>
      <c r="D24" s="3108"/>
      <c r="E24" s="3109">
        <v>0.8</v>
      </c>
      <c r="F24" s="3106" t="s">
        <v>2450</v>
      </c>
      <c r="G24" s="3106"/>
    </row>
    <row r="25" spans="1:13" ht="19.5" customHeight="1" thickBot="1">
      <c r="A25" s="3768"/>
      <c r="B25" s="376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3" t="s">
        <v>2633</v>
      </c>
      <c r="B27" s="3761" t="s">
        <v>2614</v>
      </c>
      <c r="C27" s="3103" t="s">
        <v>2454</v>
      </c>
      <c r="D27" s="3104"/>
      <c r="E27" s="3105">
        <v>1</v>
      </c>
      <c r="F27" s="3106" t="s">
        <v>2455</v>
      </c>
      <c r="G27" s="3106"/>
    </row>
    <row r="28" spans="1:13" ht="19.5" customHeight="1">
      <c r="A28" s="3764"/>
      <c r="B28" s="3760"/>
      <c r="C28" s="3107" t="s">
        <v>2456</v>
      </c>
      <c r="D28" s="3108"/>
      <c r="E28" s="3109">
        <v>1</v>
      </c>
      <c r="F28" s="3106" t="s">
        <v>2457</v>
      </c>
      <c r="G28" s="3106"/>
    </row>
    <row r="29" spans="1:13" ht="19.5" customHeight="1">
      <c r="A29" s="3764"/>
      <c r="B29" s="3760"/>
      <c r="C29" s="3107" t="s">
        <v>2458</v>
      </c>
      <c r="D29" s="3108"/>
      <c r="E29" s="3109">
        <v>0.8</v>
      </c>
      <c r="F29" s="3106" t="s">
        <v>2459</v>
      </c>
      <c r="G29" s="3106"/>
    </row>
    <row r="30" spans="1:13" ht="19.5" customHeight="1">
      <c r="A30" s="3764"/>
      <c r="B30" s="3760"/>
      <c r="C30" s="3107" t="s">
        <v>2460</v>
      </c>
      <c r="D30" s="3108"/>
      <c r="E30" s="3109">
        <v>0.8</v>
      </c>
      <c r="F30" s="3106" t="s">
        <v>2461</v>
      </c>
      <c r="G30" s="3106"/>
    </row>
    <row r="31" spans="1:13" ht="19.5" customHeight="1">
      <c r="A31" s="3764"/>
      <c r="B31" s="3760"/>
      <c r="C31" s="3107" t="s">
        <v>2462</v>
      </c>
      <c r="D31" s="3108"/>
      <c r="E31" s="3109">
        <v>0.8</v>
      </c>
      <c r="F31" s="3106" t="s">
        <v>2463</v>
      </c>
      <c r="G31" s="3106"/>
    </row>
    <row r="32" spans="1:13" ht="19.5" customHeight="1">
      <c r="A32" s="3764"/>
      <c r="B32" s="3760"/>
      <c r="C32" s="3107" t="s">
        <v>2464</v>
      </c>
      <c r="D32" s="3108"/>
      <c r="E32" s="3109">
        <v>0.7</v>
      </c>
      <c r="F32" s="3106" t="s">
        <v>2465</v>
      </c>
      <c r="G32" s="3106"/>
    </row>
    <row r="33" spans="1:7" ht="19.5" customHeight="1">
      <c r="A33" s="3764"/>
      <c r="B33" s="3760"/>
      <c r="C33" s="3107" t="s">
        <v>2466</v>
      </c>
      <c r="D33" s="3108"/>
      <c r="E33" s="3109">
        <v>0.8</v>
      </c>
      <c r="F33" s="3106" t="s">
        <v>2467</v>
      </c>
      <c r="G33" s="3106"/>
    </row>
    <row r="34" spans="1:7" ht="19.5" customHeight="1">
      <c r="A34" s="3764"/>
      <c r="B34" s="3760"/>
      <c r="C34" s="3107" t="s">
        <v>2468</v>
      </c>
      <c r="D34" s="3108"/>
      <c r="E34" s="3109">
        <v>0.6</v>
      </c>
      <c r="F34" s="3106" t="s">
        <v>2469</v>
      </c>
      <c r="G34" s="3106"/>
    </row>
    <row r="35" spans="1:7" ht="19.5" customHeight="1">
      <c r="A35" s="3764"/>
      <c r="B35" s="3760"/>
      <c r="C35" s="3107" t="s">
        <v>2470</v>
      </c>
      <c r="D35" s="3108"/>
      <c r="E35" s="3109">
        <v>0.2</v>
      </c>
      <c r="F35" s="3106" t="s">
        <v>2471</v>
      </c>
      <c r="G35" s="3106"/>
    </row>
    <row r="36" spans="1:7" ht="19.5" customHeight="1">
      <c r="A36" s="3764"/>
      <c r="B36" s="3760"/>
      <c r="C36" s="3107" t="s">
        <v>2472</v>
      </c>
      <c r="D36" s="3108"/>
      <c r="E36" s="3109">
        <v>0.2</v>
      </c>
      <c r="F36" s="3106" t="s">
        <v>2473</v>
      </c>
      <c r="G36" s="3106"/>
    </row>
    <row r="37" spans="1:7" ht="19.5" customHeight="1">
      <c r="A37" s="3764"/>
      <c r="B37" s="3758" t="s">
        <v>2634</v>
      </c>
      <c r="C37" s="3107" t="s">
        <v>2474</v>
      </c>
      <c r="D37" s="3108"/>
      <c r="E37" s="3109">
        <v>0.6</v>
      </c>
      <c r="F37" s="3106" t="s">
        <v>2475</v>
      </c>
      <c r="G37" s="3106"/>
    </row>
    <row r="38" spans="1:7" ht="19.5" customHeight="1">
      <c r="A38" s="3764"/>
      <c r="B38" s="3760"/>
      <c r="C38" s="3107" t="s">
        <v>2476</v>
      </c>
      <c r="D38" s="3108"/>
      <c r="E38" s="3109">
        <v>0.6</v>
      </c>
      <c r="F38" s="3106" t="s">
        <v>2477</v>
      </c>
      <c r="G38" s="3106"/>
    </row>
    <row r="39" spans="1:7" ht="19.5" customHeight="1" thickBot="1">
      <c r="A39" s="3765"/>
      <c r="B39" s="376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6" t="s">
        <v>2612</v>
      </c>
      <c r="B41" s="3761" t="s">
        <v>2636</v>
      </c>
      <c r="C41" s="3103" t="s">
        <v>2481</v>
      </c>
      <c r="D41" s="3104"/>
      <c r="E41" s="3105">
        <v>1</v>
      </c>
      <c r="F41" s="3106" t="s">
        <v>2482</v>
      </c>
      <c r="G41" s="3106"/>
    </row>
    <row r="42" spans="1:7" ht="19.5" customHeight="1">
      <c r="A42" s="3767"/>
      <c r="B42" s="3760"/>
      <c r="C42" s="3107" t="s">
        <v>2483</v>
      </c>
      <c r="D42" s="3108"/>
      <c r="E42" s="3109">
        <v>1</v>
      </c>
      <c r="F42" s="3106" t="s">
        <v>2484</v>
      </c>
      <c r="G42" s="3106"/>
    </row>
    <row r="43" spans="1:7" ht="19.5" customHeight="1">
      <c r="A43" s="3767"/>
      <c r="B43" s="3759"/>
      <c r="C43" s="3107" t="s">
        <v>2485</v>
      </c>
      <c r="D43" s="3108"/>
      <c r="E43" s="3109">
        <v>1.5</v>
      </c>
      <c r="F43" s="3106" t="s">
        <v>2486</v>
      </c>
      <c r="G43" s="3106"/>
    </row>
    <row r="44" spans="1:7" ht="19.5" customHeight="1">
      <c r="A44" s="3767"/>
      <c r="B44" s="3118" t="s">
        <v>2637</v>
      </c>
      <c r="C44" s="3107" t="s">
        <v>2638</v>
      </c>
      <c r="D44" s="3108"/>
      <c r="E44" s="3109">
        <v>2</v>
      </c>
      <c r="F44" s="3106" t="s">
        <v>2487</v>
      </c>
      <c r="G44" s="3106"/>
    </row>
    <row r="45" spans="1:7" ht="19.5" customHeight="1">
      <c r="A45" s="3767"/>
      <c r="B45" s="3758" t="s">
        <v>2639</v>
      </c>
      <c r="C45" s="3107" t="s">
        <v>2488</v>
      </c>
      <c r="D45" s="3108"/>
      <c r="E45" s="3109">
        <v>1</v>
      </c>
      <c r="F45" s="3106" t="s">
        <v>2489</v>
      </c>
      <c r="G45" s="3106"/>
    </row>
    <row r="46" spans="1:7" ht="19.5" customHeight="1">
      <c r="A46" s="3767"/>
      <c r="B46" s="3760"/>
      <c r="C46" s="3107" t="s">
        <v>2490</v>
      </c>
      <c r="D46" s="3108"/>
      <c r="E46" s="3109">
        <v>1</v>
      </c>
      <c r="F46" s="3106" t="s">
        <v>2491</v>
      </c>
      <c r="G46" s="3106"/>
    </row>
    <row r="47" spans="1:7" ht="19.5" customHeight="1">
      <c r="A47" s="3767"/>
      <c r="B47" s="3760"/>
      <c r="C47" s="3107" t="s">
        <v>2492</v>
      </c>
      <c r="D47" s="3108"/>
      <c r="E47" s="3109">
        <v>1</v>
      </c>
      <c r="F47" s="3106" t="s">
        <v>2493</v>
      </c>
      <c r="G47" s="3106"/>
    </row>
    <row r="48" spans="1:7" ht="19.5" customHeight="1">
      <c r="A48" s="3767"/>
      <c r="B48" s="3760"/>
      <c r="C48" s="3107" t="s">
        <v>2494</v>
      </c>
      <c r="D48" s="3108"/>
      <c r="E48" s="3109">
        <v>1</v>
      </c>
      <c r="F48" s="3106" t="s">
        <v>2495</v>
      </c>
      <c r="G48" s="3106"/>
    </row>
    <row r="49" spans="1:7" ht="19.5" customHeight="1">
      <c r="A49" s="3767"/>
      <c r="B49" s="3760"/>
      <c r="C49" s="3107" t="s">
        <v>2496</v>
      </c>
      <c r="D49" s="3108"/>
      <c r="E49" s="3109">
        <v>1</v>
      </c>
      <c r="F49" s="3106" t="s">
        <v>2497</v>
      </c>
      <c r="G49" s="3106"/>
    </row>
    <row r="50" spans="1:7" ht="19.5" customHeight="1">
      <c r="A50" s="3767"/>
      <c r="B50" s="3760"/>
      <c r="C50" s="3107" t="s">
        <v>2498</v>
      </c>
      <c r="D50" s="3108"/>
      <c r="E50" s="3109">
        <v>1</v>
      </c>
      <c r="F50" s="3106" t="s">
        <v>2499</v>
      </c>
      <c r="G50" s="3106"/>
    </row>
    <row r="51" spans="1:7" ht="19.5" customHeight="1" thickBot="1">
      <c r="A51" s="3768"/>
      <c r="B51" s="376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8" t="s">
        <v>2653</v>
      </c>
      <c r="C73" s="3092" t="s">
        <v>2654</v>
      </c>
      <c r="D73" s="3092" t="s">
        <v>2655</v>
      </c>
      <c r="E73" s="3118">
        <v>0.2</v>
      </c>
      <c r="F73" s="3118">
        <v>25</v>
      </c>
    </row>
    <row r="74" spans="1:7" ht="24">
      <c r="A74" s="3118">
        <v>2</v>
      </c>
      <c r="B74" s="3760"/>
      <c r="C74" s="3092" t="s">
        <v>2656</v>
      </c>
      <c r="D74" s="3092" t="s">
        <v>2657</v>
      </c>
      <c r="E74" s="3118">
        <v>0.2</v>
      </c>
      <c r="F74" s="3118">
        <v>25</v>
      </c>
    </row>
    <row r="75" spans="1:7" ht="24">
      <c r="A75" s="3118">
        <v>3</v>
      </c>
      <c r="B75" s="3760"/>
      <c r="C75" s="3092" t="s">
        <v>2658</v>
      </c>
      <c r="D75" s="3092" t="s">
        <v>2659</v>
      </c>
      <c r="E75" s="3118">
        <v>0.2</v>
      </c>
      <c r="F75" s="3118">
        <v>25</v>
      </c>
    </row>
    <row r="76" spans="1:7" ht="13.5">
      <c r="A76" s="3118">
        <v>4</v>
      </c>
      <c r="B76" s="3760"/>
      <c r="C76" s="3092" t="s">
        <v>2660</v>
      </c>
      <c r="D76" s="3092" t="s">
        <v>2661</v>
      </c>
      <c r="E76" s="3118">
        <v>0.15</v>
      </c>
      <c r="F76" s="3118">
        <v>20</v>
      </c>
    </row>
    <row r="77" spans="1:7" ht="24">
      <c r="A77" s="3118">
        <v>5</v>
      </c>
      <c r="B77" s="3760"/>
      <c r="C77" s="3092" t="s">
        <v>2662</v>
      </c>
      <c r="D77" s="3092" t="s">
        <v>2663</v>
      </c>
      <c r="E77" s="3118">
        <v>0.15</v>
      </c>
      <c r="F77" s="3118">
        <v>20</v>
      </c>
    </row>
    <row r="78" spans="1:7" ht="24">
      <c r="A78" s="3118">
        <v>6</v>
      </c>
      <c r="B78" s="3760"/>
      <c r="C78" s="3092" t="s">
        <v>2664</v>
      </c>
      <c r="D78" s="3092" t="s">
        <v>2665</v>
      </c>
      <c r="E78" s="3118">
        <v>0.15</v>
      </c>
      <c r="F78" s="3118">
        <v>20</v>
      </c>
    </row>
    <row r="79" spans="1:7" ht="24">
      <c r="A79" s="3118">
        <v>7</v>
      </c>
      <c r="B79" s="3760"/>
      <c r="C79" s="3092" t="s">
        <v>2666</v>
      </c>
      <c r="D79" s="3092" t="s">
        <v>2667</v>
      </c>
      <c r="E79" s="3118">
        <v>0.15</v>
      </c>
      <c r="F79" s="3118">
        <v>20</v>
      </c>
    </row>
    <row r="80" spans="1:7" ht="24">
      <c r="A80" s="3118">
        <v>8</v>
      </c>
      <c r="B80" s="3760"/>
      <c r="C80" s="3092" t="s">
        <v>2668</v>
      </c>
      <c r="D80" s="3092" t="s">
        <v>2669</v>
      </c>
      <c r="E80" s="3118">
        <v>0.1</v>
      </c>
      <c r="F80" s="3118">
        <v>15</v>
      </c>
    </row>
    <row r="81" spans="1:6" ht="24">
      <c r="A81" s="3118">
        <v>9</v>
      </c>
      <c r="B81" s="3760"/>
      <c r="C81" s="3092" t="s">
        <v>2670</v>
      </c>
      <c r="D81" s="3092" t="s">
        <v>2671</v>
      </c>
      <c r="E81" s="3118">
        <v>0.1</v>
      </c>
      <c r="F81" s="3118">
        <v>15</v>
      </c>
    </row>
    <row r="82" spans="1:6" ht="24">
      <c r="A82" s="3118">
        <v>10</v>
      </c>
      <c r="B82" s="3760"/>
      <c r="C82" s="3092" t="s">
        <v>2672</v>
      </c>
      <c r="D82" s="3092" t="s">
        <v>2673</v>
      </c>
      <c r="E82" s="3118">
        <v>0.1</v>
      </c>
      <c r="F82" s="3118">
        <v>15</v>
      </c>
    </row>
    <row r="83" spans="1:6" ht="24">
      <c r="A83" s="3118">
        <v>11</v>
      </c>
      <c r="B83" s="3760"/>
      <c r="C83" s="3092" t="s">
        <v>2674</v>
      </c>
      <c r="D83" s="3092" t="s">
        <v>2675</v>
      </c>
      <c r="E83" s="3118">
        <v>0.1</v>
      </c>
      <c r="F83" s="3118">
        <v>15</v>
      </c>
    </row>
    <row r="84" spans="1:6" ht="24">
      <c r="A84" s="3118">
        <v>12</v>
      </c>
      <c r="B84" s="3760"/>
      <c r="C84" s="3092" t="s">
        <v>2676</v>
      </c>
      <c r="D84" s="3092" t="s">
        <v>2677</v>
      </c>
      <c r="E84" s="3118">
        <v>0.1</v>
      </c>
      <c r="F84" s="3118">
        <v>15</v>
      </c>
    </row>
    <row r="85" spans="1:6" ht="13.5">
      <c r="A85" s="3118">
        <v>13</v>
      </c>
      <c r="B85" s="3760"/>
      <c r="C85" s="3092" t="s">
        <v>2678</v>
      </c>
      <c r="D85" s="3092" t="s">
        <v>2679</v>
      </c>
      <c r="E85" s="3118">
        <v>0.1</v>
      </c>
      <c r="F85" s="3118">
        <v>15</v>
      </c>
    </row>
    <row r="86" spans="1:6" ht="13.5">
      <c r="A86" s="3118">
        <v>14</v>
      </c>
      <c r="B86" s="3760"/>
      <c r="C86" s="3092" t="s">
        <v>2680</v>
      </c>
      <c r="D86" s="3092" t="s">
        <v>2681</v>
      </c>
      <c r="E86" s="3118">
        <v>0.1</v>
      </c>
      <c r="F86" s="3118">
        <v>15</v>
      </c>
    </row>
    <row r="87" spans="1:6" ht="13.5">
      <c r="A87" s="3118">
        <v>15</v>
      </c>
      <c r="B87" s="3760"/>
      <c r="C87" s="3092" t="s">
        <v>2682</v>
      </c>
      <c r="D87" s="3092" t="s">
        <v>2683</v>
      </c>
      <c r="E87" s="3118">
        <v>0.1</v>
      </c>
      <c r="F87" s="3118">
        <v>15</v>
      </c>
    </row>
    <row r="88" spans="1:6" ht="24">
      <c r="A88" s="3118">
        <v>16</v>
      </c>
      <c r="B88" s="3760"/>
      <c r="C88" s="3092" t="s">
        <v>2684</v>
      </c>
      <c r="D88" s="3092" t="s">
        <v>2685</v>
      </c>
      <c r="E88" s="3118">
        <v>0.1</v>
      </c>
      <c r="F88" s="3118">
        <v>15</v>
      </c>
    </row>
    <row r="89" spans="1:6" ht="24">
      <c r="A89" s="3118">
        <v>17</v>
      </c>
      <c r="B89" s="3759"/>
      <c r="C89" s="3092" t="s">
        <v>2686</v>
      </c>
      <c r="D89" s="3092" t="s">
        <v>2687</v>
      </c>
      <c r="E89" s="3118">
        <v>0.1</v>
      </c>
      <c r="F89" s="3118">
        <v>15</v>
      </c>
    </row>
    <row r="90" spans="1:6" ht="13.5">
      <c r="A90" s="3118">
        <v>18</v>
      </c>
      <c r="B90" s="3758" t="s">
        <v>2688</v>
      </c>
      <c r="C90" s="3092" t="s">
        <v>2689</v>
      </c>
      <c r="D90" s="3092" t="s">
        <v>2690</v>
      </c>
      <c r="E90" s="3118">
        <v>0.2</v>
      </c>
      <c r="F90" s="3118">
        <v>25</v>
      </c>
    </row>
    <row r="91" spans="1:6" ht="24">
      <c r="A91" s="3118">
        <v>19</v>
      </c>
      <c r="B91" s="3760"/>
      <c r="C91" s="3092" t="s">
        <v>2691</v>
      </c>
      <c r="D91" s="3092" t="s">
        <v>2692</v>
      </c>
      <c r="E91" s="3118">
        <v>0.2</v>
      </c>
      <c r="F91" s="3118">
        <v>25</v>
      </c>
    </row>
    <row r="92" spans="1:6" ht="13.5">
      <c r="A92" s="3118">
        <v>20</v>
      </c>
      <c r="B92" s="3760"/>
      <c r="C92" s="3092" t="s">
        <v>2693</v>
      </c>
      <c r="D92" s="3092" t="s">
        <v>2694</v>
      </c>
      <c r="E92" s="3118">
        <v>0.15</v>
      </c>
      <c r="F92" s="3118">
        <v>20</v>
      </c>
    </row>
    <row r="93" spans="1:6" ht="13.5">
      <c r="A93" s="3118">
        <v>21</v>
      </c>
      <c r="B93" s="3760"/>
      <c r="C93" s="3092" t="s">
        <v>2695</v>
      </c>
      <c r="D93" s="3092" t="s">
        <v>2696</v>
      </c>
      <c r="E93" s="3118">
        <v>0.15</v>
      </c>
      <c r="F93" s="3118">
        <v>20</v>
      </c>
    </row>
    <row r="94" spans="1:6" ht="13.5">
      <c r="A94" s="3118">
        <v>22</v>
      </c>
      <c r="B94" s="3760"/>
      <c r="C94" s="3092" t="s">
        <v>2697</v>
      </c>
      <c r="D94" s="3092" t="s">
        <v>2698</v>
      </c>
      <c r="E94" s="3118">
        <v>0.15</v>
      </c>
      <c r="F94" s="3118">
        <v>20</v>
      </c>
    </row>
    <row r="95" spans="1:6" ht="36">
      <c r="A95" s="3118">
        <v>23</v>
      </c>
      <c r="B95" s="3760"/>
      <c r="C95" s="3092" t="s">
        <v>2699</v>
      </c>
      <c r="D95" s="3092" t="s">
        <v>2700</v>
      </c>
      <c r="E95" s="3118">
        <v>0.15</v>
      </c>
      <c r="F95" s="3118">
        <v>20</v>
      </c>
    </row>
    <row r="96" spans="1:6" ht="13.5">
      <c r="A96" s="3118">
        <v>24</v>
      </c>
      <c r="B96" s="3760"/>
      <c r="C96" s="3092" t="s">
        <v>2701</v>
      </c>
      <c r="D96" s="3092" t="s">
        <v>2702</v>
      </c>
      <c r="E96" s="3118">
        <v>0.1</v>
      </c>
      <c r="F96" s="3118">
        <v>15</v>
      </c>
    </row>
    <row r="97" spans="1:6" ht="13.5">
      <c r="A97" s="3118">
        <v>25</v>
      </c>
      <c r="B97" s="3760"/>
      <c r="C97" s="3092" t="s">
        <v>2703</v>
      </c>
      <c r="D97" s="3092" t="s">
        <v>2704</v>
      </c>
      <c r="E97" s="3118">
        <v>0.1</v>
      </c>
      <c r="F97" s="3118">
        <v>15</v>
      </c>
    </row>
    <row r="98" spans="1:6" ht="24">
      <c r="A98" s="3118">
        <v>26</v>
      </c>
      <c r="B98" s="3760"/>
      <c r="C98" s="3092" t="s">
        <v>2705</v>
      </c>
      <c r="D98" s="3092" t="s">
        <v>2706</v>
      </c>
      <c r="E98" s="3118">
        <v>0.1</v>
      </c>
      <c r="F98" s="3118">
        <v>15</v>
      </c>
    </row>
    <row r="99" spans="1:6" ht="24">
      <c r="A99" s="3118">
        <v>27</v>
      </c>
      <c r="B99" s="3760"/>
      <c r="C99" s="3092" t="s">
        <v>2707</v>
      </c>
      <c r="D99" s="3092" t="s">
        <v>2708</v>
      </c>
      <c r="E99" s="3118">
        <v>0.1</v>
      </c>
      <c r="F99" s="3118">
        <v>15</v>
      </c>
    </row>
    <row r="100" spans="1:6" ht="13.5">
      <c r="A100" s="3118">
        <v>28</v>
      </c>
      <c r="B100" s="3760"/>
      <c r="C100" s="3092" t="s">
        <v>2709</v>
      </c>
      <c r="D100" s="3092" t="s">
        <v>2710</v>
      </c>
      <c r="E100" s="3118">
        <v>0.1</v>
      </c>
      <c r="F100" s="3118">
        <v>15</v>
      </c>
    </row>
    <row r="101" spans="1:6" ht="13.5">
      <c r="A101" s="3118">
        <v>29</v>
      </c>
      <c r="B101" s="3760"/>
      <c r="C101" s="3092" t="s">
        <v>2711</v>
      </c>
      <c r="D101" s="3092" t="s">
        <v>2712</v>
      </c>
      <c r="E101" s="3118">
        <v>0.1</v>
      </c>
      <c r="F101" s="3118">
        <v>15</v>
      </c>
    </row>
    <row r="102" spans="1:6" ht="13.5">
      <c r="A102" s="3118">
        <v>30</v>
      </c>
      <c r="B102" s="3760"/>
      <c r="C102" s="3092" t="s">
        <v>2713</v>
      </c>
      <c r="D102" s="3092" t="s">
        <v>2714</v>
      </c>
      <c r="E102" s="3118">
        <v>0.1</v>
      </c>
      <c r="F102" s="3118">
        <v>15</v>
      </c>
    </row>
    <row r="103" spans="1:6" ht="24">
      <c r="A103" s="3118">
        <v>31</v>
      </c>
      <c r="B103" s="3760"/>
      <c r="C103" s="3092" t="s">
        <v>2715</v>
      </c>
      <c r="D103" s="3092" t="s">
        <v>2716</v>
      </c>
      <c r="E103" s="3118">
        <v>0.1</v>
      </c>
      <c r="F103" s="3118">
        <v>15</v>
      </c>
    </row>
    <row r="104" spans="1:6" ht="24">
      <c r="A104" s="3118">
        <v>32</v>
      </c>
      <c r="B104" s="3760"/>
      <c r="C104" s="3092" t="s">
        <v>2717</v>
      </c>
      <c r="D104" s="3092" t="s">
        <v>2718</v>
      </c>
      <c r="E104" s="3118">
        <v>0.1</v>
      </c>
      <c r="F104" s="3118">
        <v>15</v>
      </c>
    </row>
    <row r="105" spans="1:6" ht="24">
      <c r="A105" s="3118">
        <v>33</v>
      </c>
      <c r="B105" s="3760"/>
      <c r="C105" s="3092" t="s">
        <v>2719</v>
      </c>
      <c r="D105" s="3092" t="s">
        <v>2720</v>
      </c>
      <c r="E105" s="3118">
        <v>0.1</v>
      </c>
      <c r="F105" s="3118">
        <v>15</v>
      </c>
    </row>
    <row r="106" spans="1:6" ht="24">
      <c r="A106" s="3118">
        <v>34</v>
      </c>
      <c r="B106" s="3759"/>
      <c r="C106" s="3092" t="s">
        <v>2721</v>
      </c>
      <c r="D106" s="3092" t="s">
        <v>2722</v>
      </c>
      <c r="E106" s="3118">
        <v>0.1</v>
      </c>
      <c r="F106" s="3118">
        <v>15</v>
      </c>
    </row>
    <row r="107" spans="1:6" ht="24">
      <c r="A107" s="3118">
        <v>35</v>
      </c>
      <c r="B107" s="3758" t="s">
        <v>2723</v>
      </c>
      <c r="C107" s="3118" t="s">
        <v>2724</v>
      </c>
      <c r="D107" s="3092" t="s">
        <v>2725</v>
      </c>
      <c r="E107" s="3118">
        <v>0.15</v>
      </c>
      <c r="F107" s="3118">
        <v>20</v>
      </c>
    </row>
    <row r="108" spans="1:6" ht="13.5">
      <c r="A108" s="3118">
        <v>36</v>
      </c>
      <c r="B108" s="3760"/>
      <c r="C108" s="3118" t="s">
        <v>2726</v>
      </c>
      <c r="D108" s="3092" t="s">
        <v>2727</v>
      </c>
      <c r="E108" s="3118">
        <v>0.15</v>
      </c>
      <c r="F108" s="3118">
        <v>20</v>
      </c>
    </row>
    <row r="109" spans="1:6" ht="13.5">
      <c r="A109" s="3118">
        <v>37</v>
      </c>
      <c r="B109" s="3760"/>
      <c r="C109" s="3118" t="s">
        <v>2728</v>
      </c>
      <c r="D109" s="3092" t="s">
        <v>2729</v>
      </c>
      <c r="E109" s="3118">
        <v>0.15</v>
      </c>
      <c r="F109" s="3118">
        <v>20</v>
      </c>
    </row>
    <row r="110" spans="1:6" ht="13.5">
      <c r="A110" s="3118">
        <v>38</v>
      </c>
      <c r="B110" s="3760"/>
      <c r="C110" s="3118" t="s">
        <v>2730</v>
      </c>
      <c r="D110" s="3092" t="s">
        <v>2731</v>
      </c>
      <c r="E110" s="3118">
        <v>0.1</v>
      </c>
      <c r="F110" s="3118">
        <v>15</v>
      </c>
    </row>
    <row r="111" spans="1:6" ht="24">
      <c r="A111" s="3118">
        <v>39</v>
      </c>
      <c r="B111" s="3760"/>
      <c r="C111" s="3118" t="s">
        <v>2732</v>
      </c>
      <c r="D111" s="3092" t="s">
        <v>2733</v>
      </c>
      <c r="E111" s="3118">
        <v>0.1</v>
      </c>
      <c r="F111" s="3118">
        <v>15</v>
      </c>
    </row>
    <row r="112" spans="1:6" ht="24">
      <c r="A112" s="3118">
        <v>40</v>
      </c>
      <c r="B112" s="3759"/>
      <c r="C112" s="3118" t="s">
        <v>2734</v>
      </c>
      <c r="D112" s="3092" t="s">
        <v>2735</v>
      </c>
      <c r="E112" s="3118">
        <v>0.1</v>
      </c>
      <c r="F112" s="3118">
        <v>15</v>
      </c>
    </row>
    <row r="113" spans="1:6" ht="13.5">
      <c r="A113" s="3118">
        <v>41</v>
      </c>
      <c r="B113" s="3757" t="s">
        <v>2736</v>
      </c>
      <c r="C113" s="3118" t="s">
        <v>2737</v>
      </c>
      <c r="D113" s="3092" t="s">
        <v>2738</v>
      </c>
      <c r="E113" s="3118">
        <v>0.1</v>
      </c>
      <c r="F113" s="3118">
        <v>15</v>
      </c>
    </row>
    <row r="114" spans="1:6" ht="13.5">
      <c r="A114" s="3118">
        <v>42</v>
      </c>
      <c r="B114" s="3757"/>
      <c r="C114" s="3118" t="s">
        <v>2739</v>
      </c>
      <c r="D114" s="3092" t="s">
        <v>2740</v>
      </c>
      <c r="E114" s="3118">
        <v>0.1</v>
      </c>
      <c r="F114" s="3118">
        <v>15</v>
      </c>
    </row>
    <row r="115" spans="1:6" ht="24">
      <c r="A115" s="3118">
        <v>43</v>
      </c>
      <c r="B115" s="3757"/>
      <c r="C115" s="3118" t="s">
        <v>2741</v>
      </c>
      <c r="D115" s="3092" t="s">
        <v>2742</v>
      </c>
      <c r="E115" s="3118">
        <v>0.1</v>
      </c>
      <c r="F115" s="3118">
        <v>15</v>
      </c>
    </row>
    <row r="116" spans="1:6" ht="13.5">
      <c r="A116" s="3118">
        <v>44</v>
      </c>
      <c r="B116" s="3758" t="s">
        <v>2743</v>
      </c>
      <c r="C116" s="3118" t="s">
        <v>2744</v>
      </c>
      <c r="D116" s="3092" t="s">
        <v>2745</v>
      </c>
      <c r="E116" s="3118">
        <v>0.1</v>
      </c>
      <c r="F116" s="3118">
        <v>15</v>
      </c>
    </row>
    <row r="117" spans="1:6" ht="24">
      <c r="A117" s="3118">
        <v>45</v>
      </c>
      <c r="B117" s="3759"/>
      <c r="C117" s="3092" t="s">
        <v>2746</v>
      </c>
      <c r="D117" s="3092" t="s">
        <v>2747</v>
      </c>
      <c r="E117" s="3118">
        <v>0.1</v>
      </c>
      <c r="F117" s="3118">
        <v>15</v>
      </c>
    </row>
    <row r="118" spans="1:6" ht="24">
      <c r="A118" s="3118">
        <v>46</v>
      </c>
      <c r="B118" s="3758" t="s">
        <v>2748</v>
      </c>
      <c r="C118" s="3118" t="s">
        <v>2749</v>
      </c>
      <c r="D118" s="3092" t="s">
        <v>2750</v>
      </c>
      <c r="E118" s="3118">
        <v>0.1</v>
      </c>
      <c r="F118" s="3118">
        <v>15</v>
      </c>
    </row>
    <row r="119" spans="1:6" ht="24">
      <c r="A119" s="3118">
        <v>47</v>
      </c>
      <c r="B119" s="3759"/>
      <c r="C119" s="3118" t="s">
        <v>2751</v>
      </c>
      <c r="D119" s="3092" t="s">
        <v>2752</v>
      </c>
      <c r="E119" s="3118">
        <v>0.1</v>
      </c>
      <c r="F119" s="3118">
        <v>15</v>
      </c>
    </row>
    <row r="120" spans="1:6" ht="13.5">
      <c r="A120" s="3118">
        <v>48</v>
      </c>
      <c r="B120" s="3758" t="s">
        <v>2753</v>
      </c>
      <c r="C120" s="3118" t="s">
        <v>2754</v>
      </c>
      <c r="D120" s="3092" t="s">
        <v>2755</v>
      </c>
      <c r="E120" s="3118">
        <v>0.1</v>
      </c>
      <c r="F120" s="3118">
        <v>15</v>
      </c>
    </row>
    <row r="121" spans="1:6" ht="13.5">
      <c r="A121" s="3118">
        <v>49</v>
      </c>
      <c r="B121" s="3759"/>
      <c r="C121" s="3118" t="s">
        <v>2756</v>
      </c>
      <c r="D121" s="3092" t="s">
        <v>2757</v>
      </c>
      <c r="E121" s="3118">
        <v>0.1</v>
      </c>
      <c r="F121" s="3118">
        <v>15</v>
      </c>
    </row>
    <row r="122" spans="1:6" ht="24">
      <c r="A122" s="3118">
        <v>50</v>
      </c>
      <c r="B122" s="3757" t="s">
        <v>2758</v>
      </c>
      <c r="C122" s="3118" t="s">
        <v>2759</v>
      </c>
      <c r="D122" s="3092" t="s">
        <v>2760</v>
      </c>
      <c r="E122" s="3118">
        <v>0.1</v>
      </c>
      <c r="F122" s="3118">
        <v>15</v>
      </c>
    </row>
    <row r="123" spans="1:6" ht="24">
      <c r="A123" s="3118">
        <v>51</v>
      </c>
      <c r="B123" s="3757"/>
      <c r="C123" s="3118" t="s">
        <v>2761</v>
      </c>
      <c r="D123" s="3092" t="s">
        <v>2762</v>
      </c>
      <c r="E123" s="3118">
        <v>0.1</v>
      </c>
      <c r="F123" s="3118">
        <v>15</v>
      </c>
    </row>
    <row r="124" spans="1:6" ht="24">
      <c r="A124" s="3118">
        <v>52</v>
      </c>
      <c r="B124" s="3757" t="s">
        <v>2763</v>
      </c>
      <c r="C124" s="3118" t="s">
        <v>2764</v>
      </c>
      <c r="D124" s="3092" t="s">
        <v>2765</v>
      </c>
      <c r="E124" s="3118">
        <v>0.1</v>
      </c>
      <c r="F124" s="3118">
        <v>15</v>
      </c>
    </row>
    <row r="125" spans="1:6" ht="24">
      <c r="A125" s="3118">
        <v>53</v>
      </c>
      <c r="B125" s="375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7" t="s">
        <v>2771</v>
      </c>
      <c r="C127" s="3118" t="s">
        <v>2772</v>
      </c>
      <c r="D127" s="3092" t="s">
        <v>2773</v>
      </c>
      <c r="E127" s="3118">
        <v>0.1</v>
      </c>
      <c r="F127" s="3118">
        <v>15</v>
      </c>
    </row>
    <row r="128" spans="1:6" ht="13.5">
      <c r="A128" s="3118">
        <v>56</v>
      </c>
      <c r="B128" s="3757"/>
      <c r="C128" s="3118" t="s">
        <v>2774</v>
      </c>
      <c r="D128" s="3092" t="s">
        <v>2775</v>
      </c>
      <c r="E128" s="3118">
        <v>0.1</v>
      </c>
      <c r="F128" s="3118">
        <v>15</v>
      </c>
    </row>
    <row r="129" spans="1:6" ht="24">
      <c r="A129" s="3118">
        <v>57</v>
      </c>
      <c r="B129" s="3757"/>
      <c r="C129" s="3118" t="s">
        <v>2776</v>
      </c>
      <c r="D129" s="3092" t="s">
        <v>2777</v>
      </c>
      <c r="E129" s="3118">
        <v>0.1</v>
      </c>
      <c r="F129" s="3118">
        <v>15</v>
      </c>
    </row>
    <row r="130" spans="1:6" ht="24">
      <c r="A130" s="3118">
        <v>58</v>
      </c>
      <c r="B130" s="3757" t="s">
        <v>2778</v>
      </c>
      <c r="C130" s="3118" t="s">
        <v>2779</v>
      </c>
      <c r="D130" s="3092" t="s">
        <v>2780</v>
      </c>
      <c r="E130" s="3118">
        <v>0.1</v>
      </c>
      <c r="F130" s="3118">
        <v>15</v>
      </c>
    </row>
    <row r="131" spans="1:6" ht="13.5">
      <c r="A131" s="3118">
        <v>59</v>
      </c>
      <c r="B131" s="3757"/>
      <c r="C131" s="3118" t="s">
        <v>2781</v>
      </c>
      <c r="D131" s="3092" t="s">
        <v>2782</v>
      </c>
      <c r="E131" s="3118">
        <v>0.1</v>
      </c>
      <c r="F131" s="3118">
        <v>15</v>
      </c>
    </row>
    <row r="132" spans="1:6" ht="13.5">
      <c r="A132" s="3118">
        <v>60</v>
      </c>
      <c r="B132" s="3758" t="s">
        <v>2783</v>
      </c>
      <c r="C132" s="3118" t="s">
        <v>2784</v>
      </c>
      <c r="D132" s="3092" t="s">
        <v>2785</v>
      </c>
      <c r="E132" s="3118">
        <v>0.1</v>
      </c>
      <c r="F132" s="3118">
        <v>15</v>
      </c>
    </row>
    <row r="133" spans="1:6" ht="13.5">
      <c r="A133" s="3118">
        <v>61</v>
      </c>
      <c r="B133" s="375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7" t="s">
        <v>2791</v>
      </c>
      <c r="C135" s="3118" t="s">
        <v>2792</v>
      </c>
      <c r="D135" s="3092" t="s">
        <v>2793</v>
      </c>
      <c r="E135" s="3118">
        <v>0.1</v>
      </c>
      <c r="F135" s="3118">
        <v>15</v>
      </c>
    </row>
    <row r="136" spans="1:6" ht="13.5">
      <c r="A136" s="3118">
        <v>64</v>
      </c>
      <c r="B136" s="375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1.0512999999999999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28733</v>
      </c>
      <c r="C2" s="2" t="s">
        <v>106</v>
      </c>
      <c r="D2" s="199"/>
      <c r="E2" s="199"/>
      <c r="F2" s="199"/>
      <c r="G2" s="199"/>
    </row>
    <row r="3" spans="1:7" s="200" customFormat="1" ht="18" customHeight="1" thickBot="1">
      <c r="A3" s="203" t="s">
        <v>58</v>
      </c>
      <c r="B3" s="204">
        <f ca="1">ROUND(B2*10000/'数据-汇总表'!E3,0)</f>
        <v>466778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615.55999999999995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615.55999999999995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1426</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615.55999999999995</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53</v>
      </c>
      <c r="D45" s="235">
        <f>C47</f>
        <v>4.4999999999999997E-3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455</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359</v>
      </c>
      <c r="D51" s="232"/>
      <c r="E51" s="232"/>
      <c r="F51" s="264"/>
      <c r="G51" s="234" t="s">
        <v>37</v>
      </c>
    </row>
    <row r="52" spans="1:7" s="208" customFormat="1" ht="16.5" thickBot="1">
      <c r="A52" s="265" t="s">
        <v>38</v>
      </c>
      <c r="B52" s="266"/>
      <c r="C52" s="267">
        <f ca="1">C31+C51</f>
        <v>28733</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1111</v>
      </c>
      <c r="E5" s="1491"/>
    </row>
    <row r="6" spans="1:5" ht="15.75">
      <c r="A6" s="1491"/>
      <c r="B6" s="3452"/>
      <c r="C6" s="1494" t="s">
        <v>911</v>
      </c>
      <c r="D6" s="850" t="str">
        <f ca="1">NUMBERSTRING(INT(D5*10000),2)&amp;"元整"</f>
        <v>壹仟壹佰壹拾壹万元整</v>
      </c>
      <c r="E6" s="1491"/>
    </row>
    <row r="7" spans="1:5" ht="15.75">
      <c r="A7" s="1491"/>
      <c r="B7" s="3457"/>
      <c r="C7" s="1495" t="s">
        <v>912</v>
      </c>
      <c r="D7" s="851">
        <f ca="1">结果表!H102</f>
        <v>18049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1111</v>
      </c>
      <c r="E13" s="1491"/>
    </row>
    <row r="14" spans="1:5" ht="15.75">
      <c r="A14" s="1491"/>
      <c r="B14" s="3452"/>
      <c r="C14" s="1494" t="s">
        <v>911</v>
      </c>
      <c r="D14" s="850" t="str">
        <f ca="1">NUMBERSTRING(INT(D13*10000),2)&amp;"元整"</f>
        <v>壹仟壹佰壹拾壹万元整</v>
      </c>
      <c r="E14" s="1491"/>
    </row>
    <row r="15" spans="1:5" ht="15">
      <c r="A15" s="1491"/>
      <c r="B15" s="3457"/>
      <c r="C15" s="1495" t="s">
        <v>921</v>
      </c>
      <c r="D15" s="859">
        <f ca="1">结果表!H108</f>
        <v>18049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45525</v>
      </c>
      <c r="B1" s="3210" t="s">
        <v>3373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3776" t="s">
        <v>2829</v>
      </c>
      <c r="S24" s="3777"/>
      <c r="T24" s="3777"/>
      <c r="U24" s="3777"/>
      <c r="V24" s="3777"/>
      <c r="W24" s="3777"/>
      <c r="X24" s="3165"/>
      <c r="Y24" s="3776" t="s">
        <v>2830</v>
      </c>
      <c r="Z24" s="3777"/>
      <c r="AA24" s="3777"/>
      <c r="AB24" s="3777"/>
      <c r="AC24" s="3777"/>
      <c r="AD24" s="3777"/>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45525</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615.55999999999995</v>
      </c>
      <c r="C4" s="854">
        <f>项目基本情况!C18</f>
        <v>0</v>
      </c>
      <c r="D4" s="854">
        <f ca="1">结果表!D118</f>
        <v>775</v>
      </c>
      <c r="E4" s="854">
        <f ca="1">结果表!E118</f>
        <v>12591</v>
      </c>
      <c r="F4" s="854">
        <f ca="1">结果表!F118</f>
        <v>336</v>
      </c>
      <c r="G4" s="854">
        <f ca="1">结果表!G118</f>
        <v>5458</v>
      </c>
      <c r="H4" s="854">
        <f ca="1">结果表!H118</f>
        <v>1111</v>
      </c>
      <c r="I4" s="854">
        <f ca="1">结果表!I118</f>
        <v>18049</v>
      </c>
    </row>
    <row r="5" spans="1:9" ht="30" customHeight="1">
      <c r="A5" s="3464" t="s">
        <v>927</v>
      </c>
      <c r="B5" s="3464"/>
      <c r="C5" s="3464"/>
      <c r="D5" s="3464" t="str">
        <f ca="1">结果表!D119</f>
        <v>柒佰柒拾伍万元整</v>
      </c>
      <c r="E5" s="3464"/>
      <c r="F5" s="3464" t="str">
        <f ca="1">结果表!F119</f>
        <v>叁佰叁拾陆万元整</v>
      </c>
      <c r="G5" s="3464"/>
      <c r="H5" s="3464" t="str">
        <f ca="1">结果表!H119</f>
        <v>壹仟壹佰壹拾壹万元整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1111</v>
      </c>
      <c r="E8" s="3463"/>
      <c r="F8" s="3463"/>
      <c r="G8" s="3463"/>
      <c r="H8" s="3463"/>
      <c r="I8" s="3463"/>
    </row>
    <row r="9" spans="1:9" ht="15">
      <c r="A9" s="3464" t="s">
        <v>927</v>
      </c>
      <c r="B9" s="3464"/>
      <c r="C9" s="3464"/>
      <c r="D9" s="3464" t="str">
        <f ca="1">结果表!D123</f>
        <v>壹仟壹佰壹拾壹万元整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2024-08-21T08:16:56Z</dcterms:modified>
</cp:coreProperties>
</file>